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C:\Users\PC\Downloads\"/>
    </mc:Choice>
  </mc:AlternateContent>
  <xr:revisionPtr revIDLastSave="0" documentId="13_ncr:1_{47A3B4BC-4BC3-4F1A-89CF-EAB873A0D4C8}" xr6:coauthVersionLast="47" xr6:coauthVersionMax="47" xr10:uidLastSave="{00000000-0000-0000-0000-000000000000}"/>
  <bookViews>
    <workbookView xWindow="-96" yWindow="0" windowWidth="11712" windowHeight="12336" firstSheet="3" activeTab="4" xr2:uid="{00000000-000D-0000-FFFF-FFFF00000000}"/>
  </bookViews>
  <sheets>
    <sheet name="Đề " sheetId="1" r:id="rId1"/>
    <sheet name="DS" sheetId="2" r:id="rId2"/>
    <sheet name="Sheet1" sheetId="6" r:id="rId3"/>
    <sheet name="chuong" sheetId="3" r:id="rId4"/>
    <sheet name="ch1" sheetId="8" r:id="rId5"/>
    <sheet name="ch2" sheetId="7" r:id="rId6"/>
    <sheet name="Sheet3" sheetId="5" r:id="rId7"/>
    <sheet name="Sheet2" sheetId="4" r:id="rId8"/>
  </sheets>
  <calcPr calcId="191029"/>
</workbook>
</file>

<file path=xl/calcChain.xml><?xml version="1.0" encoding="utf-8"?>
<calcChain xmlns="http://schemas.openxmlformats.org/spreadsheetml/2006/main">
  <c r="D132" i="8" l="1"/>
  <c r="D198" i="8"/>
  <c r="D26" i="8"/>
  <c r="D341" i="8" l="1"/>
  <c r="D296" i="8"/>
  <c r="D216" i="8" l="1"/>
  <c r="D235" i="8" s="1"/>
  <c r="D214" i="8"/>
  <c r="D242" i="8"/>
  <c r="D230" i="8" l="1"/>
  <c r="D250" i="8"/>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7" i="8"/>
  <c r="D196" i="8"/>
  <c r="D195" i="8"/>
  <c r="F192" i="8"/>
  <c r="D378" i="8" l="1"/>
  <c r="D382" i="8" s="1"/>
  <c r="D385" i="8" s="1"/>
  <c r="D386" i="8" s="1"/>
  <c r="D133" i="8"/>
  <c r="D177" i="8"/>
  <c r="F133" i="8"/>
  <c r="F132" i="8"/>
  <c r="F129" i="8"/>
  <c r="D115" i="8"/>
  <c r="D175" i="8"/>
  <c r="D173" i="8"/>
  <c r="D512" i="8" s="1"/>
  <c r="D166"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394" i="8"/>
  <c r="D286" i="8"/>
  <c r="D32" i="8"/>
  <c r="D82" i="8" s="1"/>
  <c r="D55" i="8"/>
  <c r="D61" i="8" s="1"/>
  <c r="D62" i="8" s="1"/>
  <c r="D91" i="8"/>
  <c r="D436" i="8" l="1"/>
  <c r="T542" i="8"/>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D568" i="8" s="1"/>
  <c r="O569" i="8"/>
  <c r="M569" i="8"/>
  <c r="C569" i="8"/>
  <c r="H569" i="8"/>
  <c r="L569" i="8"/>
  <c r="G569" i="8"/>
  <c r="E569" i="8"/>
  <c r="R569" i="8"/>
  <c r="P569"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D302" i="7"/>
  <c r="D300" i="7"/>
  <c r="D298" i="7"/>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F96" i="7"/>
  <c r="F89" i="7"/>
  <c r="F148" i="7" l="1"/>
  <c r="D173" i="7"/>
  <c r="D164" i="7"/>
  <c r="F169" i="7"/>
  <c r="C306" i="7" l="1"/>
  <c r="C307" i="7"/>
  <c r="C324" i="7"/>
  <c r="D328" i="7"/>
  <c r="E333" i="7"/>
  <c r="D334" i="7"/>
  <c r="D275" i="7"/>
  <c r="F262" i="7"/>
  <c r="D258" i="7"/>
  <c r="D209" i="7"/>
  <c r="D231" i="7"/>
  <c r="D210" i="7"/>
  <c r="D222" i="7" l="1"/>
  <c r="D226" i="7" s="1"/>
  <c r="D233" i="7" s="1"/>
  <c r="D241" i="7"/>
  <c r="D242" i="7"/>
  <c r="D223" i="7"/>
  <c r="D228" i="7" s="1"/>
  <c r="D235" i="7" s="1"/>
  <c r="D234" i="7"/>
  <c r="D236" i="7"/>
  <c r="D204" i="7"/>
  <c r="D52" i="7"/>
  <c r="D54" i="7"/>
  <c r="F167" i="7" l="1"/>
  <c r="F112" i="7"/>
  <c r="F149" i="7" l="1"/>
  <c r="F145" i="7"/>
  <c r="F141" i="7"/>
  <c r="F140" i="7"/>
  <c r="D141" i="7"/>
  <c r="D147" i="7" s="1"/>
  <c r="D140" i="7"/>
  <c r="D148" i="7" s="1"/>
  <c r="D303" i="7" s="1"/>
  <c r="D139" i="7"/>
  <c r="D138" i="7"/>
  <c r="F137" i="7"/>
  <c r="F135" i="7"/>
  <c r="F133" i="7"/>
  <c r="D125" i="7"/>
  <c r="D143" i="7" s="1"/>
  <c r="F121" i="7"/>
  <c r="D92" i="7"/>
  <c r="D87" i="7"/>
  <c r="D91" i="7" s="1"/>
  <c r="D106" i="7" l="1"/>
  <c r="D299" i="7" s="1"/>
  <c r="D256" i="7"/>
  <c r="D117" i="7"/>
  <c r="D146" i="7"/>
  <c r="D149" i="7"/>
  <c r="D119" i="7"/>
  <c r="D109" i="7"/>
  <c r="F73" i="7"/>
  <c r="F82" i="7" l="1"/>
  <c r="D60" i="7"/>
  <c r="F51" i="7"/>
  <c r="D53" i="7"/>
  <c r="D55" i="7" s="1"/>
  <c r="D61" i="7" s="1"/>
  <c r="D62" i="7" s="1"/>
  <c r="F48" i="7"/>
  <c r="F34" i="7"/>
  <c r="D29" i="7"/>
  <c r="D212" i="7" s="1"/>
  <c r="F16" i="7"/>
  <c r="F26" i="7"/>
  <c r="D26" i="7"/>
  <c r="D14" i="7"/>
  <c r="D86" i="7" s="1"/>
  <c r="D205" i="7" l="1"/>
  <c r="D301" i="7"/>
  <c r="D244" i="7"/>
  <c r="D32" i="7"/>
  <c r="D34" i="7" s="1"/>
  <c r="D455" i="3"/>
  <c r="D450" i="3"/>
  <c r="D82" i="7" l="1"/>
  <c r="D72" i="7"/>
  <c r="D73" i="7"/>
  <c r="D77" i="7"/>
  <c r="D213" i="7" s="1"/>
  <c r="D791" i="3"/>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245" i="7" l="1"/>
  <c r="D250" i="7" s="1"/>
  <c r="D254" i="7" s="1"/>
  <c r="D80" i="7"/>
  <c r="D475" i="3"/>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D419" i="8"/>
  <c r="D519" i="8"/>
  <c r="C556" i="8" l="1"/>
  <c r="J556" i="8"/>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D421" i="8"/>
  <c r="D520" i="8"/>
  <c r="G557" i="8" l="1"/>
  <c r="R545" i="8"/>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7" i="8" s="1"/>
  <c r="D571" i="8" s="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alcChain>
</file>

<file path=xl/sharedStrings.xml><?xml version="1.0" encoding="utf-8"?>
<sst xmlns="http://schemas.openxmlformats.org/spreadsheetml/2006/main" count="3857" uniqueCount="2479">
  <si>
    <t>1. ĐÊ ĐỒ ÁN</t>
  </si>
  <si>
    <t>Thứ tự 
theo danh sách lớp</t>
  </si>
  <si>
    <t>thực hiện với:</t>
  </si>
  <si>
    <r>
      <rPr>
        <b/>
        <sz val="13"/>
        <color theme="1"/>
        <rFont val="Times New Roman"/>
        <family val="1"/>
      </rPr>
      <t>hệ số cản lăn, 
f</t>
    </r>
    <r>
      <rPr>
        <b/>
        <sz val="10"/>
        <color theme="1"/>
        <rFont val="Times New Roman"/>
        <family val="1"/>
      </rPr>
      <t>v</t>
    </r>
    <r>
      <rPr>
        <b/>
        <sz val="13"/>
        <color theme="1"/>
        <rFont val="Times New Roman"/>
        <family val="1"/>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</si>
  <si>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</si>
  <si>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</si>
  <si>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</si>
  <si>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</si>
  <si>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</si>
  <si>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</si>
  <si>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</si>
  <si>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</si>
  <si>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</si>
  <si>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</si>
  <si>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</si>
  <si>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</si>
  <si>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</si>
  <si>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</si>
  <si>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</si>
  <si>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</si>
  <si>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</si>
  <si>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</si>
  <si>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</si>
  <si>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</si>
  <si>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family val="1"/>
      </rPr>
      <t>6. Xác định tỷ số truyền của truyền lực chính, i</t>
    </r>
    <r>
      <rPr>
        <sz val="10"/>
        <color theme="1"/>
        <rFont val="Times New Roman"/>
        <family val="1"/>
      </rPr>
      <t>o</t>
    </r>
  </si>
  <si>
    <r>
      <rPr>
        <sz val="13"/>
        <color theme="1"/>
        <rFont val="Times New Roman"/>
        <family val="1"/>
      </rPr>
      <t>7. Xác định tỷ số truyền của hộp số, i</t>
    </r>
    <r>
      <rPr>
        <sz val="10"/>
        <color theme="1"/>
        <rFont val="Times New Roman"/>
        <family val="1"/>
      </rPr>
      <t>hn</t>
    </r>
  </si>
  <si>
    <r>
      <rPr>
        <sz val="13"/>
        <color theme="1"/>
        <rFont val="Times New Roman"/>
        <family val="1"/>
      </rPr>
      <t>(CHÚ Ý: Tay số truyền 1, xe phải thỏa mãn điều kiện bám đó nhé: P</t>
    </r>
    <r>
      <rPr>
        <sz val="10"/>
        <color theme="1"/>
        <rFont val="Calibri"/>
        <family val="2"/>
      </rPr>
      <t>ϕ</t>
    </r>
    <r>
      <rPr>
        <sz val="11.7"/>
        <color theme="1"/>
        <rFont val="Times New Roman"/>
        <family val="1"/>
      </rPr>
      <t xml:space="preserve"> ≥ P</t>
    </r>
    <r>
      <rPr>
        <sz val="10"/>
        <color theme="1"/>
        <rFont val="Times New Roman"/>
        <family val="1"/>
      </rPr>
      <t>k1</t>
    </r>
    <r>
      <rPr>
        <sz val="13"/>
        <color theme="1"/>
        <rFont val="Times New Roman"/>
        <family val="1"/>
      </rPr>
      <t>, 
P</t>
    </r>
    <r>
      <rPr>
        <sz val="10"/>
        <color theme="1"/>
        <rFont val="Times New Roman"/>
        <family val="1"/>
      </rPr>
      <t>k1</t>
    </r>
    <r>
      <rPr>
        <sz val="13"/>
        <color theme="1"/>
        <rFont val="Times New Roman"/>
        <family val="1"/>
      </rPr>
      <t xml:space="preserve"> - lực kéo ở tay số truyền 1
Nếu không thỏa mãn phải thay đổi %G</t>
    </r>
    <r>
      <rPr>
        <sz val="8"/>
        <color theme="1"/>
        <rFont val="Times New Roman"/>
        <family val="1"/>
      </rPr>
      <t>1</t>
    </r>
    <r>
      <rPr>
        <sz val="13"/>
        <color theme="1"/>
        <rFont val="Times New Roman"/>
        <family val="1"/>
      </rPr>
      <t xml:space="preserve"> và %G</t>
    </r>
    <r>
      <rPr>
        <sz val="8"/>
        <color theme="1"/>
        <rFont val="Times New Roman"/>
        <family val="1"/>
      </rPr>
      <t>2</t>
    </r>
    <r>
      <rPr>
        <sz val="13"/>
        <color theme="1"/>
        <rFont val="Times New Roman"/>
        <family val="1"/>
      </rPr>
      <t>)</t>
    </r>
  </si>
  <si>
    <t>8. Xác định lực kéo dư khi sử dụng tỷ số truyền của hộp số</t>
  </si>
  <si>
    <t>3. SỐ LIỆU BẮT THAM KHẢO - NHỚ LÀ THAM KHẢO</t>
  </si>
  <si>
    <t>Chọn</t>
  </si>
  <si>
    <r>
      <rPr>
        <sz val="13"/>
        <color theme="1"/>
        <rFont val="Times New Roman"/>
        <family val="1"/>
      </rPr>
      <t>n</t>
    </r>
    <r>
      <rPr>
        <sz val="8"/>
        <color theme="1"/>
        <rFont val="Times New Roman"/>
        <family val="1"/>
      </rPr>
      <t>h</t>
    </r>
  </si>
  <si>
    <t>– số lượng người tham gia</t>
  </si>
  <si>
    <r>
      <rPr>
        <sz val="13"/>
        <color theme="1"/>
        <rFont val="Times New Roman"/>
        <family val="1"/>
      </rPr>
      <t>v</t>
    </r>
    <r>
      <rPr>
        <sz val="8"/>
        <color theme="1"/>
        <rFont val="Times New Roman"/>
        <family val="1"/>
      </rPr>
      <t>max</t>
    </r>
  </si>
  <si>
    <t>– vận tốc lớn nhất, m/s</t>
  </si>
  <si>
    <t>f</t>
  </si>
  <si>
    <t xml:space="preserve">– hệ số cản lăn giữa bánh xe với mặt đường, nếu chọn nhựa hoặc bê tông thì f = 0.012-0.018  </t>
  </si>
  <si>
    <r>
      <rPr>
        <sz val="13"/>
        <color theme="1"/>
        <rFont val="Times New Roman"/>
        <family val="1"/>
      </rPr>
      <t>G</t>
    </r>
    <r>
      <rPr>
        <sz val="10"/>
        <color theme="1"/>
        <rFont val="Times New Roman"/>
        <family val="1"/>
      </rPr>
      <t>o</t>
    </r>
  </si>
  <si>
    <t xml:space="preserve">– trọng lượng bản thân, N </t>
  </si>
  <si>
    <r>
      <rPr>
        <sz val="13"/>
        <color theme="1"/>
        <rFont val="Times New Roman"/>
        <family val="1"/>
      </rPr>
      <t>G</t>
    </r>
    <r>
      <rPr>
        <sz val="10"/>
        <color theme="1"/>
        <rFont val="Times New Roman"/>
        <family val="1"/>
      </rPr>
      <t>o</t>
    </r>
    <r>
      <rPr>
        <sz val="8"/>
        <color theme="1"/>
        <rFont val="Times New Roman"/>
        <family val="1"/>
      </rPr>
      <t>1</t>
    </r>
  </si>
  <si>
    <t xml:space="preserve">– trọng lượng bản thân phân bố lên các bánh xe phía trước, N  </t>
  </si>
  <si>
    <t>Đối với:</t>
  </si>
  <si>
    <r>
      <rPr>
        <sz val="13"/>
        <color theme="1"/>
        <rFont val="Times New Roman"/>
        <family val="1"/>
      </rPr>
      <t xml:space="preserve">    Ô tô du lịch:                     G</t>
    </r>
    <r>
      <rPr>
        <sz val="10"/>
        <color theme="1"/>
        <rFont val="Times New Roman"/>
        <family val="1"/>
      </rPr>
      <t>o</t>
    </r>
    <r>
      <rPr>
        <sz val="8"/>
        <color theme="1"/>
        <rFont val="Times New Roman"/>
        <family val="1"/>
      </rPr>
      <t>1</t>
    </r>
    <r>
      <rPr>
        <sz val="13"/>
        <color theme="1"/>
        <rFont val="Times New Roman"/>
        <family val="1"/>
      </rPr>
      <t xml:space="preserve"> = (50÷60)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</si>
  <si>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1</t>
    </r>
    <r>
      <rPr>
        <sz val="13"/>
        <color theme="1"/>
        <rFont val="Times New Roman"/>
        <family val="1"/>
      </rPr>
      <t xml:space="preserve"> = (25÷45) %G</t>
    </r>
    <r>
      <rPr>
        <sz val="10"/>
        <color theme="1"/>
        <rFont val="Times New Roman"/>
        <family val="1"/>
      </rPr>
      <t>o</t>
    </r>
  </si>
  <si>
    <r>
      <rPr>
        <sz val="13"/>
        <color theme="1"/>
        <rFont val="Times New Roman"/>
        <family val="1"/>
      </rPr>
      <t>G</t>
    </r>
    <r>
      <rPr>
        <sz val="10"/>
        <color theme="1"/>
        <rFont val="Times New Roman"/>
        <family val="1"/>
      </rPr>
      <t>o</t>
    </r>
    <r>
      <rPr>
        <sz val="8"/>
        <color theme="1"/>
        <rFont val="Times New Roman"/>
        <family val="1"/>
      </rPr>
      <t>2</t>
    </r>
  </si>
  <si>
    <t>– trọng lượng bản thân phân bố lên các bánh xe phía sau,</t>
  </si>
  <si>
    <r>
      <rPr>
        <sz val="13"/>
        <color theme="1"/>
        <rFont val="Times New Roman"/>
        <family val="1"/>
      </rPr>
      <t xml:space="preserve">    Ô tô du lịch:                     G</t>
    </r>
    <r>
      <rPr>
        <sz val="10"/>
        <color theme="1"/>
        <rFont val="Times New Roman"/>
        <family val="1"/>
      </rPr>
      <t>o</t>
    </r>
    <r>
      <rPr>
        <sz val="8"/>
        <color theme="1"/>
        <rFont val="Times New Roman"/>
        <family val="1"/>
      </rPr>
      <t>2</t>
    </r>
    <r>
      <rPr>
        <sz val="13"/>
        <color theme="1"/>
        <rFont val="Times New Roman"/>
        <family val="1"/>
      </rPr>
      <t xml:space="preserve"> = (40÷50) %G</t>
    </r>
    <r>
      <rPr>
        <sz val="10"/>
        <color theme="1"/>
        <rFont val="Times New Roman"/>
        <family val="1"/>
      </rPr>
      <t>o</t>
    </r>
  </si>
  <si>
    <r>
      <rPr>
        <sz val="13"/>
        <color theme="1"/>
        <rFont val="Times New Roman"/>
        <family val="1"/>
      </rPr>
      <t xml:space="preserve">    Ô tô khách hay tải:           G</t>
    </r>
    <r>
      <rPr>
        <sz val="10"/>
        <color theme="1"/>
        <rFont val="Times New Roman"/>
        <family val="1"/>
      </rPr>
      <t>o</t>
    </r>
    <r>
      <rPr>
        <sz val="8"/>
        <color theme="1"/>
        <rFont val="Times New Roman"/>
        <family val="1"/>
      </rPr>
      <t>2</t>
    </r>
    <r>
      <rPr>
        <sz val="13"/>
        <color theme="1"/>
        <rFont val="Times New Roman"/>
        <family val="1"/>
      </rPr>
      <t xml:space="preserve"> = (55÷75) %G</t>
    </r>
    <r>
      <rPr>
        <sz val="10"/>
        <color theme="1"/>
        <rFont val="Times New Roman"/>
        <family val="1"/>
      </rPr>
      <t>o</t>
    </r>
  </si>
  <si>
    <r>
      <rPr>
        <sz val="13"/>
        <color theme="1"/>
        <rFont val="Times New Roman"/>
        <family val="1"/>
      </rPr>
      <t>G</t>
    </r>
    <r>
      <rPr>
        <sz val="10"/>
        <color theme="1"/>
        <rFont val="Times New Roman"/>
        <family val="1"/>
      </rPr>
      <t>hh</t>
    </r>
  </si>
  <si>
    <t>– trọng lượng hàng hóa chuyên chở, N</t>
  </si>
  <si>
    <t>G</t>
  </si>
  <si>
    <t xml:space="preserve">– trọng lượng toàn bộ ô tô, N </t>
  </si>
  <si>
    <r>
      <rPr>
        <sz val="13"/>
        <color theme="1"/>
        <rFont val="Times New Roman"/>
        <family val="1"/>
      </rPr>
      <t>G</t>
    </r>
    <r>
      <rPr>
        <sz val="8"/>
        <color theme="1"/>
        <rFont val="Times New Roman"/>
        <family val="1"/>
      </rPr>
      <t>1</t>
    </r>
  </si>
  <si>
    <t>– trọng lượng toàn bộ phân bố lên các bánh xe phía trước, N</t>
  </si>
  <si>
    <r>
      <rPr>
        <sz val="13"/>
        <color theme="1"/>
        <rFont val="Times New Roman"/>
        <family val="1"/>
      </rPr>
      <t>G</t>
    </r>
    <r>
      <rPr>
        <sz val="8"/>
        <color theme="1"/>
        <rFont val="Times New Roman"/>
        <family val="1"/>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</si>
  <si>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</si>
  <si>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</si>
  <si>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</si>
  <si>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</si>
  <si>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</si>
  <si>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</si>
  <si>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</si>
  <si>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</si>
  <si>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</si>
  <si>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family val="1"/>
      </rPr>
      <t>B</t>
    </r>
    <r>
      <rPr>
        <sz val="10"/>
        <color theme="1"/>
        <rFont val="Times New Roman"/>
        <family val="1"/>
      </rPr>
      <t>ot</t>
    </r>
  </si>
  <si>
    <t>– khoảng cách 2 vệt bánh xe trước, mm</t>
  </si>
  <si>
    <r>
      <rPr>
        <sz val="13"/>
        <color theme="1"/>
        <rFont val="Times New Roman"/>
        <family val="1"/>
      </rPr>
      <t>B</t>
    </r>
    <r>
      <rPr>
        <sz val="10"/>
        <color theme="1"/>
        <rFont val="Times New Roman"/>
        <family val="1"/>
      </rPr>
      <t>os</t>
    </r>
  </si>
  <si>
    <t>– khoảng cách 2 vệt bánh xe sau, mm</t>
  </si>
  <si>
    <t>W</t>
  </si>
  <si>
    <t>– nhân tố cản không khí, Ns2/m2;</t>
  </si>
  <si>
    <r>
      <rPr>
        <sz val="13"/>
        <color theme="1"/>
        <rFont val="Times New Roman"/>
        <family val="1"/>
      </rPr>
      <t>η</t>
    </r>
    <r>
      <rPr>
        <sz val="10"/>
        <color theme="1"/>
        <rFont val="Times New Roman"/>
        <family val="1"/>
      </rPr>
      <t>t</t>
    </r>
  </si>
  <si>
    <t>– hiệu suất của hệ thống truyền lực (tùy từng loại ô tô)</t>
  </si>
  <si>
    <r>
      <rPr>
        <sz val="13"/>
        <color theme="1"/>
        <rFont val="Times New Roman"/>
        <family val="1"/>
      </rPr>
      <t>N</t>
    </r>
    <r>
      <rPr>
        <vertAlign val="subscript"/>
        <sz val="13"/>
        <color theme="1"/>
        <rFont val="Times New Roman"/>
        <family val="1"/>
      </rPr>
      <t>emax</t>
    </r>
    <r>
      <rPr>
        <sz val="13"/>
        <color theme="1"/>
        <rFont val="Times New Roman"/>
        <family val="1"/>
      </rPr>
      <t xml:space="preserve"> </t>
    </r>
  </si>
  <si>
    <t>– công suất lớn nhất của động cơ đốt trong</t>
  </si>
  <si>
    <r>
      <rPr>
        <sz val="13"/>
        <color theme="1"/>
        <rFont val="Times New Roman"/>
        <family val="1"/>
      </rPr>
      <t>i</t>
    </r>
    <r>
      <rPr>
        <sz val="10"/>
        <color theme="1"/>
        <rFont val="Times New Roman"/>
        <family val="1"/>
      </rPr>
      <t>o</t>
    </r>
  </si>
  <si>
    <t>– tỷ số truyền của truyền lực chính</t>
  </si>
  <si>
    <t>Công suất: 1 kW = 1,36 CV = 1,34 HP</t>
  </si>
  <si>
    <t>ϕ</t>
  </si>
  <si>
    <r>
      <rPr>
        <sz val="13"/>
        <color theme="1"/>
        <rFont val="Times New Roman"/>
        <family val="1"/>
      </rPr>
      <t xml:space="preserve">– hệ số bám giữa bánh xe với mặt đường, nếu chọn nhựa hoặc bê tông khô và sạch, thì </t>
    </r>
    <r>
      <rPr>
        <sz val="13"/>
        <color theme="1"/>
        <rFont val="Calibri"/>
        <family val="2"/>
      </rPr>
      <t>ϕ</t>
    </r>
    <r>
      <rPr>
        <sz val="13"/>
        <color theme="1"/>
        <rFont val="Times New Roman"/>
        <family val="1"/>
      </rPr>
      <t xml:space="preserve"> = 0.7-0.8  </t>
    </r>
  </si>
  <si>
    <r>
      <rPr>
        <sz val="13"/>
        <rFont val="Times New Roman"/>
        <family val="1"/>
      </rPr>
      <t>n</t>
    </r>
    <r>
      <rPr>
        <sz val="8"/>
        <rFont val="Times New Roman"/>
        <family val="1"/>
      </rPr>
      <t xml:space="preserve">h </t>
    </r>
    <r>
      <rPr>
        <sz val="13"/>
        <rFont val="Times New Roman"/>
        <family val="1"/>
      </rPr>
      <t>=</t>
    </r>
  </si>
  <si>
    <r>
      <rPr>
        <sz val="13"/>
        <rFont val="Times New Roman"/>
        <family val="1"/>
      </rPr>
      <t>V</t>
    </r>
    <r>
      <rPr>
        <sz val="8"/>
        <rFont val="Times New Roman"/>
        <family val="1"/>
      </rPr>
      <t xml:space="preserve">max </t>
    </r>
    <r>
      <rPr>
        <sz val="13"/>
        <rFont val="Times New Roman"/>
        <family val="1"/>
      </rPr>
      <t>=</t>
    </r>
  </si>
  <si>
    <t>km/h</t>
  </si>
  <si>
    <r>
      <rPr>
        <sz val="13"/>
        <rFont val="Times New Roman"/>
        <family val="1"/>
      </rPr>
      <t>f</t>
    </r>
    <r>
      <rPr>
        <sz val="8"/>
        <rFont val="Times New Roman"/>
        <family val="1"/>
      </rPr>
      <t xml:space="preserve">V&lt; 80km/h </t>
    </r>
    <r>
      <rPr>
        <sz val="13"/>
        <rFont val="Times New Roman"/>
        <family val="1"/>
      </rPr>
      <t xml:space="preserve">= </t>
    </r>
  </si>
  <si>
    <t>0.012/0.014/0.016/0.018</t>
  </si>
  <si>
    <r>
      <rPr>
        <sz val="13"/>
        <rFont val="Times New Roman"/>
        <family val="1"/>
      </rPr>
      <t>f</t>
    </r>
    <r>
      <rPr>
        <sz val="8"/>
        <rFont val="Times New Roman"/>
        <family val="1"/>
      </rPr>
      <t xml:space="preserve">V&gt;= 80km/h </t>
    </r>
    <r>
      <rPr>
        <sz val="13"/>
        <rFont val="Times New Roman"/>
        <family val="1"/>
      </rPr>
      <t xml:space="preserve">= </t>
    </r>
  </si>
  <si>
    <t>lập bảng</t>
  </si>
  <si>
    <r>
      <rPr>
        <sz val="13"/>
        <rFont val="Times New Roman"/>
        <family val="1"/>
      </rPr>
      <t>(or) f</t>
    </r>
    <r>
      <rPr>
        <sz val="8"/>
        <rFont val="Times New Roman"/>
        <family val="1"/>
      </rPr>
      <t xml:space="preserve">V </t>
    </r>
    <r>
      <rPr>
        <sz val="13"/>
        <rFont val="Times New Roman"/>
        <family val="1"/>
      </rPr>
      <t xml:space="preserve">= </t>
    </r>
  </si>
  <si>
    <t>fv  = f(v) = (32 + v)/2800</t>
  </si>
  <si>
    <r>
      <rPr>
        <sz val="13"/>
        <rFont val="Times New Roman"/>
        <family val="1"/>
      </rPr>
      <t>G</t>
    </r>
    <r>
      <rPr>
        <sz val="8"/>
        <rFont val="Times New Roman"/>
        <family val="1"/>
      </rPr>
      <t>o</t>
    </r>
    <r>
      <rPr>
        <sz val="13"/>
        <rFont val="Times New Roman"/>
        <family val="1"/>
      </rPr>
      <t xml:space="preserve"> = </t>
    </r>
  </si>
  <si>
    <t>2170 – 2190</t>
  </si>
  <si>
    <t>1975 – 2075</t>
  </si>
  <si>
    <r>
      <rPr>
        <sz val="13"/>
        <rFont val="Times New Roman"/>
        <family val="1"/>
      </rPr>
      <t>G</t>
    </r>
    <r>
      <rPr>
        <sz val="8"/>
        <rFont val="Times New Roman"/>
        <family val="1"/>
      </rPr>
      <t>o1</t>
    </r>
    <r>
      <rPr>
        <sz val="13"/>
        <rFont val="Times New Roman"/>
        <family val="1"/>
      </rPr>
      <t xml:space="preserve"> = </t>
    </r>
  </si>
  <si>
    <t>46,52%</t>
  </si>
  <si>
    <r>
      <rPr>
        <sz val="13"/>
        <rFont val="Times New Roman"/>
        <family val="1"/>
      </rPr>
      <t>G</t>
    </r>
    <r>
      <rPr>
        <sz val="8"/>
        <rFont val="Times New Roman"/>
        <family val="1"/>
      </rPr>
      <t>o2</t>
    </r>
    <r>
      <rPr>
        <sz val="13"/>
        <rFont val="Times New Roman"/>
        <family val="1"/>
      </rPr>
      <t xml:space="preserve"> = </t>
    </r>
  </si>
  <si>
    <t>53,48%</t>
  </si>
  <si>
    <r>
      <rPr>
        <sz val="13"/>
        <rFont val="Times New Roman"/>
        <family val="1"/>
      </rPr>
      <t>G</t>
    </r>
    <r>
      <rPr>
        <sz val="6"/>
        <rFont val="Times New Roman"/>
        <family val="1"/>
      </rPr>
      <t>hh</t>
    </r>
    <r>
      <rPr>
        <sz val="13"/>
        <rFont val="Times New Roman"/>
        <family val="1"/>
      </rPr>
      <t xml:space="preserve"> =</t>
    </r>
  </si>
  <si>
    <t>?</t>
  </si>
  <si>
    <t xml:space="preserve">G = </t>
  </si>
  <si>
    <r>
      <rPr>
        <sz val="13"/>
        <rFont val="Times New Roman"/>
        <family val="1"/>
      </rPr>
      <t>G</t>
    </r>
    <r>
      <rPr>
        <sz val="7"/>
        <rFont val="Times New Roman"/>
        <family val="1"/>
      </rPr>
      <t>1</t>
    </r>
    <r>
      <rPr>
        <sz val="13"/>
        <rFont val="Times New Roman"/>
        <family val="1"/>
      </rPr>
      <t xml:space="preserve"> = </t>
    </r>
  </si>
  <si>
    <t>35,5%</t>
  </si>
  <si>
    <t>36,2%</t>
  </si>
  <si>
    <t>36,5%</t>
  </si>
  <si>
    <r>
      <rPr>
        <sz val="13"/>
        <rFont val="Times New Roman"/>
        <family val="1"/>
      </rPr>
      <t>G</t>
    </r>
    <r>
      <rPr>
        <sz val="7"/>
        <rFont val="Times New Roman"/>
        <family val="1"/>
      </rPr>
      <t xml:space="preserve">2 </t>
    </r>
    <r>
      <rPr>
        <sz val="13"/>
        <rFont val="Times New Roman"/>
        <family val="1"/>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</si>
  <si>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</si>
  <si>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</si>
  <si>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</si>
  <si>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</si>
  <si>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</si>
  <si>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</si>
  <si>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</si>
  <si>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</si>
  <si>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</si>
  <si>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</si>
  <si>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</si>
  <si>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</si>
  <si>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</si>
  <si>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</si>
  <si>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</si>
  <si>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</si>
  <si>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</si>
  <si>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</si>
  <si>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</si>
  <si>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</si>
  <si>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</si>
  <si>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</si>
  <si>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</si>
  <si>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</si>
  <si>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</si>
  <si>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</si>
  <si>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</si>
  <si>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</si>
  <si>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</si>
  <si>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family val="1"/>
      </rPr>
      <t>Chọn: W</t>
    </r>
    <r>
      <rPr>
        <sz val="8"/>
        <rFont val="Times New Roman"/>
        <family val="1"/>
      </rPr>
      <t>of</t>
    </r>
    <r>
      <rPr>
        <sz val="13"/>
        <rFont val="Times New Roman"/>
        <family val="1"/>
      </rPr>
      <t>/B</t>
    </r>
    <r>
      <rPr>
        <sz val="8"/>
        <rFont val="Times New Roman"/>
        <family val="1"/>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</si>
  <si>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</si>
  <si>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</si>
  <si>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</si>
  <si>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</si>
  <si>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</si>
  <si>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</si>
  <si>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</si>
  <si>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</si>
  <si>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</si>
  <si>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</si>
  <si>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</si>
  <si>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</si>
  <si>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</si>
  <si>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</si>
  <si>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</si>
  <si>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</si>
  <si>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</si>
  <si>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</si>
  <si>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</si>
  <si>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</si>
  <si>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</si>
  <si>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</si>
  <si>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</si>
  <si>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</si>
  <si>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</si>
  <si>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</si>
  <si>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family val="1"/>
      </rPr>
      <t>η</t>
    </r>
    <r>
      <rPr>
        <sz val="8"/>
        <rFont val="Times New Roman"/>
        <family val="1"/>
      </rPr>
      <t>t</t>
    </r>
    <r>
      <rPr>
        <sz val="13"/>
        <rFont val="Times New Roman"/>
        <family val="1"/>
      </rPr>
      <t xml:space="preserve"> = </t>
    </r>
  </si>
  <si>
    <r>
      <rPr>
        <sz val="13"/>
        <rFont val="Times New Roman"/>
        <family val="1"/>
      </rPr>
      <t>N</t>
    </r>
    <r>
      <rPr>
        <sz val="8"/>
        <rFont val="Times New Roman"/>
        <family val="1"/>
      </rPr>
      <t xml:space="preserve">eVmax </t>
    </r>
    <r>
      <rPr>
        <sz val="13"/>
        <rFont val="Times New Roman"/>
        <family val="1"/>
      </rPr>
      <t>=</t>
    </r>
  </si>
  <si>
    <t>[(N.m/s)+(Ns2/m2)(m/s)3]</t>
  </si>
  <si>
    <r>
      <rPr>
        <sz val="13"/>
        <rFont val="Times New Roman"/>
        <family val="1"/>
      </rPr>
      <t>N</t>
    </r>
    <r>
      <rPr>
        <sz val="8"/>
        <rFont val="Times New Roman"/>
        <family val="1"/>
      </rPr>
      <t xml:space="preserve">emax </t>
    </r>
    <r>
      <rPr>
        <sz val="13"/>
        <rFont val="Times New Roman"/>
        <family val="1"/>
      </rPr>
      <t>=</t>
    </r>
  </si>
  <si>
    <t>W (Oát)</t>
  </si>
  <si>
    <r>
      <rPr>
        <sz val="13"/>
        <rFont val="Times New Roman"/>
        <family val="1"/>
      </rPr>
      <t>N</t>
    </r>
    <r>
      <rPr>
        <sz val="8"/>
        <rFont val="Times New Roman"/>
        <family val="1"/>
      </rPr>
      <t xml:space="preserve">emax </t>
    </r>
    <r>
      <rPr>
        <sz val="13"/>
        <rFont val="Times New Roman"/>
        <family val="1"/>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</si>
  <si>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</si>
  <si>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</si>
  <si>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</si>
  <si>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</si>
  <si>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</si>
  <si>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</si>
  <si>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</si>
  <si>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</si>
  <si>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</si>
  <si>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</si>
  <si>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</si>
  <si>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</si>
  <si>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</si>
  <si>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</si>
  <si>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</si>
  <si>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</si>
  <si>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</si>
  <si>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</si>
  <si>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</si>
  <si>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</si>
  <si>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</si>
  <si>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</si>
  <si>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</si>
  <si>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</si>
  <si>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</si>
  <si>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</si>
  <si>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</si>
  <si>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</si>
  <si>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</si>
  <si>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</si>
  <si>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</si>
  <si>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</si>
  <si>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</si>
  <si>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</si>
  <si>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</si>
  <si>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</si>
  <si>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</si>
  <si>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</si>
  <si>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</si>
  <si>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</si>
  <si>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</si>
  <si>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</si>
  <si>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</si>
  <si>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</si>
  <si>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</si>
  <si>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</si>
  <si>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</si>
  <si>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</si>
  <si>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</si>
  <si>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</si>
  <si>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</si>
  <si>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</si>
  <si>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</si>
  <si>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</si>
  <si>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</si>
  <si>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</si>
  <si>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family val="1"/>
      </rPr>
      <t>i</t>
    </r>
    <r>
      <rPr>
        <sz val="6"/>
        <rFont val="Times New Roman"/>
        <family val="1"/>
      </rPr>
      <t>o</t>
    </r>
    <r>
      <rPr>
        <sz val="13"/>
        <rFont val="Times New Roman"/>
        <family val="1"/>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</si>
  <si>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</si>
  <si>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</si>
  <si>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</si>
  <si>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</si>
  <si>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</si>
  <si>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</si>
  <si>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</si>
  <si>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</si>
  <si>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</si>
  <si>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</si>
  <si>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</si>
  <si>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</si>
  <si>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</si>
  <si>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</si>
  <si>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family val="2"/>
      </rPr>
      <t xml:space="preserve">Môn học: </t>
    </r>
    <r>
      <rPr>
        <b/>
        <sz val="7"/>
        <color theme="1"/>
        <rFont val="Arial"/>
        <family val="2"/>
      </rPr>
      <t>Đồ án kết cấu, tính toán ô tô (AUE373) / Nhóm: 62.CNOT-3</t>
    </r>
  </si>
  <si>
    <t xml:space="preserve">Ngày thi:      /      /               Giờ thi:               Phòng thi: </t>
  </si>
  <si>
    <r>
      <rPr>
        <b/>
        <sz val="7"/>
        <color theme="1"/>
        <rFont val="Arial"/>
        <family val="2"/>
      </rPr>
      <t xml:space="preserve">....:KT% </t>
    </r>
    <r>
      <rPr>
        <sz val="7"/>
        <color theme="1"/>
        <rFont val="Arial"/>
        <family val="2"/>
      </rPr>
      <t xml:space="preserve">   CBGD: </t>
    </r>
    <r>
      <rPr>
        <b/>
        <sz val="7"/>
        <color theme="1"/>
        <rFont val="Arial"/>
        <family val="2"/>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</si>
  <si>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</si>
  <si>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</si>
  <si>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</si>
  <si>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</si>
  <si>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</si>
  <si>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</si>
  <si>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</si>
  <si>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</si>
  <si>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</si>
  <si>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</si>
  <si>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</si>
  <si>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</si>
  <si>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</si>
  <si>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</si>
  <si>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</si>
  <si>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</si>
  <si>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</si>
  <si>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</si>
  <si>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</si>
  <si>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</si>
  <si>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</si>
  <si>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</si>
  <si>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</si>
  <si>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</si>
  <si>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</si>
  <si>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</si>
  <si>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</si>
  <si>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</si>
  <si>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</si>
  <si>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</si>
  <si>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</si>
  <si>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</si>
  <si>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</si>
  <si>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</si>
  <si>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</si>
  <si>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</si>
  <si>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</si>
  <si>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</si>
  <si>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</si>
  <si>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</si>
  <si>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</si>
  <si>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</si>
  <si>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</si>
  <si>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</si>
  <si>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</si>
  <si>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</si>
  <si>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</si>
  <si>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</si>
  <si>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</si>
  <si>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</si>
  <si>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</si>
  <si>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</si>
  <si>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</si>
  <si>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</si>
  <si>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</si>
  <si>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</si>
  <si>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</si>
  <si>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</si>
  <si>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</si>
  <si>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</si>
  <si>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</si>
  <si>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</si>
  <si>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</si>
  <si>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</si>
  <si>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</si>
  <si>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</si>
  <si>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</si>
  <si>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</si>
  <si>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</si>
  <si>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</si>
  <si>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</si>
  <si>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</si>
  <si>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</si>
  <si>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</si>
  <si>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</si>
  <si>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</si>
  <si>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</si>
  <si>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</si>
  <si>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</si>
  <si>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</si>
  <si>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</si>
  <si>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</si>
  <si>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</si>
  <si>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</si>
  <si>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</si>
  <si>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</si>
  <si>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</si>
  <si>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</si>
  <si>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</si>
  <si>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</si>
  <si>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</si>
  <si>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</si>
  <si>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</si>
  <si>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</si>
  <si>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</si>
  <si>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</si>
  <si>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</si>
  <si>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</si>
  <si>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</si>
  <si>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</si>
  <si>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</si>
  <si>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</si>
  <si>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</si>
  <si>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</si>
  <si>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</si>
  <si>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</si>
  <si>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</si>
  <si>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</si>
  <si>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</si>
  <si>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</si>
  <si>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</si>
  <si>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</si>
  <si>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</si>
  <si>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</si>
  <si>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</si>
  <si>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</si>
  <si>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</si>
  <si>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</si>
  <si>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</si>
  <si>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</si>
  <si>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</si>
  <si>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</si>
  <si>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</si>
  <si>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</si>
  <si>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</si>
  <si>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</si>
  <si>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</si>
  <si>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</si>
  <si>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</si>
  <si>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</si>
  <si>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</si>
  <si>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</si>
  <si>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</si>
  <si>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</si>
  <si>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</si>
  <si>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</si>
  <si>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</si>
  <si>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</si>
  <si>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</si>
  <si>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</si>
  <si>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</si>
  <si>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</si>
  <si>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</si>
  <si>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</si>
  <si>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</si>
  <si>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</si>
  <si>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</si>
  <si>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</si>
  <si>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</si>
  <si>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</si>
  <si>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</si>
  <si>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</si>
  <si>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</si>
  <si>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</si>
  <si>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</si>
  <si>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</si>
  <si>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</si>
  <si>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</si>
  <si>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</si>
  <si>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</si>
  <si>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</si>
  <si>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</si>
  <si>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</si>
  <si>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</si>
  <si>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</si>
  <si>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</si>
  <si>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</si>
  <si>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</si>
  <si>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</si>
  <si>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</si>
  <si>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</si>
  <si>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</si>
  <si>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</si>
  <si>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</si>
  <si>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</si>
  <si>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</si>
  <si>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</si>
  <si>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</si>
  <si>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</si>
  <si>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</si>
  <si>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</si>
  <si>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</si>
  <si>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</si>
  <si>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</si>
  <si>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</si>
  <si>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</si>
  <si>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</si>
  <si>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</si>
  <si>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</si>
  <si>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</si>
  <si>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</si>
  <si>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</si>
  <si>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</si>
  <si>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</si>
  <si>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</si>
  <si>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</si>
  <si>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</si>
  <si>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</si>
  <si>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</si>
  <si>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</si>
  <si>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</si>
  <si>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</si>
  <si>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</si>
  <si>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</si>
  <si>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</si>
  <si>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</si>
  <si>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</si>
  <si>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</si>
  <si>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</si>
  <si>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</si>
  <si>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</si>
  <si>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</si>
  <si>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</si>
  <si>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</si>
  <si>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</si>
  <si>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</si>
  <si>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</si>
  <si>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</si>
  <si>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</si>
  <si>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</si>
  <si>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</si>
  <si>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</si>
  <si>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</si>
  <si>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</si>
  <si>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</si>
  <si>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</si>
  <si>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family val="2"/>
        <scheme val="minor"/>
      </rPr>
      <t xml:space="preserve">Môn học: </t>
    </r>
    <r>
      <rPr>
        <b/>
        <sz val="7"/>
        <color theme="1"/>
        <rFont val="Arial"/>
        <family val="2"/>
        <scheme val="minor"/>
      </rPr>
      <t>Đồ án kết cấu, tính toán ô tô (AUE373) / Nhóm: 62.CNOT-1</t>
    </r>
  </si>
  <si>
    <r>
      <rPr>
        <b/>
        <sz val="7"/>
        <color theme="1"/>
        <rFont val="Arial"/>
        <family val="2"/>
        <scheme val="minor"/>
      </rPr>
      <t>f</t>
    </r>
    <r>
      <rPr>
        <vertAlign val="subscript"/>
        <sz val="7"/>
        <color theme="1"/>
        <rFont val="Arial"/>
        <family val="2"/>
        <scheme val="minor"/>
      </rPr>
      <t>V</t>
    </r>
    <r>
      <rPr>
        <vertAlign val="subscript"/>
        <sz val="7"/>
        <color theme="1"/>
        <rFont val="Symbol"/>
        <family val="1"/>
        <charset val="2"/>
      </rPr>
      <t>£</t>
    </r>
    <r>
      <rPr>
        <vertAlign val="subscript"/>
        <sz val="7"/>
        <color theme="1"/>
        <rFont val="Arial"/>
        <family val="2"/>
        <scheme val="minor"/>
      </rPr>
      <t xml:space="preserve"> 80 km/h</t>
    </r>
  </si>
  <si>
    <r>
      <rPr>
        <b/>
        <sz val="7"/>
        <color theme="1"/>
        <rFont val="Times New Roman"/>
        <family val="1"/>
      </rPr>
      <t>φ</t>
    </r>
    <r>
      <rPr>
        <b/>
        <vertAlign val="subscript"/>
        <sz val="7"/>
        <color theme="1"/>
        <rFont val="Times New Roman"/>
        <family val="1"/>
      </rPr>
      <t>n</t>
    </r>
  </si>
  <si>
    <r>
      <rPr>
        <b/>
        <sz val="7"/>
        <color theme="1"/>
        <rFont val="Times New Roman"/>
        <family val="1"/>
      </rPr>
      <t>φ</t>
    </r>
    <r>
      <rPr>
        <b/>
        <vertAlign val="subscript"/>
        <sz val="7"/>
        <color theme="1"/>
        <rFont val="Times New Roman"/>
        <family val="1"/>
      </rPr>
      <t>d</t>
    </r>
  </si>
  <si>
    <r>
      <rPr>
        <b/>
        <sz val="7"/>
        <color theme="1"/>
        <rFont val="Arial"/>
        <family val="2"/>
        <scheme val="minor"/>
      </rPr>
      <t>L</t>
    </r>
    <r>
      <rPr>
        <b/>
        <vertAlign val="subscript"/>
        <sz val="7"/>
        <color theme="1"/>
        <rFont val="Arial"/>
        <family val="2"/>
        <scheme val="minor"/>
      </rPr>
      <t>O</t>
    </r>
  </si>
  <si>
    <r>
      <rPr>
        <b/>
        <sz val="7"/>
        <color theme="1"/>
        <rFont val="Arial"/>
        <family val="2"/>
        <scheme val="minor"/>
      </rPr>
      <t>W</t>
    </r>
    <r>
      <rPr>
        <b/>
        <vertAlign val="subscript"/>
        <sz val="7"/>
        <color theme="1"/>
        <rFont val="Arial"/>
        <family val="2"/>
        <scheme val="minor"/>
      </rPr>
      <t>O</t>
    </r>
  </si>
  <si>
    <r>
      <rPr>
        <b/>
        <sz val="7"/>
        <color theme="1"/>
        <rFont val="Arial"/>
        <family val="2"/>
        <scheme val="minor"/>
      </rPr>
      <t>H</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</si>
  <si>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</si>
  <si>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O1</t>
    </r>
  </si>
  <si>
    <r>
      <rPr>
        <b/>
        <sz val="7"/>
        <color theme="1"/>
        <rFont val="Arial"/>
        <family val="2"/>
        <scheme val="minor"/>
      </rPr>
      <t>G</t>
    </r>
    <r>
      <rPr>
        <b/>
        <vertAlign val="subscript"/>
        <sz val="7"/>
        <color theme="1"/>
        <rFont val="Arial"/>
        <family val="2"/>
        <scheme val="minor"/>
      </rPr>
      <t>o1</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</si>
  <si>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O2</t>
    </r>
  </si>
  <si>
    <r>
      <rPr>
        <b/>
        <sz val="7"/>
        <color theme="1"/>
        <rFont val="Arial"/>
        <family val="2"/>
        <scheme val="minor"/>
      </rPr>
      <t>G</t>
    </r>
    <r>
      <rPr>
        <b/>
        <vertAlign val="subscript"/>
        <sz val="7"/>
        <color theme="1"/>
        <rFont val="Arial"/>
        <family val="2"/>
        <scheme val="minor"/>
      </rPr>
      <t>o2</t>
    </r>
    <r>
      <rPr>
        <b/>
        <sz val="7"/>
        <color theme="1"/>
        <rFont val="Arial"/>
        <family val="2"/>
        <scheme val="minor"/>
      </rPr>
      <t>= %G</t>
    </r>
    <r>
      <rPr>
        <b/>
        <vertAlign val="subscript"/>
        <sz val="7"/>
        <color theme="1"/>
        <rFont val="Arial"/>
        <family val="2"/>
        <scheme val="minor"/>
      </rPr>
      <t>O</t>
    </r>
  </si>
  <si>
    <r>
      <rPr>
        <b/>
        <sz val="7"/>
        <color theme="1"/>
        <rFont val="Arial"/>
        <family val="2"/>
        <scheme val="minor"/>
      </rPr>
      <t>G</t>
    </r>
    <r>
      <rPr>
        <b/>
        <vertAlign val="subscript"/>
        <sz val="7"/>
        <color theme="1"/>
        <rFont val="Arial"/>
        <family val="2"/>
        <scheme val="minor"/>
      </rPr>
      <t>1</t>
    </r>
  </si>
  <si>
    <r>
      <rPr>
        <b/>
        <sz val="7"/>
        <color theme="1"/>
        <rFont val="Arial"/>
        <family val="2"/>
        <scheme val="minor"/>
      </rPr>
      <t>G</t>
    </r>
    <r>
      <rPr>
        <b/>
        <vertAlign val="subscript"/>
        <sz val="7"/>
        <color theme="1"/>
        <rFont val="Arial"/>
        <family val="2"/>
        <scheme val="minor"/>
      </rPr>
      <t>1</t>
    </r>
    <r>
      <rPr>
        <b/>
        <sz val="7"/>
        <color theme="1"/>
        <rFont val="Arial"/>
        <family val="2"/>
        <scheme val="minor"/>
      </rPr>
      <t>= %G</t>
    </r>
  </si>
  <si>
    <r>
      <rPr>
        <b/>
        <sz val="7"/>
        <color theme="1"/>
        <rFont val="Arial"/>
        <family val="2"/>
        <scheme val="minor"/>
      </rPr>
      <t>G</t>
    </r>
    <r>
      <rPr>
        <b/>
        <vertAlign val="subscript"/>
        <sz val="7"/>
        <color theme="1"/>
        <rFont val="Arial"/>
        <family val="2"/>
        <scheme val="minor"/>
      </rPr>
      <t>2</t>
    </r>
  </si>
  <si>
    <r>
      <rPr>
        <b/>
        <sz val="7"/>
        <color theme="1"/>
        <rFont val="Arial"/>
        <family val="2"/>
        <scheme val="minor"/>
      </rPr>
      <t>G</t>
    </r>
    <r>
      <rPr>
        <b/>
        <vertAlign val="subscript"/>
        <sz val="7"/>
        <color theme="1"/>
        <rFont val="Arial"/>
        <family val="2"/>
        <scheme val="minor"/>
      </rPr>
      <t>2</t>
    </r>
    <r>
      <rPr>
        <b/>
        <sz val="7"/>
        <color theme="1"/>
        <rFont val="Arial"/>
        <family val="2"/>
        <scheme val="minor"/>
      </rPr>
      <t>= %G</t>
    </r>
    <r>
      <rPr>
        <b/>
        <vertAlign val="subscript"/>
        <sz val="7"/>
        <color theme="1"/>
        <rFont val="Arial"/>
        <family val="2"/>
        <scheme val="minor"/>
      </rPr>
      <t>O</t>
    </r>
  </si>
  <si>
    <r>
      <rPr>
        <b/>
        <sz val="7"/>
        <color theme="1"/>
        <rFont val="Arial"/>
        <family val="2"/>
        <scheme val="minor"/>
      </rPr>
      <t>i</t>
    </r>
    <r>
      <rPr>
        <b/>
        <vertAlign val="subscript"/>
        <sz val="7"/>
        <color theme="1"/>
        <rFont val="Arial"/>
        <family val="2"/>
        <scheme val="minor"/>
      </rPr>
      <t>h1</t>
    </r>
  </si>
  <si>
    <r>
      <rPr>
        <b/>
        <sz val="7"/>
        <color theme="1"/>
        <rFont val="Arial"/>
        <family val="2"/>
        <scheme val="minor"/>
      </rPr>
      <t>i</t>
    </r>
    <r>
      <rPr>
        <b/>
        <vertAlign val="subscript"/>
        <sz val="7"/>
        <color theme="1"/>
        <rFont val="Arial"/>
        <family val="2"/>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</si>
  <si>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</si>
  <si>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</si>
  <si>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</si>
  <si>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</si>
  <si>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</si>
  <si>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</si>
  <si>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</si>
  <si>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</si>
  <si>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</si>
  <si>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</si>
  <si>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</si>
  <si>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</si>
  <si>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</si>
  <si>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</si>
  <si>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</si>
  <si>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</si>
  <si>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</si>
  <si>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</si>
  <si>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</si>
  <si>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</si>
  <si>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</si>
  <si>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</si>
  <si>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</si>
  <si>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</si>
  <si>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</si>
  <si>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</si>
  <si>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</si>
  <si>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</si>
  <si>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</si>
  <si>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</si>
  <si>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</si>
  <si>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</si>
  <si>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</si>
  <si>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</si>
  <si>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</si>
  <si>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</si>
  <si>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</si>
  <si>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</si>
  <si>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</si>
  <si>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</si>
  <si>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</si>
  <si>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</si>
  <si>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</si>
  <si>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</si>
  <si>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</si>
  <si>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</si>
  <si>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</si>
  <si>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</si>
  <si>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</si>
  <si>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</si>
  <si>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</si>
  <si>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</si>
  <si>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</si>
  <si>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</si>
  <si>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</si>
  <si>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</si>
  <si>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</si>
  <si>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</si>
  <si>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</si>
  <si>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</si>
  <si>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</si>
  <si>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</si>
  <si>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family val="2"/>
        <scheme val="minor"/>
      </rPr>
      <t xml:space="preserve">0.012 </t>
    </r>
    <r>
      <rPr>
        <sz val="7"/>
        <color theme="1"/>
        <rFont val="Symbol"/>
        <family val="1"/>
        <charset val="2"/>
      </rPr>
      <t>¸</t>
    </r>
    <r>
      <rPr>
        <sz val="9.1"/>
        <color theme="1"/>
        <rFont val="Calibri"/>
        <family val="2"/>
      </rPr>
      <t xml:space="preserve"> </t>
    </r>
    <r>
      <rPr>
        <sz val="7"/>
        <color theme="1"/>
        <rFont val="Arial"/>
        <family val="2"/>
        <scheme val="minor"/>
      </rPr>
      <t>0.018</t>
    </r>
  </si>
  <si>
    <r>
      <rPr>
        <sz val="7"/>
        <color theme="1"/>
        <rFont val="Arial"/>
        <family val="2"/>
        <scheme val="minor"/>
      </rPr>
      <t xml:space="preserve">0.7 </t>
    </r>
    <r>
      <rPr>
        <sz val="7"/>
        <color theme="1"/>
        <rFont val="Symbol"/>
        <family val="1"/>
        <charset val="2"/>
      </rPr>
      <t>¸</t>
    </r>
    <r>
      <rPr>
        <sz val="9.1"/>
        <color theme="1"/>
        <rFont val="Calibri"/>
        <family val="2"/>
      </rPr>
      <t xml:space="preserve"> </t>
    </r>
    <r>
      <rPr>
        <sz val="7"/>
        <color theme="1"/>
        <rFont val="Arial"/>
        <family val="2"/>
        <scheme val="minor"/>
      </rPr>
      <t>0.8</t>
    </r>
  </si>
  <si>
    <r>
      <rPr>
        <sz val="7"/>
        <color theme="1"/>
        <rFont val="Arial"/>
        <family val="2"/>
        <scheme val="minor"/>
      </rPr>
      <t xml:space="preserve">a </t>
    </r>
    <r>
      <rPr>
        <sz val="7"/>
        <color theme="1"/>
        <rFont val="Symbol"/>
        <family val="1"/>
        <charset val="2"/>
      </rPr>
      <t>¸</t>
    </r>
    <r>
      <rPr>
        <sz val="9.1"/>
        <color theme="1"/>
        <rFont val="Calibri"/>
        <family val="2"/>
      </rPr>
      <t xml:space="preserve"> </t>
    </r>
    <r>
      <rPr>
        <sz val="7"/>
        <color theme="1"/>
        <rFont val="Arial"/>
        <family val="2"/>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</si>
  <si>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</si>
  <si>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</si>
  <si>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</si>
  <si>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</si>
  <si>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</si>
  <si>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</si>
  <si>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</si>
  <si>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family val="2"/>
      </rPr>
      <t>hh</t>
    </r>
    <r>
      <rPr>
        <sz val="11"/>
        <rFont val="Arial"/>
        <family val="2"/>
      </rPr>
      <t>, [kg]</t>
    </r>
  </si>
  <si>
    <t>c.</t>
  </si>
  <si>
    <t xml:space="preserve"> Vận tốc lớn nhất, mặt đường tương ứng</t>
  </si>
  <si>
    <r>
      <t xml:space="preserve">   + Vận tốc lớn nhất, v</t>
    </r>
    <r>
      <rPr>
        <vertAlign val="subscript"/>
        <sz val="11"/>
        <rFont val="Arial"/>
        <family val="2"/>
      </rPr>
      <t>max</t>
    </r>
    <r>
      <rPr>
        <sz val="11"/>
        <rFont val="Arial"/>
        <family val="2"/>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</si>
  <si>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</si>
  <si>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</si>
  <si>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</si>
  <si>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</si>
  <si>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</si>
  <si>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</si>
  <si>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</si>
  <si>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family val="2"/>
      </rPr>
      <t>0</t>
    </r>
    <r>
      <rPr>
        <b/>
        <i/>
        <sz val="11"/>
        <rFont val="Arial"/>
        <family val="2"/>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</si>
  <si>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</si>
  <si>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</si>
  <si>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</si>
  <si>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</si>
  <si>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</si>
  <si>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</si>
  <si>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</si>
  <si>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</si>
  <si>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</si>
  <si>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</si>
  <si>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</si>
  <si>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</si>
  <si>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</si>
  <si>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</si>
  <si>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</si>
  <si>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</si>
  <si>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</si>
  <si>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</si>
  <si>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</si>
  <si>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</si>
  <si>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</si>
  <si>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</si>
  <si>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</si>
  <si>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</si>
  <si>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</si>
  <si>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</si>
  <si>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</si>
  <si>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</si>
  <si>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</si>
  <si>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</si>
  <si>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</si>
  <si>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family val="2"/>
      </rPr>
      <t>o</t>
    </r>
    <r>
      <rPr>
        <b/>
        <i/>
        <sz val="11"/>
        <rFont val="Arial"/>
        <family val="2"/>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</si>
  <si>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</si>
  <si>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</si>
  <si>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</si>
  <si>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family val="2"/>
      </rPr>
      <t>o</t>
    </r>
    <r>
      <rPr>
        <b/>
        <sz val="11"/>
        <rFont val="Arial"/>
        <family val="2"/>
      </rPr>
      <t>, G</t>
    </r>
    <r>
      <rPr>
        <b/>
        <vertAlign val="subscript"/>
        <sz val="11"/>
        <rFont val="Arial"/>
        <family val="2"/>
      </rPr>
      <t>o1</t>
    </r>
    <r>
      <rPr>
        <b/>
        <sz val="11"/>
        <rFont val="Arial"/>
        <family val="2"/>
      </rPr>
      <t>, G</t>
    </r>
    <r>
      <rPr>
        <b/>
        <vertAlign val="subscript"/>
        <sz val="11"/>
        <rFont val="Arial"/>
        <family val="2"/>
      </rPr>
      <t>o2</t>
    </r>
    <r>
      <rPr>
        <b/>
        <sz val="11"/>
        <rFont val="Arial"/>
        <family val="2"/>
      </rPr>
      <t>); xe đủ tải (G, G1, G2), kg</t>
    </r>
  </si>
  <si>
    <r>
      <t>5 chỗ (% G</t>
    </r>
    <r>
      <rPr>
        <b/>
        <vertAlign val="subscript"/>
        <sz val="11"/>
        <rFont val="Arial"/>
        <family val="2"/>
      </rPr>
      <t>O</t>
    </r>
    <r>
      <rPr>
        <b/>
        <sz val="11"/>
        <rFont val="Arial"/>
        <family val="2"/>
      </rPr>
      <t>)</t>
    </r>
  </si>
  <si>
    <r>
      <t>7 chỗ (% G</t>
    </r>
    <r>
      <rPr>
        <b/>
        <vertAlign val="subscript"/>
        <sz val="11"/>
        <rFont val="Arial"/>
        <family val="2"/>
      </rPr>
      <t>O</t>
    </r>
    <r>
      <rPr>
        <b/>
        <sz val="11"/>
        <rFont val="Arial"/>
        <family val="2"/>
      </rPr>
      <t>)</t>
    </r>
  </si>
  <si>
    <r>
      <t>16 chỗ (% G</t>
    </r>
    <r>
      <rPr>
        <b/>
        <vertAlign val="subscript"/>
        <sz val="11"/>
        <rFont val="Arial"/>
        <family val="2"/>
      </rPr>
      <t>O</t>
    </r>
    <r>
      <rPr>
        <b/>
        <sz val="11"/>
        <rFont val="Arial"/>
        <family val="2"/>
      </rPr>
      <t>)</t>
    </r>
  </si>
  <si>
    <r>
      <t>29 chỗ (% G</t>
    </r>
    <r>
      <rPr>
        <b/>
        <vertAlign val="subscript"/>
        <sz val="11"/>
        <rFont val="Arial"/>
        <family val="2"/>
      </rPr>
      <t>O</t>
    </r>
    <r>
      <rPr>
        <b/>
        <sz val="11"/>
        <rFont val="Arial"/>
        <family val="2"/>
      </rPr>
      <t>)</t>
    </r>
  </si>
  <si>
    <r>
      <t>47 chỗ (% G</t>
    </r>
    <r>
      <rPr>
        <b/>
        <vertAlign val="subscript"/>
        <sz val="11"/>
        <rFont val="Arial"/>
        <family val="2"/>
      </rPr>
      <t>O</t>
    </r>
    <r>
      <rPr>
        <b/>
        <sz val="11"/>
        <rFont val="Arial"/>
        <family val="2"/>
      </rPr>
      <t>)</t>
    </r>
  </si>
  <si>
    <t>Tải (% G0)</t>
  </si>
  <si>
    <r>
      <t xml:space="preserve"> G</t>
    </r>
    <r>
      <rPr>
        <b/>
        <vertAlign val="subscript"/>
        <sz val="11"/>
        <rFont val="Arial"/>
        <family val="2"/>
      </rPr>
      <t>o</t>
    </r>
  </si>
  <si>
    <t>1030 ÷ 2935</t>
  </si>
  <si>
    <t>1115 ÷ 2675</t>
  </si>
  <si>
    <t>1600 ÷ 3420</t>
  </si>
  <si>
    <t>2025 ÷ 8525</t>
  </si>
  <si>
    <r>
      <t xml:space="preserve">10600 </t>
    </r>
    <r>
      <rPr>
        <b/>
        <sz val="11"/>
        <rFont val="Times New Roman"/>
        <family val="1"/>
      </rPr>
      <t>÷</t>
    </r>
    <r>
      <rPr>
        <b/>
        <sz val="11"/>
        <rFont val="Arial"/>
        <family val="2"/>
        <scheme val="minor"/>
      </rPr>
      <t xml:space="preserve"> 12850</t>
    </r>
  </si>
  <si>
    <t>1745 ÷ 6400</t>
  </si>
  <si>
    <r>
      <t xml:space="preserve"> G</t>
    </r>
    <r>
      <rPr>
        <b/>
        <vertAlign val="subscript"/>
        <sz val="11"/>
        <rFont val="Arial"/>
        <family val="2"/>
      </rPr>
      <t>o1</t>
    </r>
    <r>
      <rPr>
        <b/>
        <sz val="11"/>
        <rFont val="Arial"/>
        <family val="2"/>
      </rPr>
      <t>%</t>
    </r>
  </si>
  <si>
    <t>47 ÷ 63</t>
  </si>
  <si>
    <t>40 ÷ 70</t>
  </si>
  <si>
    <t>40 ÷ 60</t>
  </si>
  <si>
    <t>31 ÷ 59</t>
  </si>
  <si>
    <r>
      <t xml:space="preserve">28 </t>
    </r>
    <r>
      <rPr>
        <b/>
        <sz val="11"/>
        <rFont val="Times New Roman"/>
        <family val="1"/>
      </rPr>
      <t>÷</t>
    </r>
    <r>
      <rPr>
        <b/>
        <sz val="11"/>
        <rFont val="Arial"/>
        <family val="2"/>
        <scheme val="minor"/>
      </rPr>
      <t xml:space="preserve"> 38</t>
    </r>
  </si>
  <si>
    <t>28 ÷ 74</t>
  </si>
  <si>
    <r>
      <t xml:space="preserve"> G</t>
    </r>
    <r>
      <rPr>
        <b/>
        <vertAlign val="subscript"/>
        <sz val="11"/>
        <rFont val="Arial"/>
        <family val="2"/>
      </rPr>
      <t>o2</t>
    </r>
    <r>
      <rPr>
        <b/>
        <sz val="11"/>
        <rFont val="Arial"/>
        <family val="2"/>
      </rPr>
      <t>%</t>
    </r>
  </si>
  <si>
    <t>37 ÷ 53</t>
  </si>
  <si>
    <t>30 ÷ 60</t>
  </si>
  <si>
    <t>41 ÷ 69</t>
  </si>
  <si>
    <r>
      <t xml:space="preserve">62 </t>
    </r>
    <r>
      <rPr>
        <b/>
        <sz val="11"/>
        <rFont val="Times New Roman"/>
        <family val="1"/>
      </rPr>
      <t>÷</t>
    </r>
    <r>
      <rPr>
        <b/>
        <sz val="11"/>
        <rFont val="Arial"/>
        <family val="2"/>
        <scheme val="minor"/>
      </rPr>
      <t xml:space="preserve"> 72</t>
    </r>
  </si>
  <si>
    <t>27 ÷ 72</t>
  </si>
  <si>
    <t xml:space="preserve"> G</t>
  </si>
  <si>
    <r>
      <t xml:space="preserve"> G</t>
    </r>
    <r>
      <rPr>
        <b/>
        <vertAlign val="subscript"/>
        <sz val="11"/>
        <rFont val="Arial"/>
        <family val="2"/>
      </rPr>
      <t>1</t>
    </r>
    <r>
      <rPr>
        <b/>
        <sz val="11"/>
        <rFont val="Arial"/>
        <family val="2"/>
      </rPr>
      <t>%</t>
    </r>
  </si>
  <si>
    <t>33 ÷ 56</t>
  </si>
  <si>
    <t>40 ÷ 72</t>
  </si>
  <si>
    <t>30 ÷ 56</t>
  </si>
  <si>
    <t>36 ÷ 44</t>
  </si>
  <si>
    <r>
      <t xml:space="preserve">34 </t>
    </r>
    <r>
      <rPr>
        <b/>
        <sz val="11"/>
        <rFont val="Times New Roman"/>
        <family val="1"/>
      </rPr>
      <t>÷</t>
    </r>
    <r>
      <rPr>
        <b/>
        <sz val="11"/>
        <rFont val="Arial"/>
        <family val="2"/>
        <scheme val="minor"/>
      </rPr>
      <t xml:space="preserve"> 38</t>
    </r>
  </si>
  <si>
    <t>21 ÷ 48</t>
  </si>
  <si>
    <r>
      <t xml:space="preserve"> G</t>
    </r>
    <r>
      <rPr>
        <b/>
        <vertAlign val="subscript"/>
        <sz val="11"/>
        <rFont val="Arial"/>
        <family val="2"/>
      </rPr>
      <t>2</t>
    </r>
    <r>
      <rPr>
        <b/>
        <sz val="11"/>
        <rFont val="Arial"/>
        <family val="2"/>
      </rPr>
      <t>%</t>
    </r>
  </si>
  <si>
    <t>44 ÷ 67</t>
  </si>
  <si>
    <t>27 ÷ 60</t>
  </si>
  <si>
    <t>44 ÷ 70</t>
  </si>
  <si>
    <t>56 ÷ 64</t>
  </si>
  <si>
    <r>
      <t xml:space="preserve">62 </t>
    </r>
    <r>
      <rPr>
        <b/>
        <sz val="11"/>
        <rFont val="Times New Roman"/>
        <family val="1"/>
      </rPr>
      <t>÷</t>
    </r>
    <r>
      <rPr>
        <b/>
        <sz val="11"/>
        <rFont val="Arial"/>
        <family val="2"/>
        <scheme val="minor"/>
      </rPr>
      <t xml:space="preserve"> 66</t>
    </r>
  </si>
  <si>
    <t>52 ÷ 79</t>
  </si>
  <si>
    <r>
      <t xml:space="preserve"> + Trọng lượng bản thân xe, G</t>
    </r>
    <r>
      <rPr>
        <vertAlign val="subscript"/>
        <sz val="11"/>
        <rFont val="Arial"/>
        <family val="2"/>
      </rPr>
      <t>o</t>
    </r>
    <r>
      <rPr>
        <sz val="11"/>
        <rFont val="Arial"/>
        <family val="2"/>
      </rPr>
      <t>, [kg]</t>
    </r>
  </si>
  <si>
    <r>
      <t xml:space="preserve"> + Phần trăm (%) G</t>
    </r>
    <r>
      <rPr>
        <vertAlign val="subscript"/>
        <sz val="11"/>
        <rFont val="Arial"/>
        <family val="2"/>
      </rPr>
      <t>o</t>
    </r>
    <r>
      <rPr>
        <sz val="11"/>
        <rFont val="Arial"/>
        <family val="2"/>
      </rPr>
      <t xml:space="preserve"> phân cho phía trục cầu trước, G</t>
    </r>
    <r>
      <rPr>
        <vertAlign val="subscript"/>
        <sz val="11"/>
        <rFont val="Arial"/>
        <family val="2"/>
      </rPr>
      <t>o1</t>
    </r>
    <r>
      <rPr>
        <sz val="11"/>
        <rFont val="Arial"/>
        <family val="2"/>
      </rPr>
      <t>%;</t>
    </r>
  </si>
  <si>
    <r>
      <t xml:space="preserve"> + Phần trăm (%) G</t>
    </r>
    <r>
      <rPr>
        <vertAlign val="subscript"/>
        <sz val="11"/>
        <rFont val="Arial"/>
        <family val="2"/>
      </rPr>
      <t>o</t>
    </r>
    <r>
      <rPr>
        <sz val="11"/>
        <rFont val="Arial"/>
        <family val="2"/>
      </rPr>
      <t xml:space="preserve"> phân cho phía trục cầu sau, G</t>
    </r>
    <r>
      <rPr>
        <vertAlign val="subscript"/>
        <sz val="11"/>
        <rFont val="Arial"/>
        <family val="2"/>
      </rPr>
      <t>o2</t>
    </r>
    <r>
      <rPr>
        <sz val="11"/>
        <rFont val="Arial"/>
        <family val="2"/>
      </rPr>
      <t>%;</t>
    </r>
  </si>
  <si>
    <r>
      <t xml:space="preserve">Trong thiết kế tính toán ô tô thì người ta thường áp dụng sự phân bố tải trọng lên cầu sau và trước theo tỉ lệ sau: - </t>
    </r>
    <r>
      <rPr>
        <b/>
        <sz val="11"/>
        <rFont val="Arial"/>
        <family val="2"/>
        <scheme val="minor"/>
      </rPr>
      <t>Đối với xe du lịch: Cầu sau 50% , cầu trước 50%.</t>
    </r>
    <r>
      <rPr>
        <sz val="11"/>
        <rFont val="Arial"/>
        <family val="2"/>
        <scheme val="minor"/>
      </rPr>
      <t xml:space="preserve"> </t>
    </r>
    <r>
      <rPr>
        <b/>
        <sz val="11"/>
        <rFont val="Arial"/>
        <family val="2"/>
        <scheme val="minor"/>
      </rPr>
      <t>- Đối với xe tải và xe khách: Cầu sau 65-70% , cầu trước 30-35%</t>
    </r>
    <r>
      <rPr>
        <sz val="11"/>
        <rFont val="Arial"/>
        <family val="2"/>
        <scheme val="minor"/>
      </rPr>
      <t>.3</t>
    </r>
  </si>
  <si>
    <t xml:space="preserve"> + Trọng lượng xe đủ tải, G, [kg]</t>
  </si>
  <si>
    <r>
      <t xml:space="preserve"> + Phần trăm (%) G phân cho phía trục cầu trước, G</t>
    </r>
    <r>
      <rPr>
        <vertAlign val="subscript"/>
        <sz val="11"/>
        <rFont val="Arial"/>
        <family val="2"/>
      </rPr>
      <t>1</t>
    </r>
    <r>
      <rPr>
        <sz val="11"/>
        <rFont val="Arial"/>
        <family val="2"/>
      </rPr>
      <t>%;</t>
    </r>
  </si>
  <si>
    <r>
      <t xml:space="preserve"> + Phần trăm (%) G phân cho phía trục cầu sau, G</t>
    </r>
    <r>
      <rPr>
        <vertAlign val="subscript"/>
        <sz val="11"/>
        <rFont val="Arial"/>
        <family val="2"/>
      </rPr>
      <t>2</t>
    </r>
    <r>
      <rPr>
        <sz val="11"/>
        <rFont val="Arial"/>
        <family val="2"/>
      </rPr>
      <t>%;</t>
    </r>
  </si>
  <si>
    <r>
      <t xml:space="preserve"> Với, 100% G</t>
    </r>
    <r>
      <rPr>
        <vertAlign val="subscript"/>
        <sz val="11"/>
        <rFont val="Arial"/>
        <family val="2"/>
      </rPr>
      <t>o</t>
    </r>
    <r>
      <rPr>
        <sz val="11"/>
        <rFont val="Arial"/>
        <family val="2"/>
      </rPr>
      <t xml:space="preserve"> = (G</t>
    </r>
    <r>
      <rPr>
        <vertAlign val="subscript"/>
        <sz val="11"/>
        <rFont val="Arial"/>
        <family val="2"/>
      </rPr>
      <t>o1</t>
    </r>
    <r>
      <rPr>
        <sz val="11"/>
        <rFont val="Arial"/>
        <family val="2"/>
      </rPr>
      <t xml:space="preserve"> + G</t>
    </r>
    <r>
      <rPr>
        <vertAlign val="subscript"/>
        <sz val="11"/>
        <rFont val="Arial"/>
        <family val="2"/>
      </rPr>
      <t>o2</t>
    </r>
    <r>
      <rPr>
        <sz val="11"/>
        <rFont val="Arial"/>
        <family val="2"/>
      </rPr>
      <t>)%</t>
    </r>
  </si>
  <si>
    <r>
      <t xml:space="preserve"> Tải trọng hữu ích, G</t>
    </r>
    <r>
      <rPr>
        <b/>
        <i/>
        <vertAlign val="subscript"/>
        <sz val="11"/>
        <rFont val="Arial"/>
        <family val="2"/>
      </rPr>
      <t>e</t>
    </r>
    <r>
      <rPr>
        <b/>
        <i/>
        <sz val="11"/>
        <rFont val="Arial"/>
        <family val="2"/>
      </rPr>
      <t>, [kg]</t>
    </r>
  </si>
  <si>
    <r>
      <t xml:space="preserve"> G</t>
    </r>
    <r>
      <rPr>
        <vertAlign val="subscript"/>
        <sz val="11"/>
        <rFont val="Arial"/>
        <family val="2"/>
      </rPr>
      <t xml:space="preserve">e </t>
    </r>
    <r>
      <rPr>
        <sz val="11"/>
        <rFont val="Arial"/>
        <family val="2"/>
      </rPr>
      <t>được xác định qua biểu thức:</t>
    </r>
  </si>
  <si>
    <r>
      <t xml:space="preserve"> G</t>
    </r>
    <r>
      <rPr>
        <vertAlign val="subscript"/>
        <sz val="11"/>
        <rFont val="Arial"/>
        <family val="2"/>
      </rPr>
      <t xml:space="preserve">e </t>
    </r>
    <r>
      <rPr>
        <sz val="11"/>
        <rFont val="Arial"/>
        <family val="2"/>
      </rPr>
      <t>= (G</t>
    </r>
    <r>
      <rPr>
        <vertAlign val="subscript"/>
        <sz val="11"/>
        <rFont val="Arial"/>
        <family val="2"/>
      </rPr>
      <t xml:space="preserve">AP </t>
    </r>
    <r>
      <rPr>
        <sz val="11"/>
        <rFont val="Arial"/>
        <family val="2"/>
      </rPr>
      <t>+ G</t>
    </r>
    <r>
      <rPr>
        <vertAlign val="subscript"/>
        <sz val="11"/>
        <rFont val="Arial"/>
        <family val="2"/>
      </rPr>
      <t>hh</t>
    </r>
    <r>
      <rPr>
        <sz val="11"/>
        <rFont val="Arial"/>
        <family val="2"/>
      </rPr>
      <t>), [kg]</t>
    </r>
  </si>
  <si>
    <t xml:space="preserve"> + Trọng lượng người và hành lý xách tay</t>
  </si>
  <si>
    <r>
      <t xml:space="preserve"> Trọng lượng người và hành lý xách tay - G</t>
    </r>
    <r>
      <rPr>
        <vertAlign val="subscript"/>
        <sz val="11"/>
        <rFont val="Arial"/>
        <family val="2"/>
      </rPr>
      <t xml:space="preserve">AP </t>
    </r>
    <r>
      <rPr>
        <sz val="11"/>
        <rFont val="Arial"/>
        <family val="2"/>
      </rPr>
      <t>- được xác định bằng biểu thức:</t>
    </r>
  </si>
  <si>
    <r>
      <t xml:space="preserve"> G</t>
    </r>
    <r>
      <rPr>
        <vertAlign val="subscript"/>
        <sz val="11"/>
        <rFont val="Arial"/>
        <family val="2"/>
      </rPr>
      <t xml:space="preserve">AP </t>
    </r>
    <r>
      <rPr>
        <sz val="11"/>
        <rFont val="Arial"/>
        <family val="2"/>
      </rPr>
      <t>= (G</t>
    </r>
    <r>
      <rPr>
        <vertAlign val="subscript"/>
        <sz val="11"/>
        <rFont val="Arial"/>
        <family val="2"/>
      </rPr>
      <t>p</t>
    </r>
    <r>
      <rPr>
        <sz val="11"/>
        <rFont val="Arial"/>
        <family val="2"/>
      </rPr>
      <t xml:space="preserve"> + G</t>
    </r>
    <r>
      <rPr>
        <vertAlign val="subscript"/>
        <sz val="11"/>
        <rFont val="Arial"/>
        <family val="2"/>
      </rPr>
      <t>hl/p</t>
    </r>
    <r>
      <rPr>
        <sz val="11"/>
        <rFont val="Arial"/>
        <family val="2"/>
      </rPr>
      <t>).n, [kg]</t>
    </r>
  </si>
  <si>
    <r>
      <t xml:space="preserve"> - Trọng lượng trung bình 1 người [G</t>
    </r>
    <r>
      <rPr>
        <vertAlign val="subscript"/>
        <sz val="11"/>
        <rFont val="Arial"/>
        <family val="2"/>
      </rPr>
      <t>p</t>
    </r>
    <r>
      <rPr>
        <sz val="11"/>
        <rFont val="Arial"/>
        <family val="2"/>
      </rPr>
      <t>], kg =</t>
    </r>
  </si>
  <si>
    <r>
      <t xml:space="preserve">(65 </t>
    </r>
    <r>
      <rPr>
        <sz val="11"/>
        <rFont val="Times New Roman"/>
        <family val="1"/>
      </rPr>
      <t>÷</t>
    </r>
    <r>
      <rPr>
        <sz val="11"/>
        <rFont val="Arial"/>
        <family val="2"/>
      </rPr>
      <t xml:space="preserve"> 75)</t>
    </r>
  </si>
  <si>
    <r>
      <t xml:space="preserve"> - Trọng lượng hành lý trung bình cho 1 người [G</t>
    </r>
    <r>
      <rPr>
        <vertAlign val="subscript"/>
        <sz val="11"/>
        <rFont val="Arial"/>
        <family val="2"/>
      </rPr>
      <t>hl/p</t>
    </r>
    <r>
      <rPr>
        <sz val="11"/>
        <rFont val="Arial"/>
        <family val="2"/>
      </rPr>
      <t>], kg =</t>
    </r>
  </si>
  <si>
    <r>
      <t xml:space="preserve">(5 </t>
    </r>
    <r>
      <rPr>
        <sz val="11"/>
        <rFont val="Times New Roman"/>
        <family val="1"/>
      </rPr>
      <t>÷</t>
    </r>
    <r>
      <rPr>
        <sz val="11"/>
        <rFont val="Arial"/>
        <family val="2"/>
      </rPr>
      <t xml:space="preserve"> 10)</t>
    </r>
  </si>
  <si>
    <t xml:space="preserve"> - Số lượng người tham gia, n, [người]</t>
  </si>
  <si>
    <r>
      <t xml:space="preserve"> Trọng lượng được chọn cho 1 người, hành lý, G</t>
    </r>
    <r>
      <rPr>
        <vertAlign val="subscript"/>
        <sz val="11"/>
        <rFont val="Arial"/>
        <family val="2"/>
      </rPr>
      <t>AP</t>
    </r>
    <r>
      <rPr>
        <sz val="11"/>
        <rFont val="Arial"/>
        <family val="2"/>
      </rPr>
      <t>, [kg]</t>
    </r>
  </si>
  <si>
    <t xml:space="preserve"> + Trọng lượng hàng hóa</t>
  </si>
  <si>
    <r>
      <t xml:space="preserve"> Trọng lượng hàng hóa - G</t>
    </r>
    <r>
      <rPr>
        <vertAlign val="subscript"/>
        <sz val="11"/>
        <rFont val="Arial"/>
        <family val="2"/>
      </rPr>
      <t>hh</t>
    </r>
    <r>
      <rPr>
        <sz val="11"/>
        <rFont val="Arial"/>
        <family val="2"/>
      </rPr>
      <t xml:space="preserve"> - thuộc thông số đầu vào. </t>
    </r>
  </si>
  <si>
    <t xml:space="preserve"> Trọng lượng xe đủ tải, G, [kg]</t>
  </si>
  <si>
    <t xml:space="preserve"> G được xác định bởi biểu thức:</t>
  </si>
  <si>
    <r>
      <t xml:space="preserve"> G</t>
    </r>
    <r>
      <rPr>
        <vertAlign val="subscript"/>
        <sz val="11"/>
        <rFont val="Arial"/>
        <family val="2"/>
      </rPr>
      <t xml:space="preserve"> </t>
    </r>
    <r>
      <rPr>
        <sz val="11"/>
        <rFont val="Arial"/>
        <family val="2"/>
      </rPr>
      <t>= (G</t>
    </r>
    <r>
      <rPr>
        <vertAlign val="subscript"/>
        <sz val="11"/>
        <rFont val="Arial"/>
        <family val="2"/>
      </rPr>
      <t>o</t>
    </r>
    <r>
      <rPr>
        <sz val="11"/>
        <rFont val="Arial"/>
        <family val="2"/>
      </rPr>
      <t xml:space="preserve"> + G</t>
    </r>
    <r>
      <rPr>
        <vertAlign val="subscript"/>
        <sz val="11"/>
        <rFont val="Arial"/>
        <family val="2"/>
      </rPr>
      <t>e</t>
    </r>
    <r>
      <rPr>
        <sz val="11"/>
        <rFont val="Arial"/>
        <family val="2"/>
      </rPr>
      <t>), [kg]</t>
    </r>
  </si>
  <si>
    <t>2.3.</t>
  </si>
  <si>
    <t xml:space="preserve"> Vận tốc ứng mặt đường</t>
  </si>
  <si>
    <r>
      <t xml:space="preserve"> Vận tốc nhỏ nhất, v</t>
    </r>
    <r>
      <rPr>
        <b/>
        <i/>
        <vertAlign val="subscript"/>
        <sz val="11"/>
        <rFont val="Arial"/>
        <family val="2"/>
      </rPr>
      <t>min</t>
    </r>
    <r>
      <rPr>
        <b/>
        <i/>
        <sz val="11"/>
        <rFont val="Arial"/>
        <family val="2"/>
      </rPr>
      <t>, [m/s]</t>
    </r>
  </si>
  <si>
    <r>
      <t xml:space="preserve"> Thông số v</t>
    </r>
    <r>
      <rPr>
        <vertAlign val="subscript"/>
        <sz val="11"/>
        <rFont val="Arial"/>
        <family val="2"/>
      </rPr>
      <t>min</t>
    </r>
    <r>
      <rPr>
        <sz val="11"/>
        <rFont val="Arial"/>
        <family val="2"/>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</si>
  <si>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</si>
  <si>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</si>
  <si>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family val="2"/>
      </rPr>
      <t>min</t>
    </r>
    <r>
      <rPr>
        <b/>
        <sz val="11"/>
        <rFont val="Arial"/>
        <family val="2"/>
      </rPr>
      <t xml:space="preserve"> theo chủng loại</t>
    </r>
  </si>
  <si>
    <t>CHỦNG LOẠI XE</t>
  </si>
  <si>
    <r>
      <t>v</t>
    </r>
    <r>
      <rPr>
        <b/>
        <vertAlign val="subscript"/>
        <sz val="13"/>
        <rFont val="Times New Roman"/>
        <family val="1"/>
      </rPr>
      <t>min</t>
    </r>
    <r>
      <rPr>
        <b/>
        <sz val="13"/>
        <rFont val="Times New Roman"/>
        <family val="1"/>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</si>
  <si>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</si>
  <si>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</si>
  <si>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</si>
  <si>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</si>
  <si>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</si>
  <si>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</si>
  <si>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family val="2"/>
      </rPr>
      <t>max</t>
    </r>
    <r>
      <rPr>
        <b/>
        <i/>
        <sz val="11"/>
        <rFont val="Arial"/>
        <family val="2"/>
      </rPr>
      <t xml:space="preserve"> - mặt đường tương ứng</t>
    </r>
  </si>
  <si>
    <r>
      <t xml:space="preserve"> + Vận tốc lớn nhất phụ thuộc vào thông số yêu cầu ban đầu, </t>
    </r>
    <r>
      <rPr>
        <b/>
        <sz val="11"/>
        <rFont val="Arial"/>
        <family val="2"/>
      </rPr>
      <t>v</t>
    </r>
    <r>
      <rPr>
        <b/>
        <vertAlign val="subscript"/>
        <sz val="11"/>
        <rFont val="Arial"/>
        <family val="2"/>
      </rPr>
      <t>max</t>
    </r>
    <r>
      <rPr>
        <sz val="11"/>
        <rFont val="Arial"/>
        <family val="2"/>
      </rPr>
      <t>, [km/h]</t>
    </r>
  </si>
  <si>
    <t xml:space="preserve"> + Mặt đường tương ứng</t>
  </si>
  <si>
    <r>
      <t xml:space="preserve"> Các thông số của loại mặt đường ứng làm ảnh hưởng đến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</si>
  <si>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</si>
  <si>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</si>
  <si>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</si>
  <si>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family val="1"/>
        <charset val="2"/>
      </rPr>
      <t>£</t>
    </r>
    <r>
      <rPr>
        <sz val="11"/>
        <rFont val="Arial"/>
        <family val="2"/>
      </rPr>
      <t xml:space="preserve"> 80 km/h,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t>
    </r>
  </si>
  <si>
    <r>
      <t xml:space="preserve">  Hệ số bám của các bánh xe chủ động với mặt đường, </t>
    </r>
    <r>
      <rPr>
        <sz val="11"/>
        <rFont val="Times New Roman"/>
        <family val="1"/>
      </rPr>
      <t>φ.</t>
    </r>
  </si>
  <si>
    <t xml:space="preserve"> Chú ý:</t>
  </si>
  <si>
    <r>
      <t xml:space="preserve"> Đối với mặt đường nhựa hoặc bê tông - khô, thường thuộc khoảng, [f</t>
    </r>
    <r>
      <rPr>
        <vertAlign val="subscript"/>
        <sz val="11"/>
        <rFont val="Calibri Light"/>
        <family val="2"/>
      </rPr>
      <t>v</t>
    </r>
    <r>
      <rPr>
        <vertAlign val="subscript"/>
        <sz val="11"/>
        <rFont val="Symbol"/>
        <family val="1"/>
        <charset val="2"/>
      </rPr>
      <t>£</t>
    </r>
    <r>
      <rPr>
        <vertAlign val="subscript"/>
        <sz val="11"/>
        <rFont val="Arial"/>
        <family val="2"/>
      </rPr>
      <t>80km/h</t>
    </r>
    <r>
      <rPr>
        <sz val="11"/>
        <rFont val="Arial"/>
        <family val="2"/>
      </rPr>
      <t>] =</t>
    </r>
  </si>
  <si>
    <t>(0,012 ÷ 0,018)</t>
  </si>
  <si>
    <t xml:space="preserve"> Và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</si>
  <si>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t>
    </r>
    <r>
      <rPr>
        <vertAlign val="subscript"/>
        <sz val="11"/>
        <rFont val="Symbol"/>
        <family val="1"/>
        <charset val="2"/>
      </rPr>
      <t>£</t>
    </r>
    <r>
      <rPr>
        <vertAlign val="subscript"/>
        <sz val="11"/>
        <rFont val="Arial"/>
        <family val="2"/>
      </rPr>
      <t>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</si>
  <si>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 Hệ số bám (φ) thuộc khoảng [</t>
    </r>
    <r>
      <rPr>
        <sz val="11"/>
        <rFont val="Times New Roman"/>
        <family val="1"/>
      </rPr>
      <t>φ]</t>
    </r>
    <r>
      <rPr>
        <sz val="11"/>
        <rFont val="Arial"/>
        <family val="2"/>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</si>
  <si>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</si>
  <si>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</si>
  <si>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</si>
  <si>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</si>
  <si>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</si>
  <si>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</si>
  <si>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</si>
  <si>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</si>
  <si>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</si>
  <si>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</si>
  <si>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</si>
  <si>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</si>
  <si>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</si>
  <si>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</si>
  <si>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</si>
  <si>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</si>
  <si>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family val="1"/>
      </rPr>
      <t>÷</t>
    </r>
    <r>
      <rPr>
        <b/>
        <sz val="11"/>
        <rFont val="Arial"/>
        <family val="2"/>
        <scheme val="minor"/>
      </rPr>
      <t xml:space="preserve"> 6200</t>
    </r>
  </si>
  <si>
    <t>2640 ÷ 6650</t>
  </si>
  <si>
    <t>W(F)</t>
  </si>
  <si>
    <t>1030 ÷ 1967</t>
  </si>
  <si>
    <t>1420 ÷ 1730</t>
  </si>
  <si>
    <t>1475 ÷ 1760</t>
  </si>
  <si>
    <t>1665 ÷ 2050</t>
  </si>
  <si>
    <r>
      <t xml:space="preserve">2010 </t>
    </r>
    <r>
      <rPr>
        <b/>
        <sz val="11"/>
        <rFont val="Times New Roman"/>
        <family val="1"/>
      </rPr>
      <t>÷</t>
    </r>
    <r>
      <rPr>
        <b/>
        <sz val="11"/>
        <rFont val="Arial"/>
        <family val="2"/>
        <scheme val="minor"/>
      </rPr>
      <t xml:space="preserve"> 2092</t>
    </r>
  </si>
  <si>
    <t>1385 ÷ 1910</t>
  </si>
  <si>
    <r>
      <t>L</t>
    </r>
    <r>
      <rPr>
        <b/>
        <vertAlign val="subscript"/>
        <sz val="11"/>
        <rFont val="Arial"/>
        <family val="2"/>
      </rPr>
      <t>o</t>
    </r>
  </si>
  <si>
    <t>4070 ÷ 5362</t>
  </si>
  <si>
    <t>4025 ÷ 5100</t>
  </si>
  <si>
    <t>4695 ÷ 7080</t>
  </si>
  <si>
    <t>6990 ÷ 8730</t>
  </si>
  <si>
    <r>
      <t xml:space="preserve">11880 </t>
    </r>
    <r>
      <rPr>
        <b/>
        <sz val="11"/>
        <rFont val="Times New Roman"/>
        <family val="1"/>
      </rPr>
      <t>÷</t>
    </r>
    <r>
      <rPr>
        <b/>
        <sz val="11"/>
        <rFont val="Arial"/>
        <family val="2"/>
        <scheme val="minor"/>
      </rPr>
      <t xml:space="preserve"> 12200</t>
    </r>
  </si>
  <si>
    <t>5235 ÷ 10270</t>
  </si>
  <si>
    <r>
      <t>W</t>
    </r>
    <r>
      <rPr>
        <b/>
        <vertAlign val="subscript"/>
        <sz val="11"/>
        <rFont val="Arial"/>
        <family val="2"/>
      </rPr>
      <t>o</t>
    </r>
  </si>
  <si>
    <t>1560 ÷ 2075</t>
  </si>
  <si>
    <t>1485 ÷ 2176</t>
  </si>
  <si>
    <t>1695 ÷ 2098</t>
  </si>
  <si>
    <t>1873 ÷ 2480</t>
  </si>
  <si>
    <r>
      <t xml:space="preserve">2490 </t>
    </r>
    <r>
      <rPr>
        <b/>
        <sz val="11"/>
        <rFont val="Times New Roman"/>
        <family val="1"/>
      </rPr>
      <t>÷</t>
    </r>
    <r>
      <rPr>
        <b/>
        <sz val="11"/>
        <rFont val="Arial"/>
        <family val="2"/>
        <scheme val="minor"/>
      </rPr>
      <t xml:space="preserve"> 2945</t>
    </r>
  </si>
  <si>
    <t>1760 ÷ 2500</t>
  </si>
  <si>
    <r>
      <t>H</t>
    </r>
    <r>
      <rPr>
        <b/>
        <vertAlign val="subscript"/>
        <sz val="11"/>
        <rFont val="Arial"/>
        <family val="2"/>
      </rPr>
      <t>o</t>
    </r>
  </si>
  <si>
    <t>1416 ÷ 1965</t>
  </si>
  <si>
    <t>1490 ÷ 1990</t>
  </si>
  <si>
    <t>1980 ÷ 2940</t>
  </si>
  <si>
    <t>1724 ÷ 3390</t>
  </si>
  <si>
    <r>
      <t xml:space="preserve">3480 </t>
    </r>
    <r>
      <rPr>
        <b/>
        <sz val="11"/>
        <rFont val="Times New Roman"/>
        <family val="1"/>
      </rPr>
      <t>÷</t>
    </r>
    <r>
      <rPr>
        <b/>
        <sz val="11"/>
        <rFont val="Arial"/>
        <family val="2"/>
        <scheme val="minor"/>
      </rPr>
      <t xml:space="preserve"> 3690</t>
    </r>
  </si>
  <si>
    <t>2000 ÷ 3210</t>
  </si>
  <si>
    <t xml:space="preserve"> L - chiều dài cơ sở, mm;</t>
  </si>
  <si>
    <t xml:space="preserve"> W(F) - vệt bánh xe phía trước, mm;</t>
  </si>
  <si>
    <r>
      <t xml:space="preserve"> L</t>
    </r>
    <r>
      <rPr>
        <vertAlign val="subscript"/>
        <sz val="11"/>
        <rFont val="Arial"/>
        <family val="2"/>
      </rPr>
      <t>o</t>
    </r>
    <r>
      <rPr>
        <sz val="11"/>
        <rFont val="Arial"/>
        <family val="2"/>
      </rPr>
      <t xml:space="preserve"> - chiều dài bao  mm;</t>
    </r>
  </si>
  <si>
    <r>
      <t xml:space="preserve"> W</t>
    </r>
    <r>
      <rPr>
        <vertAlign val="subscript"/>
        <sz val="11"/>
        <rFont val="Arial"/>
        <family val="2"/>
      </rPr>
      <t xml:space="preserve">o </t>
    </r>
    <r>
      <rPr>
        <sz val="11"/>
        <rFont val="Arial"/>
        <family val="2"/>
      </rPr>
      <t>- chiều rộng bao, mm;</t>
    </r>
  </si>
  <si>
    <r>
      <t xml:space="preserve"> H</t>
    </r>
    <r>
      <rPr>
        <vertAlign val="subscript"/>
        <sz val="11"/>
        <rFont val="Arial"/>
        <family val="2"/>
      </rPr>
      <t xml:space="preserve">o </t>
    </r>
    <r>
      <rPr>
        <sz val="11"/>
        <rFont val="Arial"/>
        <family val="2"/>
      </rPr>
      <t>- chiều cao bao, mm.</t>
    </r>
  </si>
  <si>
    <t xml:space="preserve"> Tùy thuộc từng chủng loại xe, các khoảng giá trị, như:</t>
  </si>
  <si>
    <r>
      <t xml:space="preserve"> F - diện tích cản chính diện, m</t>
    </r>
    <r>
      <rPr>
        <vertAlign val="superscript"/>
        <sz val="11"/>
        <rFont val="Arial"/>
        <family val="2"/>
      </rPr>
      <t>2</t>
    </r>
    <r>
      <rPr>
        <sz val="11"/>
        <rFont val="Arial"/>
        <family val="2"/>
      </rPr>
      <t>;</t>
    </r>
  </si>
  <si>
    <r>
      <t xml:space="preserve"> K - hệ số cản khí động học, Ns</t>
    </r>
    <r>
      <rPr>
        <vertAlign val="superscript"/>
        <sz val="11"/>
        <rFont val="Arial"/>
        <family val="2"/>
      </rPr>
      <t>2</t>
    </r>
    <r>
      <rPr>
        <sz val="11"/>
        <rFont val="Arial"/>
        <family val="2"/>
      </rPr>
      <t>/m</t>
    </r>
    <r>
      <rPr>
        <vertAlign val="superscript"/>
        <sz val="11"/>
        <rFont val="Arial"/>
        <family val="2"/>
      </rPr>
      <t>4</t>
    </r>
    <r>
      <rPr>
        <sz val="11"/>
        <rFont val="Arial"/>
        <family val="2"/>
      </rPr>
      <t>;</t>
    </r>
  </si>
  <si>
    <r>
      <t xml:space="preserve"> W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</si>
  <si>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</si>
  <si>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</si>
  <si>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family val="2"/>
      </rPr>
      <t>2</t>
    </r>
    <r>
      <rPr>
        <sz val="11"/>
        <rFont val="Arial"/>
        <family val="2"/>
      </rPr>
      <t>/m</t>
    </r>
    <r>
      <rPr>
        <vertAlign val="superscript"/>
        <sz val="11"/>
        <rFont val="Arial"/>
        <family val="2"/>
      </rPr>
      <t>2</t>
    </r>
    <r>
      <rPr>
        <sz val="11"/>
        <rFont val="Arial"/>
        <family val="2"/>
      </rPr>
      <t>]</t>
    </r>
  </si>
  <si>
    <t>Bảng 5. Các hệ số K, F, và W các chủng loại ô tô</t>
  </si>
  <si>
    <t>CHỦNG LOẠI Ô TÔ</t>
  </si>
  <si>
    <r>
      <t xml:space="preserve">K </t>
    </r>
    <r>
      <rPr>
        <i/>
        <sz val="11"/>
        <rFont val="Arial"/>
        <family val="2"/>
      </rPr>
      <t>(Ns²/m</t>
    </r>
    <r>
      <rPr>
        <i/>
        <vertAlign val="superscript"/>
        <sz val="11"/>
        <rFont val="Arial"/>
        <family val="2"/>
      </rPr>
      <t>4)</t>
    </r>
  </si>
  <si>
    <r>
      <t xml:space="preserve">F </t>
    </r>
    <r>
      <rPr>
        <i/>
        <sz val="11"/>
        <rFont val="Arial"/>
        <family val="2"/>
      </rPr>
      <t>(m²)</t>
    </r>
  </si>
  <si>
    <r>
      <t xml:space="preserve">W </t>
    </r>
    <r>
      <rPr>
        <i/>
        <sz val="11"/>
        <rFont val="Arial"/>
        <family val="2"/>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</si>
  <si>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</si>
  <si>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</si>
  <si>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</si>
  <si>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</si>
  <si>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</si>
  <si>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</si>
  <si>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</si>
  <si>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</si>
  <si>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</si>
  <si>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</si>
  <si>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</si>
  <si>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</si>
  <si>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</si>
  <si>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</si>
  <si>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</si>
  <si>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</si>
  <si>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</si>
  <si>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</si>
  <si>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</si>
  <si>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</si>
  <si>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</si>
  <si>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</si>
  <si>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</si>
  <si>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</si>
  <si>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</si>
  <si>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</si>
  <si>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</si>
  <si>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</si>
  <si>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</si>
  <si>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</si>
  <si>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</si>
  <si>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family val="2"/>
      </rPr>
      <t>min</t>
    </r>
    <r>
      <rPr>
        <sz val="11"/>
        <rFont val="Arial"/>
        <family val="2"/>
      </rPr>
      <t>), số vòng quay lớn nhất (n</t>
    </r>
    <r>
      <rPr>
        <vertAlign val="subscript"/>
        <sz val="11"/>
        <rFont val="Arial"/>
        <family val="2"/>
      </rPr>
      <t>max</t>
    </r>
    <r>
      <rPr>
        <sz val="11"/>
        <rFont val="Arial"/>
        <family val="2"/>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</si>
  <si>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</si>
  <si>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</si>
  <si>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</si>
  <si>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family val="2"/>
      </rPr>
      <t xml:space="preserve">min </t>
    </r>
    <r>
      <rPr>
        <sz val="11"/>
        <rFont val="Arial"/>
        <family val="2"/>
      </rPr>
      <t>- số vòng quay nhỏ nhất, vòng/phút (v/p);</t>
    </r>
  </si>
  <si>
    <r>
      <t xml:space="preserve"> n</t>
    </r>
    <r>
      <rPr>
        <vertAlign val="subscript"/>
        <sz val="11"/>
        <rFont val="Arial"/>
        <family val="2"/>
      </rPr>
      <t xml:space="preserve">max </t>
    </r>
    <r>
      <rPr>
        <sz val="11"/>
        <rFont val="Arial"/>
        <family val="2"/>
      </rPr>
      <t>- số vòng quay lớn nhất, v/p;</t>
    </r>
  </si>
  <si>
    <r>
      <t xml:space="preserve"> n</t>
    </r>
    <r>
      <rPr>
        <vertAlign val="subscript"/>
        <sz val="11"/>
        <rFont val="Arial"/>
        <family val="2"/>
      </rPr>
      <t xml:space="preserve">N  </t>
    </r>
    <r>
      <rPr>
        <sz val="11"/>
        <rFont val="Arial"/>
        <family val="2"/>
      </rPr>
      <t>- số vòng quay ứng với công suất lớn nhất, v/p;</t>
    </r>
  </si>
  <si>
    <r>
      <t xml:space="preserve">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t>
    </r>
  </si>
  <si>
    <r>
      <t>Bảng 6. Các khoảng giá trị số vòng quay và hệ số theo thực nghiệm (λ = n</t>
    </r>
    <r>
      <rPr>
        <b/>
        <vertAlign val="subscript"/>
        <sz val="13"/>
        <rFont val="Arial"/>
        <family val="2"/>
        <scheme val="minor"/>
      </rPr>
      <t>max</t>
    </r>
    <r>
      <rPr>
        <b/>
        <sz val="13"/>
        <rFont val="Arial"/>
        <family val="2"/>
        <scheme val="minor"/>
      </rPr>
      <t>/n</t>
    </r>
    <r>
      <rPr>
        <b/>
        <vertAlign val="subscript"/>
        <sz val="13"/>
        <rFont val="Arial"/>
        <family val="2"/>
        <scheme val="minor"/>
      </rPr>
      <t>N</t>
    </r>
    <r>
      <rPr>
        <b/>
        <sz val="13"/>
        <rFont val="Arial"/>
        <family val="2"/>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</si>
  <si>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</si>
  <si>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</si>
  <si>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</si>
  <si>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</si>
  <si>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</si>
  <si>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</si>
  <si>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</si>
  <si>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family val="1"/>
      </rPr>
      <t>min</t>
    </r>
    <r>
      <rPr>
        <sz val="13"/>
        <rFont val="Times New Roman"/>
        <family val="1"/>
      </rPr>
      <t xml:space="preserve"> </t>
    </r>
    <r>
      <rPr>
        <i/>
        <sz val="13"/>
        <rFont val="Times New Roman"/>
        <family val="1"/>
      </rPr>
      <t>(vg/ph)</t>
    </r>
  </si>
  <si>
    <r>
      <t>n</t>
    </r>
    <r>
      <rPr>
        <sz val="8"/>
        <rFont val="Times New Roman"/>
        <family val="1"/>
      </rPr>
      <t>max</t>
    </r>
    <r>
      <rPr>
        <sz val="13"/>
        <rFont val="Times New Roman"/>
        <family val="1"/>
      </rPr>
      <t xml:space="preserve"> </t>
    </r>
    <r>
      <rPr>
        <i/>
        <sz val="13"/>
        <rFont val="Times New Roman"/>
        <family val="1"/>
      </rPr>
      <t>(vg/ph)</t>
    </r>
  </si>
  <si>
    <r>
      <t>λ</t>
    </r>
    <r>
      <rPr>
        <sz val="13"/>
        <rFont val="Times New Roman"/>
        <family val="1"/>
      </rPr>
      <t xml:space="preserve"> = </t>
    </r>
    <r>
      <rPr>
        <b/>
        <sz val="13"/>
        <rFont val="Times New Roman"/>
        <family val="1"/>
      </rPr>
      <t>n</t>
    </r>
    <r>
      <rPr>
        <sz val="8"/>
        <rFont val="Times New Roman"/>
        <family val="1"/>
      </rPr>
      <t>max</t>
    </r>
    <r>
      <rPr>
        <sz val="13"/>
        <rFont val="Times New Roman"/>
        <family val="1"/>
      </rPr>
      <t>/</t>
    </r>
    <r>
      <rPr>
        <b/>
        <sz val="13"/>
        <rFont val="Times New Roman"/>
        <family val="1"/>
      </rPr>
      <t>n</t>
    </r>
    <r>
      <rPr>
        <sz val="6"/>
        <rFont val="Times New Roman"/>
        <family val="1"/>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</si>
  <si>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</si>
  <si>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</si>
  <si>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</si>
  <si>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</si>
  <si>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</si>
  <si>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</si>
  <si>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</si>
  <si>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</si>
  <si>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</si>
  <si>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family val="2"/>
      </rPr>
      <t>max</t>
    </r>
    <r>
      <rPr>
        <sz val="11"/>
        <rFont val="Arial"/>
        <family val="2"/>
      </rPr>
      <t xml:space="preserve"> của ĐCĐT ứng với v</t>
    </r>
    <r>
      <rPr>
        <vertAlign val="subscript"/>
        <sz val="11"/>
        <rFont val="Arial"/>
        <family val="2"/>
      </rPr>
      <t>max</t>
    </r>
    <r>
      <rPr>
        <sz val="11"/>
        <rFont val="Arial"/>
        <family val="2"/>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</si>
  <si>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</si>
  <si>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</si>
  <si>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</si>
  <si>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</si>
  <si>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</si>
  <si>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</si>
  <si>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</si>
  <si>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</si>
  <si>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</si>
  <si>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</si>
  <si>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</si>
  <si>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</si>
  <si>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</si>
  <si>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</si>
  <si>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</si>
  <si>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</si>
  <si>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</si>
  <si>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</si>
  <si>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</si>
  <si>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</si>
  <si>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</si>
  <si>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</si>
  <si>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</si>
  <si>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</si>
  <si>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</si>
  <si>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</si>
  <si>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</si>
  <si>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</si>
  <si>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</si>
  <si>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</si>
  <si>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</si>
  <si>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</si>
  <si>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</si>
  <si>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</si>
  <si>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family val="1"/>
      </rPr>
      <t>φ</t>
    </r>
    <r>
      <rPr>
        <sz val="11"/>
        <rFont val="Arial"/>
        <family val="2"/>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</si>
  <si>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</si>
  <si>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</si>
  <si>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</si>
  <si>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family val="2"/>
      </rPr>
      <t xml:space="preserve">o </t>
    </r>
    <r>
      <rPr>
        <sz val="11"/>
        <rFont val="Arial"/>
        <family val="2"/>
      </rPr>
      <t>- đặt:</t>
    </r>
  </si>
  <si>
    <r>
      <t xml:space="preserve">   - Lên các bánh xe trục cầu phía trước, G</t>
    </r>
    <r>
      <rPr>
        <vertAlign val="subscript"/>
        <sz val="11"/>
        <rFont val="Arial"/>
        <family val="2"/>
      </rPr>
      <t>o1</t>
    </r>
    <r>
      <rPr>
        <sz val="11"/>
        <rFont val="Arial"/>
        <family val="2"/>
      </rPr>
      <t>, [kg]</t>
    </r>
  </si>
  <si>
    <r>
      <t xml:space="preserve">   - Lên các bánh xe trục cầu phía sau, G</t>
    </r>
    <r>
      <rPr>
        <vertAlign val="subscript"/>
        <sz val="11"/>
        <rFont val="Arial"/>
        <family val="2"/>
      </rPr>
      <t>o2</t>
    </r>
    <r>
      <rPr>
        <sz val="11"/>
        <rFont val="Arial"/>
        <family val="2"/>
      </rPr>
      <t>, [kg]</t>
    </r>
  </si>
  <si>
    <r>
      <t xml:space="preserve"> Như vậy, xác định được trọng lượng bám (G</t>
    </r>
    <r>
      <rPr>
        <vertAlign val="subscript"/>
        <sz val="11"/>
        <rFont val="Arial"/>
        <family val="2"/>
      </rPr>
      <t>φ</t>
    </r>
    <r>
      <rPr>
        <sz val="11"/>
        <rFont val="Arial"/>
        <family val="2"/>
      </rPr>
      <t>) của xe</t>
    </r>
  </si>
  <si>
    <t xml:space="preserve"> Chọn lốp xe</t>
  </si>
  <si>
    <r>
      <t xml:space="preserve"> + Bán kính thiết kế, r</t>
    </r>
    <r>
      <rPr>
        <vertAlign val="subscript"/>
        <sz val="11"/>
        <rFont val="Arial"/>
        <family val="2"/>
      </rPr>
      <t>o</t>
    </r>
    <r>
      <rPr>
        <sz val="11"/>
        <rFont val="Arial"/>
        <family val="2"/>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</si>
  <si>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</si>
  <si>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</si>
  <si>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family val="2"/>
      </rPr>
      <t>max</t>
    </r>
    <r>
      <rPr>
        <sz val="11"/>
        <rFont val="Arial"/>
        <family val="2"/>
      </rPr>
      <t xml:space="preserve"> của xe;</t>
    </r>
  </si>
  <si>
    <r>
      <t xml:space="preserve"> Sau khi chọn thông số lốp xe, sẽ xác định bán kính thiết kế của lốp (r</t>
    </r>
    <r>
      <rPr>
        <vertAlign val="subscript"/>
        <sz val="11"/>
        <rFont val="Arial"/>
        <family val="2"/>
      </rPr>
      <t>o</t>
    </r>
    <r>
      <rPr>
        <sz val="11"/>
        <rFont val="Arial"/>
        <family val="2"/>
      </rPr>
      <t>)</t>
    </r>
  </si>
  <si>
    <r>
      <t xml:space="preserve"> + Bán kính lăn, r</t>
    </r>
    <r>
      <rPr>
        <vertAlign val="subscript"/>
        <sz val="11"/>
        <rFont val="Arial"/>
        <family val="2"/>
      </rPr>
      <t>b</t>
    </r>
    <r>
      <rPr>
        <sz val="11"/>
        <rFont val="Arial"/>
        <family val="2"/>
      </rPr>
      <t xml:space="preserve">, [mm] </t>
    </r>
  </si>
  <si>
    <r>
      <t xml:space="preserve"> Dự vào r</t>
    </r>
    <r>
      <rPr>
        <vertAlign val="subscript"/>
        <sz val="11"/>
        <rFont val="Arial"/>
        <family val="2"/>
      </rPr>
      <t>o</t>
    </r>
    <r>
      <rPr>
        <sz val="11"/>
        <rFont val="Arial"/>
        <family val="2"/>
      </rPr>
      <t xml:space="preserve"> và áp suất lốp xe (λ), sẽ xác định được r</t>
    </r>
    <r>
      <rPr>
        <vertAlign val="subscript"/>
        <sz val="11"/>
        <rFont val="Arial"/>
        <family val="2"/>
      </rPr>
      <t>b</t>
    </r>
    <r>
      <rPr>
        <sz val="11"/>
        <rFont val="Arial"/>
        <family val="2"/>
      </rPr>
      <t xml:space="preserve"> theo biểu thức sau:</t>
    </r>
  </si>
  <si>
    <r>
      <t xml:space="preserve"> r</t>
    </r>
    <r>
      <rPr>
        <vertAlign val="subscript"/>
        <sz val="11"/>
        <rFont val="Arial"/>
        <family val="2"/>
      </rPr>
      <t>b</t>
    </r>
    <r>
      <rPr>
        <sz val="11"/>
        <rFont val="Arial"/>
        <family val="2"/>
      </rPr>
      <t xml:space="preserve"> = </t>
    </r>
    <r>
      <rPr>
        <sz val="11"/>
        <rFont val="Times New Roman"/>
        <family val="1"/>
      </rPr>
      <t>λ</t>
    </r>
    <r>
      <rPr>
        <sz val="11"/>
        <rFont val="Arial"/>
        <family val="2"/>
      </rPr>
      <t>.r</t>
    </r>
    <r>
      <rPr>
        <vertAlign val="subscript"/>
        <sz val="11"/>
        <rFont val="Arial"/>
        <family val="2"/>
      </rPr>
      <t>o</t>
    </r>
    <r>
      <rPr>
        <sz val="11"/>
        <rFont val="Arial"/>
        <family val="2"/>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</si>
  <si>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</si>
  <si>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</si>
  <si>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</si>
  <si>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</si>
  <si>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</si>
  <si>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</si>
  <si>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</si>
  <si>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family val="2"/>
      </rPr>
      <t>η</t>
    </r>
    <r>
      <rPr>
        <b/>
        <vertAlign val="subscript"/>
        <sz val="11"/>
        <rFont val="Arial"/>
        <family val="2"/>
      </rPr>
      <t>lh</t>
    </r>
    <r>
      <rPr>
        <sz val="11"/>
        <rFont val="Arial"/>
        <family val="2"/>
      </rPr>
      <t xml:space="preserve">; </t>
    </r>
  </si>
  <si>
    <t xml:space="preserve"> 2. Cụm hộp số</t>
  </si>
  <si>
    <t xml:space="preserve"> a. Hộp số chính</t>
  </si>
  <si>
    <r>
      <t xml:space="preserve">   - Hiệu suất, </t>
    </r>
    <r>
      <rPr>
        <b/>
        <sz val="11"/>
        <rFont val="Arial"/>
        <family val="2"/>
      </rPr>
      <t>η</t>
    </r>
    <r>
      <rPr>
        <b/>
        <vertAlign val="subscript"/>
        <sz val="11"/>
        <rFont val="Arial"/>
        <family val="2"/>
      </rPr>
      <t>h</t>
    </r>
    <r>
      <rPr>
        <sz val="11"/>
        <rFont val="Arial"/>
        <family val="2"/>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</si>
  <si>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family val="2"/>
      </rPr>
      <t>hi</t>
    </r>
    <r>
      <rPr>
        <sz val="11"/>
        <rFont val="Arial"/>
        <family val="2"/>
      </rPr>
      <t xml:space="preserve">, với i là từ 1 </t>
    </r>
    <r>
      <rPr>
        <sz val="11"/>
        <rFont val="Symbol"/>
        <family val="1"/>
        <charset val="2"/>
      </rPr>
      <t xml:space="preserve">® </t>
    </r>
    <r>
      <rPr>
        <sz val="11"/>
        <rFont val="Arial"/>
        <family val="2"/>
      </rPr>
      <t>n</t>
    </r>
  </si>
  <si>
    <r>
      <t xml:space="preserve">       Ở tay số đầu tiên, </t>
    </r>
    <r>
      <rPr>
        <b/>
        <sz val="11"/>
        <rFont val="Arial"/>
        <family val="2"/>
      </rPr>
      <t>i</t>
    </r>
    <r>
      <rPr>
        <b/>
        <vertAlign val="subscript"/>
        <sz val="11"/>
        <rFont val="Arial"/>
        <family val="2"/>
      </rPr>
      <t>h1</t>
    </r>
    <r>
      <rPr>
        <sz val="11"/>
        <rFont val="Arial"/>
        <family val="2"/>
      </rPr>
      <t xml:space="preserve">; </t>
    </r>
  </si>
  <si>
    <r>
      <t xml:space="preserve">       Ở tay số cuối cùng, </t>
    </r>
    <r>
      <rPr>
        <b/>
        <sz val="11"/>
        <rFont val="Arial"/>
        <family val="2"/>
      </rPr>
      <t>i</t>
    </r>
    <r>
      <rPr>
        <b/>
        <vertAlign val="subscript"/>
        <sz val="11"/>
        <rFont val="Arial"/>
        <family val="2"/>
      </rPr>
      <t>hn</t>
    </r>
    <r>
      <rPr>
        <sz val="11"/>
        <rFont val="Arial"/>
        <family val="2"/>
      </rPr>
      <t xml:space="preserve">; </t>
    </r>
  </si>
  <si>
    <t xml:space="preserve"> b. Hộp số phụ</t>
  </si>
  <si>
    <r>
      <t xml:space="preserve">   - Hiệu suất, </t>
    </r>
    <r>
      <rPr>
        <b/>
        <sz val="11"/>
        <rFont val="Arial"/>
        <family val="2"/>
      </rPr>
      <t>η</t>
    </r>
    <r>
      <rPr>
        <b/>
        <vertAlign val="subscript"/>
        <sz val="11"/>
        <rFont val="Arial"/>
        <family val="2"/>
      </rPr>
      <t>p</t>
    </r>
    <r>
      <rPr>
        <sz val="11"/>
        <rFont val="Arial"/>
        <family val="2"/>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</si>
  <si>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</si>
  <si>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family val="2"/>
      </rPr>
      <t>pt</t>
    </r>
    <r>
      <rPr>
        <sz val="11"/>
        <rFont val="Arial"/>
        <family val="2"/>
      </rPr>
      <t xml:space="preserve"> =1) đến cao (i</t>
    </r>
    <r>
      <rPr>
        <vertAlign val="subscript"/>
        <sz val="11"/>
        <rFont val="Arial"/>
        <family val="2"/>
      </rPr>
      <t>pc</t>
    </r>
    <r>
      <rPr>
        <sz val="11"/>
        <rFont val="Arial"/>
        <family val="2"/>
      </rPr>
      <t>&gt; 1). Do đó, tỷ số truyền của hộp số phụ là một biến số, và viết dưới dạng ký hiệu: i</t>
    </r>
    <r>
      <rPr>
        <vertAlign val="subscript"/>
        <sz val="11"/>
        <rFont val="Arial"/>
        <family val="2"/>
      </rPr>
      <t>pj</t>
    </r>
    <r>
      <rPr>
        <sz val="11"/>
        <rFont val="Arial"/>
        <family val="2"/>
      </rPr>
      <t xml:space="preserve">, với j là từ t </t>
    </r>
    <r>
      <rPr>
        <sz val="11"/>
        <rFont val="Symbol"/>
        <family val="1"/>
        <charset val="2"/>
      </rPr>
      <t>®</t>
    </r>
    <r>
      <rPr>
        <sz val="9.35"/>
        <rFont val="Arial"/>
        <family val="2"/>
      </rPr>
      <t xml:space="preserve"> </t>
    </r>
    <r>
      <rPr>
        <sz val="11"/>
        <rFont val="Arial"/>
        <family val="2"/>
      </rPr>
      <t>c</t>
    </r>
  </si>
  <si>
    <r>
      <t xml:space="preserve">       Tỷ số truyền thấp, </t>
    </r>
    <r>
      <rPr>
        <b/>
        <sz val="11"/>
        <rFont val="Arial"/>
        <family val="2"/>
      </rPr>
      <t>i</t>
    </r>
    <r>
      <rPr>
        <b/>
        <vertAlign val="subscript"/>
        <sz val="11"/>
        <rFont val="Arial"/>
        <family val="2"/>
      </rPr>
      <t>pt</t>
    </r>
    <r>
      <rPr>
        <sz val="11"/>
        <rFont val="Arial"/>
        <family val="2"/>
      </rPr>
      <t xml:space="preserve">; </t>
    </r>
  </si>
  <si>
    <r>
      <t xml:space="preserve">       Tỷ số truyền cao, </t>
    </r>
    <r>
      <rPr>
        <b/>
        <sz val="11"/>
        <rFont val="Arial"/>
        <family val="2"/>
      </rPr>
      <t>i</t>
    </r>
    <r>
      <rPr>
        <b/>
        <vertAlign val="subscript"/>
        <sz val="11"/>
        <rFont val="Arial"/>
        <family val="2"/>
      </rPr>
      <t>pc.</t>
    </r>
    <r>
      <rPr>
        <sz val="11"/>
        <rFont val="Arial"/>
        <family val="2"/>
      </rPr>
      <t xml:space="preserve"> </t>
    </r>
  </si>
  <si>
    <t xml:space="preserve"> c. Hộp phân phối</t>
  </si>
  <si>
    <r>
      <t xml:space="preserve">     Hiệu suất, </t>
    </r>
    <r>
      <rPr>
        <b/>
        <sz val="11"/>
        <rFont val="Arial"/>
        <family val="2"/>
      </rPr>
      <t>η</t>
    </r>
    <r>
      <rPr>
        <b/>
        <vertAlign val="subscript"/>
        <sz val="11"/>
        <rFont val="Arial"/>
        <family val="2"/>
      </rPr>
      <t>pp</t>
    </r>
    <r>
      <rPr>
        <sz val="11"/>
        <rFont val="Arial"/>
        <family val="2"/>
      </rPr>
      <t xml:space="preserve">; </t>
    </r>
  </si>
  <si>
    <t xml:space="preserve"> 3. Trục truyền</t>
  </si>
  <si>
    <r>
      <t xml:space="preserve"> a. Trục truyền cardan: hiệu suất, </t>
    </r>
    <r>
      <rPr>
        <b/>
        <sz val="11"/>
        <rFont val="Arial"/>
        <family val="2"/>
      </rPr>
      <t>η</t>
    </r>
    <r>
      <rPr>
        <b/>
        <vertAlign val="subscript"/>
        <sz val="11"/>
        <rFont val="Arial"/>
        <family val="2"/>
      </rPr>
      <t>cd</t>
    </r>
    <r>
      <rPr>
        <sz val="11"/>
        <rFont val="Arial"/>
        <family val="2"/>
      </rPr>
      <t xml:space="preserve">; </t>
    </r>
  </si>
  <si>
    <r>
      <t xml:space="preserve"> b. Bán trục: hiệu suất, </t>
    </r>
    <r>
      <rPr>
        <b/>
        <sz val="11"/>
        <rFont val="Arial"/>
        <family val="2"/>
      </rPr>
      <t>η</t>
    </r>
    <r>
      <rPr>
        <b/>
        <vertAlign val="subscript"/>
        <sz val="11"/>
        <rFont val="Arial"/>
        <family val="2"/>
      </rPr>
      <t>bt</t>
    </r>
    <r>
      <rPr>
        <sz val="11"/>
        <rFont val="Arial"/>
        <family val="2"/>
      </rPr>
      <t xml:space="preserve">; </t>
    </r>
  </si>
  <si>
    <t xml:space="preserve"> 4. Truyền lực chính (TLC)</t>
  </si>
  <si>
    <r>
      <t xml:space="preserve">   - Hiệu suất, </t>
    </r>
    <r>
      <rPr>
        <b/>
        <sz val="11"/>
        <rFont val="Arial"/>
        <family val="2"/>
      </rPr>
      <t>η</t>
    </r>
    <r>
      <rPr>
        <b/>
        <vertAlign val="subscript"/>
        <sz val="11"/>
        <rFont val="Arial"/>
        <family val="2"/>
      </rPr>
      <t>o</t>
    </r>
    <r>
      <rPr>
        <sz val="11"/>
        <rFont val="Arial"/>
        <family val="2"/>
      </rPr>
      <t xml:space="preserve">; </t>
    </r>
  </si>
  <si>
    <r>
      <t xml:space="preserve">   - Tỷ số truyền không đổi, </t>
    </r>
    <r>
      <rPr>
        <b/>
        <sz val="11"/>
        <rFont val="Arial"/>
        <family val="2"/>
      </rPr>
      <t>i</t>
    </r>
    <r>
      <rPr>
        <b/>
        <vertAlign val="subscript"/>
        <sz val="11"/>
        <rFont val="Arial"/>
        <family val="2"/>
      </rPr>
      <t>o</t>
    </r>
    <r>
      <rPr>
        <sz val="11"/>
        <rFont val="Arial"/>
        <family val="2"/>
      </rPr>
      <t xml:space="preserve">; </t>
    </r>
  </si>
  <si>
    <r>
      <t xml:space="preserve"> 5. Vi sai (VS): hiệu suất, </t>
    </r>
    <r>
      <rPr>
        <b/>
        <sz val="11"/>
        <rFont val="Arial"/>
        <family val="2"/>
      </rPr>
      <t>η</t>
    </r>
    <r>
      <rPr>
        <b/>
        <vertAlign val="subscript"/>
        <sz val="11"/>
        <rFont val="Arial"/>
        <family val="2"/>
      </rPr>
      <t>v</t>
    </r>
    <r>
      <rPr>
        <sz val="11"/>
        <rFont val="Arial"/>
        <family val="2"/>
      </rPr>
      <t xml:space="preserve">; </t>
    </r>
  </si>
  <si>
    <t xml:space="preserve"> 6. Truyền lực cuối cùng</t>
  </si>
  <si>
    <r>
      <t xml:space="preserve">   - Hiệu suất, </t>
    </r>
    <r>
      <rPr>
        <b/>
        <sz val="11"/>
        <rFont val="Arial"/>
        <family val="2"/>
      </rPr>
      <t>η</t>
    </r>
    <r>
      <rPr>
        <b/>
        <vertAlign val="subscript"/>
        <sz val="11"/>
        <rFont val="Arial"/>
        <family val="2"/>
      </rPr>
      <t>cc</t>
    </r>
    <r>
      <rPr>
        <sz val="11"/>
        <rFont val="Arial"/>
        <family val="2"/>
      </rPr>
      <t xml:space="preserve">; </t>
    </r>
  </si>
  <si>
    <r>
      <t xml:space="preserve">   - Tỷ số truyền không đổi, </t>
    </r>
    <r>
      <rPr>
        <b/>
        <sz val="11"/>
        <rFont val="Arial"/>
        <family val="2"/>
      </rPr>
      <t>i</t>
    </r>
    <r>
      <rPr>
        <b/>
        <vertAlign val="subscript"/>
        <sz val="11"/>
        <rFont val="Arial"/>
        <family val="2"/>
      </rPr>
      <t>cc</t>
    </r>
    <r>
      <rPr>
        <sz val="11"/>
        <rFont val="Arial"/>
        <family val="2"/>
      </rPr>
      <t xml:space="preserve">; </t>
    </r>
  </si>
  <si>
    <t>Hiệu suất hệ thống truyền lực xe</t>
  </si>
  <si>
    <t>b.1.</t>
  </si>
  <si>
    <r>
      <t>Hiệu suất của hệ thống truyền lực xe tổng quát, η</t>
    </r>
    <r>
      <rPr>
        <vertAlign val="subscript"/>
        <sz val="11"/>
        <rFont val="Arial"/>
        <family val="2"/>
      </rPr>
      <t>t</t>
    </r>
    <r>
      <rPr>
        <sz val="11"/>
        <rFont val="Arial"/>
        <family val="2"/>
      </rPr>
      <t>;</t>
    </r>
  </si>
  <si>
    <t xml:space="preserve"> Được thể hiện qua biểu thức:</t>
  </si>
  <si>
    <r>
      <t>η</t>
    </r>
    <r>
      <rPr>
        <b/>
        <vertAlign val="subscript"/>
        <sz val="11"/>
        <rFont val="Arial"/>
        <family val="2"/>
      </rPr>
      <t>t</t>
    </r>
    <r>
      <rPr>
        <b/>
        <sz val="11"/>
        <rFont val="Arial"/>
        <family val="2"/>
      </rPr>
      <t xml:space="preserve"> = η</t>
    </r>
    <r>
      <rPr>
        <b/>
        <vertAlign val="subscript"/>
        <sz val="11"/>
        <rFont val="Arial"/>
        <family val="2"/>
      </rPr>
      <t>lh</t>
    </r>
    <r>
      <rPr>
        <b/>
        <sz val="11"/>
        <rFont val="Arial"/>
        <family val="2"/>
      </rPr>
      <t>.η</t>
    </r>
    <r>
      <rPr>
        <b/>
        <vertAlign val="subscript"/>
        <sz val="11"/>
        <rFont val="Arial"/>
        <family val="2"/>
      </rPr>
      <t>h</t>
    </r>
    <r>
      <rPr>
        <b/>
        <sz val="11"/>
        <rFont val="Arial"/>
        <family val="2"/>
      </rPr>
      <t>.η</t>
    </r>
    <r>
      <rPr>
        <b/>
        <vertAlign val="subscript"/>
        <sz val="11"/>
        <rFont val="Arial"/>
        <family val="2"/>
      </rPr>
      <t>p</t>
    </r>
    <r>
      <rPr>
        <b/>
        <sz val="11"/>
        <rFont val="Arial"/>
        <family val="2"/>
      </rPr>
      <t>.η</t>
    </r>
    <r>
      <rPr>
        <b/>
        <vertAlign val="subscript"/>
        <sz val="11"/>
        <rFont val="Arial"/>
        <family val="2"/>
      </rPr>
      <t>pp</t>
    </r>
    <r>
      <rPr>
        <b/>
        <sz val="11"/>
        <rFont val="Arial"/>
        <family val="2"/>
      </rPr>
      <t>.η</t>
    </r>
    <r>
      <rPr>
        <b/>
        <vertAlign val="subscript"/>
        <sz val="11"/>
        <rFont val="Arial"/>
        <family val="2"/>
      </rPr>
      <t>cd</t>
    </r>
    <r>
      <rPr>
        <b/>
        <sz val="11"/>
        <rFont val="Arial"/>
        <family val="2"/>
      </rPr>
      <t>.η</t>
    </r>
    <r>
      <rPr>
        <b/>
        <vertAlign val="subscript"/>
        <sz val="11"/>
        <rFont val="Arial"/>
        <family val="2"/>
      </rPr>
      <t>bt</t>
    </r>
    <r>
      <rPr>
        <b/>
        <sz val="11"/>
        <rFont val="Arial"/>
        <family val="2"/>
      </rPr>
      <t>.η</t>
    </r>
    <r>
      <rPr>
        <b/>
        <vertAlign val="subscript"/>
        <sz val="11"/>
        <rFont val="Arial"/>
        <family val="2"/>
      </rPr>
      <t>o</t>
    </r>
    <r>
      <rPr>
        <b/>
        <sz val="11"/>
        <rFont val="Arial"/>
        <family val="2"/>
      </rPr>
      <t>.η</t>
    </r>
    <r>
      <rPr>
        <b/>
        <vertAlign val="subscript"/>
        <sz val="11"/>
        <rFont val="Arial"/>
        <family val="2"/>
      </rPr>
      <t>v</t>
    </r>
    <r>
      <rPr>
        <b/>
        <sz val="11"/>
        <rFont val="Arial"/>
        <family val="2"/>
      </rPr>
      <t>.η</t>
    </r>
    <r>
      <rPr>
        <b/>
        <vertAlign val="subscript"/>
        <sz val="11"/>
        <rFont val="Arial"/>
        <family val="2"/>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</si>
  <si>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</si>
  <si>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</si>
  <si>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</si>
  <si>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family val="2"/>
      </rPr>
      <t>t</t>
    </r>
    <r>
      <rPr>
        <b/>
        <sz val="11"/>
        <rFont val="Arial"/>
        <family val="2"/>
      </rPr>
      <t xml:space="preserve"> bằng thực nghiệm</t>
    </r>
  </si>
  <si>
    <t>CHỦNG LOẠI</t>
  </si>
  <si>
    <t xml:space="preserve"> GIÁ TRỊ</t>
  </si>
  <si>
    <t>TRUNG BÌNH</t>
  </si>
  <si>
    <r>
      <t>HIỆU SUẤT (η</t>
    </r>
    <r>
      <rPr>
        <b/>
        <i/>
        <sz val="11"/>
        <rFont val="Arial"/>
        <family val="2"/>
      </rPr>
      <t>t</t>
    </r>
    <r>
      <rPr>
        <b/>
        <sz val="11"/>
        <rFont val="Arial"/>
        <family val="2"/>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</si>
  <si>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</si>
  <si>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</si>
  <si>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</si>
  <si>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</si>
  <si>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</si>
  <si>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</si>
  <si>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i</t>
    </r>
    <r>
      <rPr>
        <vertAlign val="subscript"/>
        <sz val="11"/>
        <rFont val="Arial"/>
        <family val="2"/>
      </rPr>
      <t>ti,j</t>
    </r>
    <r>
      <rPr>
        <sz val="11"/>
        <rFont val="Arial"/>
        <family val="2"/>
      </rPr>
      <t xml:space="preserve"> - tỷ số truyền (i) hệ thống truyền lực tổng quát (t) với biến số i trong hộp số chính, và biến số j trong hộp số phụ. </t>
    </r>
  </si>
  <si>
    <r>
      <t xml:space="preserve"> Phân i</t>
    </r>
    <r>
      <rPr>
        <vertAlign val="subscript"/>
        <sz val="11"/>
        <rFont val="Arial"/>
        <family val="2"/>
      </rPr>
      <t>ti,j</t>
    </r>
    <r>
      <rPr>
        <sz val="11"/>
        <rFont val="Arial"/>
        <family val="2"/>
      </rPr>
      <t xml:space="preserve"> thành 2 nhóm tổng thành, với:</t>
    </r>
  </si>
  <si>
    <r>
      <t xml:space="preserve"> (i</t>
    </r>
    <r>
      <rPr>
        <vertAlign val="subscript"/>
        <sz val="11"/>
        <rFont val="Arial"/>
        <family val="2"/>
      </rPr>
      <t>hi</t>
    </r>
    <r>
      <rPr>
        <sz val="11"/>
        <rFont val="Arial"/>
        <family val="2"/>
      </rPr>
      <t>.i</t>
    </r>
    <r>
      <rPr>
        <vertAlign val="subscript"/>
        <sz val="11"/>
        <rFont val="Arial"/>
        <family val="2"/>
      </rPr>
      <t>pj</t>
    </r>
    <r>
      <rPr>
        <sz val="11"/>
        <rFont val="Arial"/>
        <family val="2"/>
      </rPr>
      <t>) - nhóm tổng thành có "tỷ số truyền thay đổi", bao gồm hộp số chính với tỷ số truyền i</t>
    </r>
    <r>
      <rPr>
        <vertAlign val="subscript"/>
        <sz val="11"/>
        <rFont val="Arial"/>
        <family val="2"/>
      </rPr>
      <t>hi</t>
    </r>
    <r>
      <rPr>
        <sz val="11"/>
        <rFont val="Arial"/>
        <family val="2"/>
      </rPr>
      <t>, và hộp số phụ với tỷ số truyền i</t>
    </r>
    <r>
      <rPr>
        <vertAlign val="subscript"/>
        <sz val="11"/>
        <rFont val="Arial"/>
        <family val="2"/>
      </rPr>
      <t>pj</t>
    </r>
    <r>
      <rPr>
        <sz val="11"/>
        <rFont val="Arial"/>
        <family val="2"/>
      </rPr>
      <t>;</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</si>
  <si>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nhóm tổng thành có "tỷ số truyền không thay đổi", gồm bộ truyền lực chính với tỷ số truyền i</t>
    </r>
    <r>
      <rPr>
        <vertAlign val="subscript"/>
        <sz val="11"/>
        <rFont val="Arial"/>
        <family val="2"/>
      </rPr>
      <t>o</t>
    </r>
    <r>
      <rPr>
        <sz val="11"/>
        <rFont val="Arial"/>
        <family val="2"/>
      </rPr>
      <t>, và bộ truyền lực cuối cùng với tỷ số truyền i</t>
    </r>
    <r>
      <rPr>
        <vertAlign val="subscript"/>
        <sz val="11"/>
        <rFont val="Arial"/>
        <family val="2"/>
      </rPr>
      <t>cc</t>
    </r>
    <r>
      <rPr>
        <sz val="11"/>
        <rFont val="Arial"/>
        <family val="2"/>
      </rPr>
      <t>.</t>
    </r>
  </si>
  <si>
    <t>2.10.</t>
  </si>
  <si>
    <t xml:space="preserve"> CÔNG SUẤT ĐỘNG CƠ ĐỐT TRONG</t>
  </si>
  <si>
    <r>
      <t xml:space="preserve"> Công suất ĐCĐT ứng với v</t>
    </r>
    <r>
      <rPr>
        <b/>
        <vertAlign val="subscript"/>
        <sz val="11"/>
        <rFont val="Arial"/>
        <family val="2"/>
      </rPr>
      <t>max</t>
    </r>
    <r>
      <rPr>
        <b/>
        <sz val="11"/>
        <rFont val="Arial"/>
        <family val="2"/>
      </rPr>
      <t xml:space="preserve"> của xe</t>
    </r>
  </si>
  <si>
    <r>
      <t xml:space="preserve"> Công suất ĐCĐT ứng với v</t>
    </r>
    <r>
      <rPr>
        <vertAlign val="subscript"/>
        <sz val="11"/>
        <rFont val="Arial"/>
        <family val="2"/>
      </rPr>
      <t>max</t>
    </r>
    <r>
      <rPr>
        <sz val="11"/>
        <rFont val="Arial"/>
        <family val="2"/>
      </rPr>
      <t>, được xác định bằng biểu thức:</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</si>
  <si>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</si>
  <si>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t>
    </r>
  </si>
  <si>
    <r>
      <t xml:space="preserve"> fv</t>
    </r>
    <r>
      <rPr>
        <b/>
        <vertAlign val="subscript"/>
        <sz val="11"/>
        <rFont val="Arial"/>
        <family val="2"/>
      </rPr>
      <t xml:space="preserve">max </t>
    </r>
    <r>
      <rPr>
        <sz val="11"/>
        <rFont val="Arial"/>
        <family val="2"/>
      </rPr>
      <t>- hệ số cản lăn ứng với v</t>
    </r>
    <r>
      <rPr>
        <vertAlign val="subscript"/>
        <sz val="11"/>
        <rFont val="Arial"/>
        <family val="2"/>
      </rPr>
      <t>max</t>
    </r>
    <r>
      <rPr>
        <sz val="11"/>
        <rFont val="Arial"/>
        <family val="2"/>
      </rPr>
      <t>;</t>
    </r>
  </si>
  <si>
    <r>
      <t xml:space="preserve"> </t>
    </r>
    <r>
      <rPr>
        <b/>
        <sz val="11"/>
        <rFont val="Arial"/>
        <family val="2"/>
      </rPr>
      <t>G</t>
    </r>
    <r>
      <rPr>
        <sz val="11"/>
        <rFont val="Arial"/>
        <family val="2"/>
      </rPr>
      <t xml:space="preserve"> - trọng lượng xe khi đủ tải,</t>
    </r>
    <r>
      <rPr>
        <b/>
        <sz val="11"/>
        <rFont val="Arial"/>
        <family val="2"/>
      </rPr>
      <t xml:space="preserve"> </t>
    </r>
    <r>
      <rPr>
        <sz val="11"/>
        <rFont val="Arial"/>
        <family val="2"/>
      </rPr>
      <t>N;</t>
    </r>
  </si>
  <si>
    <r>
      <t xml:space="preserve"> </t>
    </r>
    <r>
      <rPr>
        <b/>
        <sz val="11"/>
        <rFont val="Arial"/>
        <family val="2"/>
      </rPr>
      <t>v</t>
    </r>
    <r>
      <rPr>
        <b/>
        <vertAlign val="subscript"/>
        <sz val="11"/>
        <rFont val="Arial"/>
        <family val="2"/>
      </rPr>
      <t>max</t>
    </r>
    <r>
      <rPr>
        <sz val="11"/>
        <rFont val="Arial"/>
        <family val="2"/>
      </rPr>
      <t xml:space="preserve"> - vận tốc lớn nhất của xe theo yêu cầu, m/s;</t>
    </r>
  </si>
  <si>
    <r>
      <t xml:space="preserve"> </t>
    </r>
    <r>
      <rPr>
        <b/>
        <sz val="11"/>
        <rFont val="Arial"/>
        <family val="2"/>
      </rPr>
      <t>W</t>
    </r>
    <r>
      <rPr>
        <sz val="11"/>
        <rFont val="Arial"/>
        <family val="2"/>
      </rPr>
      <t xml:space="preserve"> - nhân tố khí động học, Ns</t>
    </r>
    <r>
      <rPr>
        <vertAlign val="superscript"/>
        <sz val="11"/>
        <rFont val="Arial"/>
        <family val="2"/>
      </rPr>
      <t>2</t>
    </r>
    <r>
      <rPr>
        <sz val="11"/>
        <rFont val="Arial"/>
        <family val="2"/>
      </rPr>
      <t>/m</t>
    </r>
    <r>
      <rPr>
        <vertAlign val="superscript"/>
        <sz val="11"/>
        <rFont val="Arial"/>
        <family val="2"/>
      </rPr>
      <t>2</t>
    </r>
    <r>
      <rPr>
        <sz val="11"/>
        <rFont val="Arial"/>
        <family val="2"/>
      </rPr>
      <t>.</t>
    </r>
  </si>
  <si>
    <t>Công suất lớn nhất của ĐCĐT</t>
  </si>
  <si>
    <r>
      <t xml:space="preserve"> Theo thực nghiệm S.R.Lay Decman, công suất ĐCĐT (N</t>
    </r>
    <r>
      <rPr>
        <vertAlign val="subscript"/>
        <sz val="11"/>
        <rFont val="Arial"/>
        <family val="2"/>
      </rPr>
      <t>e</t>
    </r>
    <r>
      <rPr>
        <sz val="11"/>
        <rFont val="Arial"/>
        <family val="2"/>
      </rPr>
      <t>) ứng với từng số vòng (n</t>
    </r>
    <r>
      <rPr>
        <vertAlign val="subscript"/>
        <sz val="11"/>
        <rFont val="Arial"/>
        <family val="2"/>
      </rPr>
      <t>e</t>
    </r>
    <r>
      <rPr>
        <sz val="11"/>
        <rFont val="Arial"/>
        <family val="2"/>
      </rPr>
      <t>) được xác định bởi hàm số:</t>
    </r>
  </si>
  <si>
    <r>
      <t xml:space="preserve">  N</t>
    </r>
    <r>
      <rPr>
        <vertAlign val="subscript"/>
        <sz val="11"/>
        <rFont val="Arial"/>
        <family val="2"/>
      </rPr>
      <t xml:space="preserve">e </t>
    </r>
    <r>
      <rPr>
        <sz val="11"/>
        <rFont val="Arial"/>
        <family val="2"/>
      </rPr>
      <t>= f(n</t>
    </r>
    <r>
      <rPr>
        <vertAlign val="subscript"/>
        <sz val="11"/>
        <rFont val="Arial"/>
        <family val="2"/>
      </rPr>
      <t>e</t>
    </r>
    <r>
      <rPr>
        <sz val="11"/>
        <rFont val="Arial"/>
        <family val="2"/>
      </rPr>
      <t>) =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</si>
  <si>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Khi số vòng quay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t>
    </r>
    <r>
      <rPr>
        <b/>
        <vertAlign val="subscript"/>
        <sz val="11"/>
        <rFont val="Arial"/>
        <family val="2"/>
      </rPr>
      <t>max</t>
    </r>
    <r>
      <rPr>
        <sz val="11"/>
        <rFont val="Arial"/>
        <family val="2"/>
      </rPr>
      <t xml:space="preserve">; thì công suất cũng từ </t>
    </r>
    <r>
      <rPr>
        <b/>
        <sz val="11"/>
        <rFont val="Arial"/>
        <family val="2"/>
      </rPr>
      <t>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Nv</t>
    </r>
    <r>
      <rPr>
        <b/>
        <vertAlign val="subscript"/>
        <sz val="11"/>
        <rFont val="Arial"/>
        <family val="2"/>
      </rPr>
      <t>max</t>
    </r>
    <r>
      <rPr>
        <b/>
        <sz val="11"/>
        <rFont val="Arial"/>
        <family val="2"/>
      </rPr>
      <t xml:space="preserve">, </t>
    </r>
    <r>
      <rPr>
        <sz val="11"/>
        <rFont val="Arial"/>
        <family val="2"/>
      </rPr>
      <t>hàm số trở thành biểu thức:</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</si>
  <si>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</si>
  <si>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 Đặt, λ = n</t>
    </r>
    <r>
      <rPr>
        <vertAlign val="subscript"/>
        <sz val="11"/>
        <rFont val="Arial"/>
        <family val="2"/>
      </rPr>
      <t>max</t>
    </r>
    <r>
      <rPr>
        <sz val="11"/>
        <rFont val="Arial"/>
        <family val="2"/>
      </rPr>
      <t>/n</t>
    </r>
    <r>
      <rPr>
        <vertAlign val="subscript"/>
        <sz val="11"/>
        <rFont val="Arial"/>
        <family val="2"/>
      </rPr>
      <t>N</t>
    </r>
    <r>
      <rPr>
        <sz val="11"/>
        <rFont val="Arial"/>
        <family val="2"/>
      </rPr>
      <t>, thì:</t>
    </r>
  </si>
  <si>
    <r>
      <t xml:space="preserve">  Nv</t>
    </r>
    <r>
      <rPr>
        <vertAlign val="subscript"/>
        <sz val="11"/>
        <rFont val="Arial"/>
        <family val="2"/>
      </rPr>
      <t xml:space="preserve">max </t>
    </r>
    <r>
      <rPr>
        <sz val="11"/>
        <rFont val="Arial"/>
        <family val="2"/>
      </rPr>
      <t>= N</t>
    </r>
    <r>
      <rPr>
        <vertAlign val="subscript"/>
        <sz val="11"/>
        <rFont val="Arial"/>
        <family val="2"/>
      </rPr>
      <t>max</t>
    </r>
    <r>
      <rPr>
        <sz val="11"/>
        <rFont val="Arial"/>
        <family val="2"/>
      </rPr>
      <t xml:space="preserve"> [a.λ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</si>
  <si>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</si>
  <si>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</si>
  <si>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</si>
  <si>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</si>
  <si>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</si>
  <si>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</si>
  <si>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</si>
  <si>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</si>
  <si>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</si>
  <si>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</si>
  <si>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family val="2"/>
      </rPr>
      <t>eij</t>
    </r>
    <r>
      <rPr>
        <sz val="11"/>
        <rFont val="Arial"/>
        <family val="2"/>
      </rPr>
      <t xml:space="preserve"> - vận tốc xe thay đổi với các biến số sau:</t>
    </r>
  </si>
  <si>
    <r>
      <t xml:space="preserve">    (</t>
    </r>
    <r>
      <rPr>
        <b/>
        <sz val="11"/>
        <rFont val="Arial"/>
        <family val="2"/>
      </rPr>
      <t>e</t>
    </r>
    <r>
      <rPr>
        <sz val="11"/>
        <rFont val="Arial"/>
        <family val="2"/>
      </rPr>
      <t>) - tốc độ (số vòng quay) động cơ n</t>
    </r>
    <r>
      <rPr>
        <vertAlign val="subscript"/>
        <sz val="11"/>
        <rFont val="Arial"/>
        <family val="2"/>
      </rPr>
      <t>e</t>
    </r>
    <r>
      <rPr>
        <sz val="11"/>
        <rFont val="Arial"/>
        <family val="2"/>
      </rPr>
      <t xml:space="preserve">; </t>
    </r>
  </si>
  <si>
    <r>
      <t xml:space="preserve">            được thay đổi giá trị, từ </t>
    </r>
    <r>
      <rPr>
        <b/>
        <sz val="11"/>
        <rFont val="Arial"/>
        <family val="2"/>
      </rPr>
      <t>n</t>
    </r>
    <r>
      <rPr>
        <b/>
        <vertAlign val="subscript"/>
        <sz val="11"/>
        <rFont val="Arial"/>
        <family val="2"/>
      </rPr>
      <t>e</t>
    </r>
    <r>
      <rPr>
        <b/>
        <sz val="11"/>
        <rFont val="Arial"/>
        <family val="2"/>
      </rPr>
      <t xml:space="preserve"> = (n</t>
    </r>
    <r>
      <rPr>
        <b/>
        <vertAlign val="subscript"/>
        <sz val="11"/>
        <rFont val="Arial"/>
        <family val="2"/>
      </rPr>
      <t>min</t>
    </r>
    <r>
      <rPr>
        <b/>
        <sz val="11"/>
        <rFont val="Arial"/>
        <family val="2"/>
      </rPr>
      <t xml:space="preserve"> ÷ n</t>
    </r>
    <r>
      <rPr>
        <b/>
        <vertAlign val="subscript"/>
        <sz val="11"/>
        <rFont val="Arial"/>
        <family val="2"/>
      </rPr>
      <t>max</t>
    </r>
    <r>
      <rPr>
        <b/>
        <sz val="11"/>
        <rFont val="Arial"/>
        <family val="2"/>
      </rPr>
      <t>)</t>
    </r>
  </si>
  <si>
    <r>
      <t xml:space="preserve">    (</t>
    </r>
    <r>
      <rPr>
        <b/>
        <sz val="11"/>
        <rFont val="Arial"/>
        <family val="2"/>
      </rPr>
      <t>i</t>
    </r>
    <r>
      <rPr>
        <sz val="11"/>
        <rFont val="Arial"/>
        <family val="2"/>
      </rPr>
      <t xml:space="preserve">) - tỷ số truyền của hộp số chính </t>
    </r>
    <r>
      <rPr>
        <b/>
        <sz val="11"/>
        <rFont val="Arial"/>
        <family val="2"/>
      </rPr>
      <t>i</t>
    </r>
    <r>
      <rPr>
        <b/>
        <vertAlign val="subscript"/>
        <sz val="11"/>
        <rFont val="Arial"/>
        <family val="2"/>
      </rPr>
      <t>hi</t>
    </r>
    <r>
      <rPr>
        <sz val="11"/>
        <rFont val="Arial"/>
        <family val="2"/>
      </rPr>
      <t xml:space="preserve">; </t>
    </r>
  </si>
  <si>
    <r>
      <t xml:space="preserve">            được thay đổi theo tay số truyền, từ </t>
    </r>
    <r>
      <rPr>
        <b/>
        <sz val="11"/>
        <rFont val="Arial"/>
        <family val="2"/>
      </rPr>
      <t>i = (1 ÷ n)</t>
    </r>
  </si>
  <si>
    <r>
      <t xml:space="preserve">            </t>
    </r>
    <r>
      <rPr>
        <b/>
        <sz val="11"/>
        <rFont val="Arial"/>
        <family val="2"/>
      </rPr>
      <t>i</t>
    </r>
    <r>
      <rPr>
        <b/>
        <vertAlign val="subscript"/>
        <sz val="11"/>
        <rFont val="Arial"/>
        <family val="2"/>
      </rPr>
      <t xml:space="preserve">h1 </t>
    </r>
    <r>
      <rPr>
        <sz val="11"/>
        <rFont val="Arial"/>
        <family val="2"/>
      </rPr>
      <t xml:space="preserve">- là tay số thứ </t>
    </r>
    <r>
      <rPr>
        <b/>
        <sz val="11"/>
        <rFont val="Arial"/>
        <family val="2"/>
      </rPr>
      <t>1</t>
    </r>
  </si>
  <si>
    <r>
      <t xml:space="preserve">            </t>
    </r>
    <r>
      <rPr>
        <b/>
        <sz val="11"/>
        <rFont val="Arial"/>
        <family val="2"/>
      </rPr>
      <t>i</t>
    </r>
    <r>
      <rPr>
        <b/>
        <vertAlign val="subscript"/>
        <sz val="11"/>
        <rFont val="Arial"/>
        <family val="2"/>
      </rPr>
      <t xml:space="preserve">hn </t>
    </r>
    <r>
      <rPr>
        <sz val="11"/>
        <rFont val="Arial"/>
        <family val="2"/>
      </rPr>
      <t xml:space="preserve">- là tay số thứ </t>
    </r>
    <r>
      <rPr>
        <b/>
        <sz val="11"/>
        <rFont val="Arial"/>
        <family val="2"/>
      </rPr>
      <t>n</t>
    </r>
    <r>
      <rPr>
        <sz val="11"/>
        <rFont val="Arial"/>
        <family val="2"/>
      </rPr>
      <t>, có thể là:</t>
    </r>
  </si>
  <si>
    <r>
      <t xml:space="preserve">                   - Số truyền thẳng, với  </t>
    </r>
    <r>
      <rPr>
        <b/>
        <sz val="11"/>
        <rFont val="Arial"/>
        <family val="2"/>
      </rPr>
      <t>i</t>
    </r>
    <r>
      <rPr>
        <b/>
        <vertAlign val="subscript"/>
        <sz val="11"/>
        <rFont val="Arial"/>
        <family val="2"/>
      </rPr>
      <t>hn</t>
    </r>
    <r>
      <rPr>
        <b/>
        <sz val="11"/>
        <rFont val="Arial"/>
        <family val="2"/>
      </rPr>
      <t xml:space="preserve"> = 1</t>
    </r>
  </si>
  <si>
    <r>
      <t xml:space="preserve">                   - Số truyền tăng, với </t>
    </r>
    <r>
      <rPr>
        <b/>
        <sz val="11"/>
        <rFont val="Arial"/>
        <family val="2"/>
      </rPr>
      <t>i</t>
    </r>
    <r>
      <rPr>
        <b/>
        <vertAlign val="subscript"/>
        <sz val="11"/>
        <rFont val="Arial"/>
        <family val="2"/>
      </rPr>
      <t xml:space="preserve">hn </t>
    </r>
    <r>
      <rPr>
        <b/>
        <sz val="11"/>
        <rFont val="Arial"/>
        <family val="2"/>
      </rPr>
      <t>= (0.65 ÷ 0.85)</t>
    </r>
  </si>
  <si>
    <r>
      <t xml:space="preserve">    (</t>
    </r>
    <r>
      <rPr>
        <b/>
        <sz val="11"/>
        <rFont val="Arial"/>
        <family val="2"/>
      </rPr>
      <t>j</t>
    </r>
    <r>
      <rPr>
        <sz val="11"/>
        <rFont val="Arial"/>
        <family val="2"/>
      </rPr>
      <t xml:space="preserve">) - tỷ số truyền của hộp số phụ hay phân phối, </t>
    </r>
    <r>
      <rPr>
        <b/>
        <sz val="11"/>
        <rFont val="Arial"/>
        <family val="2"/>
      </rPr>
      <t>i</t>
    </r>
    <r>
      <rPr>
        <b/>
        <vertAlign val="subscript"/>
        <sz val="11"/>
        <rFont val="Arial"/>
        <family val="2"/>
      </rPr>
      <t>pj</t>
    </r>
    <r>
      <rPr>
        <sz val="11"/>
        <rFont val="Arial"/>
        <family val="2"/>
      </rPr>
      <t xml:space="preserve">; </t>
    </r>
  </si>
  <si>
    <r>
      <t xml:space="preserve">            được thay đổi theo tay số truyền, từ </t>
    </r>
    <r>
      <rPr>
        <b/>
        <sz val="11"/>
        <rFont val="Arial"/>
        <family val="2"/>
      </rPr>
      <t>j = (t ÷ c)</t>
    </r>
  </si>
  <si>
    <r>
      <t xml:space="preserve">            </t>
    </r>
    <r>
      <rPr>
        <b/>
        <sz val="11"/>
        <rFont val="Arial"/>
        <family val="2"/>
      </rPr>
      <t>i</t>
    </r>
    <r>
      <rPr>
        <b/>
        <vertAlign val="subscript"/>
        <sz val="11"/>
        <rFont val="Arial"/>
        <family val="2"/>
      </rPr>
      <t xml:space="preserve">pt </t>
    </r>
    <r>
      <rPr>
        <sz val="11"/>
        <rFont val="Arial"/>
        <family val="2"/>
      </rPr>
      <t>- là tỷ số truyền thấp (</t>
    </r>
    <r>
      <rPr>
        <b/>
        <sz val="11"/>
        <rFont val="Arial"/>
        <family val="2"/>
      </rPr>
      <t>t</t>
    </r>
    <r>
      <rPr>
        <sz val="11"/>
        <rFont val="Arial"/>
        <family val="2"/>
      </rPr>
      <t xml:space="preserve">), với </t>
    </r>
    <r>
      <rPr>
        <b/>
        <sz val="11"/>
        <rFont val="Arial"/>
        <family val="2"/>
      </rPr>
      <t>i</t>
    </r>
    <r>
      <rPr>
        <b/>
        <vertAlign val="subscript"/>
        <sz val="11"/>
        <rFont val="Arial"/>
        <family val="2"/>
      </rPr>
      <t>pt</t>
    </r>
    <r>
      <rPr>
        <b/>
        <sz val="11"/>
        <rFont val="Arial"/>
        <family val="2"/>
      </rPr>
      <t xml:space="preserve"> = 1</t>
    </r>
  </si>
  <si>
    <r>
      <t xml:space="preserve">            </t>
    </r>
    <r>
      <rPr>
        <b/>
        <sz val="11"/>
        <rFont val="Arial"/>
        <family val="2"/>
      </rPr>
      <t>i</t>
    </r>
    <r>
      <rPr>
        <b/>
        <vertAlign val="subscript"/>
        <sz val="11"/>
        <rFont val="Arial"/>
        <family val="2"/>
      </rPr>
      <t xml:space="preserve">pc </t>
    </r>
    <r>
      <rPr>
        <sz val="11"/>
        <rFont val="Arial"/>
        <family val="2"/>
      </rPr>
      <t>- là tỷ số truyền cao (</t>
    </r>
    <r>
      <rPr>
        <b/>
        <sz val="11"/>
        <rFont val="Arial"/>
        <family val="2"/>
      </rPr>
      <t>c</t>
    </r>
    <r>
      <rPr>
        <sz val="11"/>
        <rFont val="Arial"/>
        <family val="2"/>
      </rPr>
      <t xml:space="preserve">), với </t>
    </r>
    <r>
      <rPr>
        <b/>
        <sz val="11"/>
        <rFont val="Arial"/>
        <family val="2"/>
      </rPr>
      <t>i</t>
    </r>
    <r>
      <rPr>
        <b/>
        <vertAlign val="subscript"/>
        <sz val="11"/>
        <rFont val="Arial"/>
        <family val="2"/>
      </rPr>
      <t>pc</t>
    </r>
    <r>
      <rPr>
        <b/>
        <sz val="11"/>
        <rFont val="Arial"/>
        <family val="2"/>
      </rPr>
      <t xml:space="preserve"> &gt; 1</t>
    </r>
  </si>
  <si>
    <t xml:space="preserve"> Do đó, vận tốc xe được viết dưới dạng một hàm số:</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</si>
  <si>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ti,j</t>
    </r>
    <r>
      <rPr>
        <sz val="11"/>
        <rFont val="Arial"/>
        <family val="2"/>
      </rPr>
      <t>, [m/s]</t>
    </r>
  </si>
  <si>
    <r>
      <t xml:space="preserve"> v</t>
    </r>
    <r>
      <rPr>
        <vertAlign val="subscript"/>
        <sz val="11"/>
        <rFont val="Arial"/>
        <family val="2"/>
      </rPr>
      <t>eij</t>
    </r>
    <r>
      <rPr>
        <sz val="11"/>
        <rFont val="Arial"/>
        <family val="2"/>
      </rPr>
      <t xml:space="preserve"> - vận tốc xe theo 3 biến số e, i, j;</t>
    </r>
  </si>
  <si>
    <t xml:space="preserve"> π - số pi = 3.1416…</t>
  </si>
  <si>
    <r>
      <t xml:space="preserve"> r</t>
    </r>
    <r>
      <rPr>
        <vertAlign val="subscript"/>
        <sz val="11"/>
        <rFont val="Arial"/>
        <family val="2"/>
      </rPr>
      <t xml:space="preserve">b </t>
    </r>
    <r>
      <rPr>
        <sz val="11"/>
        <rFont val="Arial"/>
        <family val="2"/>
      </rPr>
      <t>- bán kính lăn bánh xe, mm;</t>
    </r>
  </si>
  <si>
    <r>
      <t xml:space="preserve"> n</t>
    </r>
    <r>
      <rPr>
        <vertAlign val="subscript"/>
        <sz val="11"/>
        <rFont val="Arial"/>
        <family val="2"/>
      </rPr>
      <t xml:space="preserve">e </t>
    </r>
    <r>
      <rPr>
        <sz val="11"/>
        <rFont val="Arial"/>
        <family val="2"/>
      </rPr>
      <t>- số vòng quay ĐCĐT sẽ thay đổi trong quá trình hoạt động, v/p;</t>
    </r>
  </si>
  <si>
    <r>
      <t xml:space="preserve"> i</t>
    </r>
    <r>
      <rPr>
        <vertAlign val="subscript"/>
        <sz val="11"/>
        <rFont val="Arial"/>
        <family val="2"/>
      </rPr>
      <t>ti,j</t>
    </r>
    <r>
      <rPr>
        <sz val="11"/>
        <rFont val="Arial"/>
        <family val="2"/>
      </rPr>
      <t xml:space="preserve"> = (i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 tỷ số truyền trong hệ thống truyền lực tổng quát</t>
    </r>
  </si>
  <si>
    <t xml:space="preserve"> Hàm số vận tốc có thể viết lại:</t>
  </si>
  <si>
    <r>
      <t xml:space="preserve"> v</t>
    </r>
    <r>
      <rPr>
        <vertAlign val="subscript"/>
        <sz val="11"/>
        <rFont val="Arial"/>
        <family val="2"/>
      </rPr>
      <t>eij</t>
    </r>
    <r>
      <rPr>
        <sz val="11"/>
        <rFont val="Arial"/>
        <family val="2"/>
      </rPr>
      <t xml:space="preserve"> = f(i</t>
    </r>
    <r>
      <rPr>
        <vertAlign val="subscript"/>
        <sz val="11"/>
        <rFont val="Arial"/>
        <family val="2"/>
      </rPr>
      <t>ti,j</t>
    </r>
    <r>
      <rPr>
        <sz val="11"/>
        <rFont val="Arial"/>
        <family val="2"/>
      </rPr>
      <t>,n</t>
    </r>
    <r>
      <rPr>
        <vertAlign val="subscript"/>
        <sz val="11"/>
        <rFont val="Arial"/>
        <family val="2"/>
      </rPr>
      <t>e</t>
    </r>
    <r>
      <rPr>
        <sz val="11"/>
        <rFont val="Arial"/>
        <family val="2"/>
      </rPr>
      <t>) = 2π.r</t>
    </r>
    <r>
      <rPr>
        <vertAlign val="subscript"/>
        <sz val="11"/>
        <rFont val="Arial"/>
        <family val="2"/>
      </rPr>
      <t>b</t>
    </r>
    <r>
      <rPr>
        <sz val="11"/>
        <rFont val="Arial"/>
        <family val="2"/>
      </rPr>
      <t>.n</t>
    </r>
    <r>
      <rPr>
        <vertAlign val="subscript"/>
        <sz val="11"/>
        <rFont val="Arial"/>
        <family val="2"/>
      </rPr>
      <t>e</t>
    </r>
    <r>
      <rPr>
        <sz val="11"/>
        <rFont val="Arial"/>
        <family val="2"/>
      </rPr>
      <t>/((i</t>
    </r>
    <r>
      <rPr>
        <vertAlign val="subscript"/>
        <sz val="11"/>
        <rFont val="Arial"/>
        <family val="2"/>
      </rPr>
      <t>hi</t>
    </r>
    <r>
      <rPr>
        <sz val="11"/>
        <rFont val="Arial"/>
        <family val="2"/>
      </rPr>
      <t>.i</t>
    </r>
    <r>
      <rPr>
        <vertAlign val="subscript"/>
        <sz val="11"/>
        <rFont val="Arial"/>
        <family val="2"/>
      </rPr>
      <t>pj</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 [m/s]</t>
    </r>
  </si>
  <si>
    <t>2.11.2.</t>
  </si>
  <si>
    <r>
      <t xml:space="preserve"> Xác định cụm tổng thành có "tỷ số truyền không thay đổi"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</si>
  <si>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Muốn vận tốc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max</t>
    </r>
    <r>
      <rPr>
        <sz val="11"/>
        <rFont val="Arial"/>
        <family val="2"/>
      </rPr>
      <t>, cần:</t>
    </r>
  </si>
  <si>
    <r>
      <t xml:space="preserve"> + Số vòng quay động cơ lớn nhất, tức n</t>
    </r>
    <r>
      <rPr>
        <vertAlign val="subscript"/>
        <sz val="11"/>
        <rFont val="Arial"/>
        <family val="2"/>
      </rPr>
      <t>e</t>
    </r>
    <r>
      <rPr>
        <sz val="11"/>
        <rFont val="Arial"/>
        <family val="2"/>
      </rPr>
      <t xml:space="preserve"> = n</t>
    </r>
    <r>
      <rPr>
        <vertAlign val="subscript"/>
        <sz val="11"/>
        <rFont val="Arial"/>
        <family val="2"/>
      </rPr>
      <t>max</t>
    </r>
    <r>
      <rPr>
        <sz val="11"/>
        <rFont val="Arial"/>
        <family val="2"/>
      </rPr>
      <t>;</t>
    </r>
  </si>
  <si>
    <r>
      <t xml:space="preserve"> + Tỷ số truyền ở hộp số chính phải nhỏ nhất, tương ứng với tay số cao nhất, i</t>
    </r>
    <r>
      <rPr>
        <vertAlign val="subscript"/>
        <sz val="11"/>
        <rFont val="Arial"/>
        <family val="2"/>
      </rPr>
      <t>hi</t>
    </r>
    <r>
      <rPr>
        <sz val="11"/>
        <rFont val="Arial"/>
        <family val="2"/>
      </rPr>
      <t>=i</t>
    </r>
    <r>
      <rPr>
        <vertAlign val="subscript"/>
        <sz val="11"/>
        <rFont val="Arial"/>
        <family val="2"/>
      </rPr>
      <t>hn</t>
    </r>
    <r>
      <rPr>
        <sz val="11"/>
        <rFont val="Arial"/>
        <family val="2"/>
      </rPr>
      <t>. I</t>
    </r>
    <r>
      <rPr>
        <vertAlign val="subscript"/>
        <sz val="11"/>
        <rFont val="Arial"/>
        <family val="2"/>
      </rPr>
      <t>hn</t>
    </r>
    <r>
      <rPr>
        <sz val="11"/>
        <rFont val="Arial"/>
        <family val="2"/>
      </rPr>
      <t xml:space="preserve"> có thể là:</t>
    </r>
  </si>
  <si>
    <r>
      <t xml:space="preserve"> - Số truyền thẳng, i</t>
    </r>
    <r>
      <rPr>
        <vertAlign val="subscript"/>
        <sz val="11"/>
        <rFont val="Arial"/>
        <family val="2"/>
      </rPr>
      <t>hn</t>
    </r>
    <r>
      <rPr>
        <sz val="11"/>
        <rFont val="Arial"/>
        <family val="2"/>
      </rPr>
      <t xml:space="preserve"> = 1; hoặc</t>
    </r>
  </si>
  <si>
    <r>
      <t xml:space="preserve"> - Số truyền tăng; [i</t>
    </r>
    <r>
      <rPr>
        <vertAlign val="subscript"/>
        <sz val="11"/>
        <rFont val="Arial"/>
        <family val="2"/>
      </rPr>
      <t>hn</t>
    </r>
    <r>
      <rPr>
        <sz val="11"/>
        <rFont val="Arial"/>
        <family val="2"/>
      </rPr>
      <t xml:space="preserve">] = (0.65 ÷ 0.85) </t>
    </r>
  </si>
  <si>
    <r>
      <t xml:space="preserve"> + Tỷ số truyền ở hộp số phụ cũng phải nhỏ nhất, ứng với tỷ số truyền thấp nhất, i</t>
    </r>
    <r>
      <rPr>
        <vertAlign val="subscript"/>
        <sz val="11"/>
        <rFont val="Arial"/>
        <family val="2"/>
      </rPr>
      <t xml:space="preserve">pj </t>
    </r>
    <r>
      <rPr>
        <sz val="11"/>
        <rFont val="Arial"/>
        <family val="2"/>
      </rPr>
      <t>= i</t>
    </r>
    <r>
      <rPr>
        <vertAlign val="subscript"/>
        <sz val="11"/>
        <rFont val="Arial"/>
        <family val="2"/>
      </rPr>
      <t>pt</t>
    </r>
    <r>
      <rPr>
        <sz val="11"/>
        <rFont val="Arial"/>
        <family val="2"/>
      </rPr>
      <t>, với i</t>
    </r>
    <r>
      <rPr>
        <vertAlign val="subscript"/>
        <sz val="11"/>
        <rFont val="Arial"/>
        <family val="2"/>
      </rPr>
      <t>pt</t>
    </r>
    <r>
      <rPr>
        <sz val="11"/>
        <rFont val="Arial"/>
        <family val="2"/>
      </rPr>
      <t xml:space="preserve"> = 1;</t>
    </r>
  </si>
  <si>
    <r>
      <t xml:space="preserve"> Do đó, v</t>
    </r>
    <r>
      <rPr>
        <vertAlign val="subscript"/>
        <sz val="11"/>
        <rFont val="Arial"/>
        <family val="2"/>
      </rPr>
      <t>max</t>
    </r>
    <r>
      <rPr>
        <sz val="11"/>
        <rFont val="Arial"/>
        <family val="2"/>
      </rPr>
      <t xml:space="preserve"> = 2π.r</t>
    </r>
    <r>
      <rPr>
        <vertAlign val="subscript"/>
        <sz val="11"/>
        <rFont val="Arial"/>
        <family val="2"/>
      </rPr>
      <t>b</t>
    </r>
    <r>
      <rPr>
        <sz val="11"/>
        <rFont val="Arial"/>
        <family val="2"/>
      </rPr>
      <t>.n</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</si>
  <si>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không thay đổi" (i</t>
    </r>
    <r>
      <rPr>
        <vertAlign val="subscript"/>
        <sz val="11"/>
        <rFont val="Arial"/>
        <family val="2"/>
      </rPr>
      <t>o</t>
    </r>
    <r>
      <rPr>
        <sz val="11"/>
        <rFont val="Arial"/>
        <family val="2"/>
      </rPr>
      <t>.i</t>
    </r>
    <r>
      <rPr>
        <vertAlign val="subscript"/>
        <sz val="11"/>
        <rFont val="Arial"/>
        <family val="2"/>
      </rPr>
      <t>cc</t>
    </r>
    <r>
      <rPr>
        <sz val="11"/>
        <rFont val="Arial"/>
        <family val="2"/>
      </rPr>
      <t>), xác định bởi biểu thức:</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</si>
  <si>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 2π.r</t>
    </r>
    <r>
      <rPr>
        <vertAlign val="subscript"/>
        <sz val="11"/>
        <rFont val="Arial"/>
        <family val="2"/>
      </rPr>
      <t>b</t>
    </r>
    <r>
      <rPr>
        <sz val="11"/>
        <rFont val="Arial"/>
        <family val="2"/>
      </rPr>
      <t>.n</t>
    </r>
    <r>
      <rPr>
        <vertAlign val="subscript"/>
        <sz val="11"/>
        <rFont val="Arial"/>
        <family val="2"/>
      </rPr>
      <t>max</t>
    </r>
    <r>
      <rPr>
        <sz val="11"/>
        <rFont val="Arial"/>
        <family val="2"/>
      </rPr>
      <t>/((v</t>
    </r>
    <r>
      <rPr>
        <vertAlign val="subscript"/>
        <sz val="11"/>
        <rFont val="Arial"/>
        <family val="2"/>
      </rPr>
      <t>max</t>
    </r>
    <r>
      <rPr>
        <sz val="11"/>
        <rFont val="Arial"/>
        <family val="2"/>
      </rPr>
      <t>).(i</t>
    </r>
    <r>
      <rPr>
        <vertAlign val="subscript"/>
        <sz val="11"/>
        <rFont val="Arial"/>
        <family val="2"/>
      </rPr>
      <t>hn</t>
    </r>
    <r>
      <rPr>
        <sz val="11"/>
        <rFont val="Arial"/>
        <family val="2"/>
      </rPr>
      <t>.i</t>
    </r>
    <r>
      <rPr>
        <vertAlign val="subscript"/>
        <sz val="11"/>
        <rFont val="Arial"/>
        <family val="2"/>
      </rPr>
      <t>pt</t>
    </r>
    <r>
      <rPr>
        <sz val="11"/>
        <rFont val="Arial"/>
        <family val="2"/>
      </rPr>
      <t>))</t>
    </r>
  </si>
  <si>
    <r>
      <t xml:space="preserve"> Gọi [i</t>
    </r>
    <r>
      <rPr>
        <vertAlign val="subscript"/>
        <sz val="11"/>
        <rFont val="Arial"/>
        <family val="2"/>
      </rPr>
      <t>o</t>
    </r>
    <r>
      <rPr>
        <sz val="11"/>
        <rFont val="Arial"/>
        <family val="2"/>
      </rPr>
      <t>] là khoảng tỷ số truyền của truyền lực chính thuộc chủng loại xe tương ứng</t>
    </r>
  </si>
  <si>
    <r>
      <t xml:space="preserve"> So sánh giá trị (i</t>
    </r>
    <r>
      <rPr>
        <vertAlign val="subscript"/>
        <sz val="11"/>
        <rFont val="Arial"/>
        <family val="2"/>
      </rPr>
      <t>o</t>
    </r>
    <r>
      <rPr>
        <sz val="11"/>
        <rFont val="Arial"/>
        <family val="2"/>
      </rPr>
      <t>.i</t>
    </r>
    <r>
      <rPr>
        <vertAlign val="subscript"/>
        <sz val="11"/>
        <rFont val="Arial"/>
        <family val="2"/>
      </rPr>
      <t>cc</t>
    </r>
    <r>
      <rPr>
        <sz val="11"/>
        <rFont val="Arial"/>
        <family val="2"/>
      </rPr>
      <t>) với khoảng [i</t>
    </r>
    <r>
      <rPr>
        <vertAlign val="subscript"/>
        <sz val="11"/>
        <rFont val="Arial"/>
        <family val="2"/>
      </rPr>
      <t>o</t>
    </r>
    <r>
      <rPr>
        <sz val="11"/>
        <rFont val="Arial"/>
        <family val="2"/>
      </rPr>
      <t>], nếu:</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</si>
  <si>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t>
    </r>
    <r>
      <rPr>
        <sz val="11"/>
        <rFont val="Arial"/>
        <family val="2"/>
      </rPr>
      <t xml:space="preserve"> [i</t>
    </r>
    <r>
      <rPr>
        <vertAlign val="subscript"/>
        <sz val="11"/>
        <rFont val="Arial"/>
        <family val="2"/>
      </rPr>
      <t>o</t>
    </r>
    <r>
      <rPr>
        <sz val="11"/>
        <rFont val="Arial"/>
        <family val="2"/>
      </rPr>
      <t>], nhóm tổng thành có tỷ số truyền "không thay đổi được" này chỉ cần bộ truyền lực trung ương là đủ đáp ứng giá trị đã tính</t>
    </r>
  </si>
  <si>
    <r>
      <t xml:space="preserve"> (i</t>
    </r>
    <r>
      <rPr>
        <vertAlign val="subscript"/>
        <sz val="11"/>
        <rFont val="Arial"/>
        <family val="2"/>
      </rPr>
      <t>o</t>
    </r>
    <r>
      <rPr>
        <sz val="11"/>
        <rFont val="Arial"/>
        <family val="2"/>
      </rPr>
      <t>.i</t>
    </r>
    <r>
      <rPr>
        <vertAlign val="subscript"/>
        <sz val="11"/>
        <rFont val="Arial"/>
        <family val="2"/>
      </rPr>
      <t>cc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o</t>
    </r>
    <r>
      <rPr>
        <sz val="11"/>
        <rFont val="Arial"/>
        <family val="2"/>
      </rPr>
      <t>], nhóm tổng thành có tỷ số truyền "không thay đổi được" này không chỉ có bộ truyền lực trung ương (i</t>
    </r>
    <r>
      <rPr>
        <vertAlign val="subscript"/>
        <sz val="11"/>
        <rFont val="Arial"/>
        <family val="2"/>
      </rPr>
      <t>o</t>
    </r>
    <r>
      <rPr>
        <sz val="11"/>
        <rFont val="Arial"/>
        <family val="2"/>
      </rPr>
      <t>) mà cần cả bộ truyền lực cuối cùng (i</t>
    </r>
    <r>
      <rPr>
        <vertAlign val="subscript"/>
        <sz val="11"/>
        <rFont val="Arial"/>
        <family val="2"/>
      </rPr>
      <t>cc</t>
    </r>
    <r>
      <rPr>
        <sz val="11"/>
        <rFont val="Arial"/>
        <family val="2"/>
      </rPr>
      <t>)</t>
    </r>
  </si>
  <si>
    <t>2.11.3.</t>
  </si>
  <si>
    <r>
      <t xml:space="preserve"> Xác định cụm tổng thành có "tỷ số truyền thay đổi" - (i</t>
    </r>
    <r>
      <rPr>
        <b/>
        <vertAlign val="subscript"/>
        <sz val="11"/>
        <rFont val="Arial"/>
        <family val="2"/>
      </rPr>
      <t>hi</t>
    </r>
    <r>
      <rPr>
        <b/>
        <sz val="11"/>
        <rFont val="Arial"/>
        <family val="2"/>
      </rPr>
      <t>.i</t>
    </r>
    <r>
      <rPr>
        <b/>
        <vertAlign val="subscript"/>
        <sz val="11"/>
        <rFont val="Arial"/>
        <family val="2"/>
      </rPr>
      <t>pj</t>
    </r>
    <r>
      <rPr>
        <b/>
        <sz val="11"/>
        <rFont val="Arial"/>
        <family val="2"/>
      </rPr>
      <t>)</t>
    </r>
  </si>
  <si>
    <t xml:space="preserve"> Tỷ số truyền trong hệ thống truyền lực tổng quát thể hiện qua biểu thức:</t>
  </si>
  <si>
    <r>
      <t xml:space="preserve"> Trong đó, đã xác định được (i</t>
    </r>
    <r>
      <rPr>
        <vertAlign val="subscript"/>
        <sz val="11"/>
        <rFont val="Arial"/>
        <family val="2"/>
      </rPr>
      <t>o</t>
    </r>
    <r>
      <rPr>
        <sz val="11"/>
        <rFont val="Arial"/>
        <family val="2"/>
      </rPr>
      <t>.i</t>
    </r>
    <r>
      <rPr>
        <vertAlign val="subscript"/>
        <sz val="11"/>
        <rFont val="Arial"/>
        <family val="2"/>
      </rPr>
      <t>cc</t>
    </r>
    <r>
      <rPr>
        <sz val="11"/>
        <rFont val="Arial"/>
        <family val="2"/>
      </rPr>
      <t>) trong mục 2.11.2</t>
    </r>
  </si>
  <si>
    <r>
      <t xml:space="preserve"> Cần xác định (i</t>
    </r>
    <r>
      <rPr>
        <vertAlign val="subscript"/>
        <sz val="11"/>
        <rFont val="Arial"/>
        <family val="2"/>
      </rPr>
      <t>hi</t>
    </r>
    <r>
      <rPr>
        <sz val="11"/>
        <rFont val="Arial"/>
        <family val="2"/>
      </rPr>
      <t>.i</t>
    </r>
    <r>
      <rPr>
        <vertAlign val="subscript"/>
        <sz val="11"/>
        <rFont val="Arial"/>
        <family val="2"/>
      </rPr>
      <t>pj</t>
    </r>
    <r>
      <rPr>
        <sz val="11"/>
        <rFont val="Arial"/>
        <family val="2"/>
      </rPr>
      <t>)</t>
    </r>
  </si>
  <si>
    <r>
      <t xml:space="preserve"> Muốn vận tốc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 v</t>
    </r>
    <r>
      <rPr>
        <vertAlign val="subscript"/>
        <sz val="11"/>
        <rFont val="Arial"/>
        <family val="2"/>
      </rPr>
      <t>min</t>
    </r>
    <r>
      <rPr>
        <sz val="11"/>
        <rFont val="Arial"/>
        <family val="2"/>
      </rPr>
      <t>, cần:</t>
    </r>
  </si>
  <si>
    <r>
      <t xml:space="preserve"> + Số vòng quay động cơ nhỏ nhất, tức n</t>
    </r>
    <r>
      <rPr>
        <vertAlign val="subscript"/>
        <sz val="11"/>
        <rFont val="Arial"/>
        <family val="2"/>
      </rPr>
      <t>e</t>
    </r>
    <r>
      <rPr>
        <sz val="11"/>
        <rFont val="Arial"/>
        <family val="2"/>
      </rPr>
      <t xml:space="preserve"> = n</t>
    </r>
    <r>
      <rPr>
        <vertAlign val="subscript"/>
        <sz val="11"/>
        <rFont val="Arial"/>
        <family val="2"/>
      </rPr>
      <t>min</t>
    </r>
    <r>
      <rPr>
        <sz val="11"/>
        <rFont val="Arial"/>
        <family val="2"/>
      </rPr>
      <t>;</t>
    </r>
  </si>
  <si>
    <r>
      <t xml:space="preserve"> + Tỷ số truyền hộp số chính phải lớn nhất, ứng với tay số 1 (đầu tiên), i</t>
    </r>
    <r>
      <rPr>
        <vertAlign val="subscript"/>
        <sz val="11"/>
        <rFont val="Arial"/>
        <family val="2"/>
      </rPr>
      <t xml:space="preserve">hi </t>
    </r>
    <r>
      <rPr>
        <sz val="11"/>
        <rFont val="Arial"/>
        <family val="2"/>
      </rPr>
      <t>= i</t>
    </r>
    <r>
      <rPr>
        <vertAlign val="subscript"/>
        <sz val="11"/>
        <rFont val="Arial"/>
        <family val="2"/>
      </rPr>
      <t>h1</t>
    </r>
    <r>
      <rPr>
        <sz val="11"/>
        <rFont val="Arial"/>
        <family val="2"/>
      </rPr>
      <t>;</t>
    </r>
  </si>
  <si>
    <r>
      <t xml:space="preserve"> + Tỷ số truyền hộp số phụ cũng phải lớn nhất, ứng với tỷ số truyền cao, i</t>
    </r>
    <r>
      <rPr>
        <vertAlign val="subscript"/>
        <sz val="11"/>
        <rFont val="Arial"/>
        <family val="2"/>
      </rPr>
      <t xml:space="preserve">pj </t>
    </r>
    <r>
      <rPr>
        <sz val="11"/>
        <rFont val="Arial"/>
        <family val="2"/>
      </rPr>
      <t>= i</t>
    </r>
    <r>
      <rPr>
        <vertAlign val="subscript"/>
        <sz val="11"/>
        <rFont val="Arial"/>
        <family val="2"/>
      </rPr>
      <t>pc</t>
    </r>
    <r>
      <rPr>
        <sz val="11"/>
        <rFont val="Arial"/>
        <family val="2"/>
      </rPr>
      <t>;</t>
    </r>
  </si>
  <si>
    <r>
      <t xml:space="preserve"> Do đó, v</t>
    </r>
    <r>
      <rPr>
        <vertAlign val="subscript"/>
        <sz val="11"/>
        <rFont val="Arial"/>
        <family val="2"/>
      </rPr>
      <t>min</t>
    </r>
    <r>
      <rPr>
        <sz val="11"/>
        <rFont val="Arial"/>
        <family val="2"/>
      </rPr>
      <t xml:space="preserve"> = 2π.r</t>
    </r>
    <r>
      <rPr>
        <vertAlign val="subscript"/>
        <sz val="11"/>
        <rFont val="Arial"/>
        <family val="2"/>
      </rPr>
      <t>b</t>
    </r>
    <r>
      <rPr>
        <sz val="11"/>
        <rFont val="Arial"/>
        <family val="2"/>
      </rPr>
      <t>.n</t>
    </r>
    <r>
      <rPr>
        <vertAlign val="subscript"/>
        <sz val="11"/>
        <rFont val="Arial"/>
        <family val="2"/>
      </rPr>
      <t>min</t>
    </r>
    <r>
      <rPr>
        <sz val="11"/>
        <rFont val="Arial"/>
        <family val="2"/>
      </rPr>
      <t>/((i</t>
    </r>
    <r>
      <rPr>
        <vertAlign val="subscript"/>
        <sz val="11"/>
        <rFont val="Arial"/>
        <family val="2"/>
      </rPr>
      <t>h1</t>
    </r>
    <r>
      <rPr>
        <sz val="11"/>
        <rFont val="Arial"/>
        <family val="2"/>
      </rPr>
      <t>.i</t>
    </r>
    <r>
      <rPr>
        <vertAlign val="subscript"/>
        <sz val="11"/>
        <rFont val="Arial"/>
        <family val="2"/>
      </rPr>
      <t>pc</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</si>
  <si>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Như vậy, giá trị tỷ số truyền của cụm có "tỷ số truyền thay đổi" (i</t>
    </r>
    <r>
      <rPr>
        <vertAlign val="subscript"/>
        <sz val="11"/>
        <rFont val="Arial"/>
        <family val="2"/>
      </rPr>
      <t>h1</t>
    </r>
    <r>
      <rPr>
        <sz val="11"/>
        <rFont val="Arial"/>
        <family val="2"/>
      </rPr>
      <t>.i</t>
    </r>
    <r>
      <rPr>
        <vertAlign val="subscript"/>
        <sz val="11"/>
        <rFont val="Arial"/>
        <family val="2"/>
      </rPr>
      <t>pc</t>
    </r>
    <r>
      <rPr>
        <sz val="11"/>
        <rFont val="Arial"/>
        <family val="2"/>
      </rPr>
      <t>), xác định bởi biểu thức:</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</si>
  <si>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 2π.r</t>
    </r>
    <r>
      <rPr>
        <vertAlign val="subscript"/>
        <sz val="11"/>
        <rFont val="Arial"/>
        <family val="2"/>
      </rPr>
      <t>b</t>
    </r>
    <r>
      <rPr>
        <sz val="11"/>
        <rFont val="Arial"/>
        <family val="2"/>
      </rPr>
      <t>.n</t>
    </r>
    <r>
      <rPr>
        <vertAlign val="subscript"/>
        <sz val="11"/>
        <rFont val="Arial"/>
        <family val="2"/>
      </rPr>
      <t>min</t>
    </r>
    <r>
      <rPr>
        <sz val="11"/>
        <rFont val="Arial"/>
        <family val="2"/>
      </rPr>
      <t>/((v</t>
    </r>
    <r>
      <rPr>
        <vertAlign val="subscript"/>
        <sz val="11"/>
        <rFont val="Arial"/>
        <family val="2"/>
      </rPr>
      <t>min</t>
    </r>
    <r>
      <rPr>
        <sz val="11"/>
        <rFont val="Arial"/>
        <family val="2"/>
      </rPr>
      <t>).(i</t>
    </r>
    <r>
      <rPr>
        <vertAlign val="subscript"/>
        <sz val="11"/>
        <rFont val="Arial"/>
        <family val="2"/>
      </rPr>
      <t>o</t>
    </r>
    <r>
      <rPr>
        <sz val="11"/>
        <rFont val="Arial"/>
        <family val="2"/>
      </rPr>
      <t>.i</t>
    </r>
    <r>
      <rPr>
        <vertAlign val="subscript"/>
        <sz val="11"/>
        <rFont val="Arial"/>
        <family val="2"/>
      </rPr>
      <t>cc</t>
    </r>
    <r>
      <rPr>
        <sz val="11"/>
        <rFont val="Arial"/>
        <family val="2"/>
      </rPr>
      <t>))</t>
    </r>
  </si>
  <si>
    <r>
      <t xml:space="preserve"> Gọi [i</t>
    </r>
    <r>
      <rPr>
        <vertAlign val="subscript"/>
        <sz val="11"/>
        <rFont val="Arial"/>
        <family val="2"/>
      </rPr>
      <t>h1</t>
    </r>
    <r>
      <rPr>
        <sz val="11"/>
        <rFont val="Arial"/>
        <family val="2"/>
      </rPr>
      <t>] là khoảng tỷ số truyền ở tay số 1 (đầu tiên) của của hộp số chính thuộc chủng loại xe tương ứng</t>
    </r>
  </si>
  <si>
    <r>
      <t xml:space="preserve"> So sánh giá trị (i</t>
    </r>
    <r>
      <rPr>
        <vertAlign val="subscript"/>
        <sz val="11"/>
        <rFont val="Arial"/>
        <family val="2"/>
      </rPr>
      <t>h1</t>
    </r>
    <r>
      <rPr>
        <sz val="11"/>
        <rFont val="Arial"/>
        <family val="2"/>
      </rPr>
      <t>.i</t>
    </r>
    <r>
      <rPr>
        <vertAlign val="subscript"/>
        <sz val="11"/>
        <rFont val="Arial"/>
        <family val="2"/>
      </rPr>
      <t>pc</t>
    </r>
    <r>
      <rPr>
        <sz val="11"/>
        <rFont val="Arial"/>
        <family val="2"/>
      </rPr>
      <t>) với khoảng [i</t>
    </r>
    <r>
      <rPr>
        <vertAlign val="subscript"/>
        <sz val="11"/>
        <rFont val="Arial"/>
        <family val="2"/>
      </rPr>
      <t>h1</t>
    </r>
    <r>
      <rPr>
        <sz val="11"/>
        <rFont val="Arial"/>
        <family val="2"/>
      </rPr>
      <t>], nếu:</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</si>
  <si>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t>
    </r>
    <r>
      <rPr>
        <sz val="11"/>
        <rFont val="Arial"/>
        <family val="2"/>
      </rPr>
      <t xml:space="preserve"> [i</t>
    </r>
    <r>
      <rPr>
        <vertAlign val="subscript"/>
        <sz val="11"/>
        <rFont val="Arial"/>
        <family val="2"/>
      </rPr>
      <t>h1</t>
    </r>
    <r>
      <rPr>
        <sz val="11"/>
        <rFont val="Arial"/>
        <family val="2"/>
      </rPr>
      <t>], nhóm tổng thành có "tỷ số truyền thay đổi" này chỉ cần hộp số chính là đủ đáp ứng giá trị đã tính</t>
    </r>
  </si>
  <si>
    <r>
      <t xml:space="preserve"> (i</t>
    </r>
    <r>
      <rPr>
        <vertAlign val="subscript"/>
        <sz val="11"/>
        <rFont val="Arial"/>
        <family val="2"/>
      </rPr>
      <t>h1</t>
    </r>
    <r>
      <rPr>
        <sz val="11"/>
        <rFont val="Arial"/>
        <family val="2"/>
      </rPr>
      <t>.i</t>
    </r>
    <r>
      <rPr>
        <vertAlign val="subscript"/>
        <sz val="11"/>
        <rFont val="Arial"/>
        <family val="2"/>
      </rPr>
      <t>pc</t>
    </r>
    <r>
      <rPr>
        <sz val="11"/>
        <rFont val="Arial"/>
        <family val="2"/>
      </rPr>
      <t xml:space="preserve">) </t>
    </r>
    <r>
      <rPr>
        <sz val="11"/>
        <rFont val="Symbol"/>
        <family val="1"/>
        <charset val="2"/>
      </rPr>
      <t>&gt;</t>
    </r>
    <r>
      <rPr>
        <sz val="11"/>
        <rFont val="Arial"/>
        <family val="2"/>
      </rPr>
      <t xml:space="preserve"> [i</t>
    </r>
    <r>
      <rPr>
        <vertAlign val="subscript"/>
        <sz val="11"/>
        <rFont val="Arial"/>
        <family val="2"/>
      </rPr>
      <t>h1</t>
    </r>
    <r>
      <rPr>
        <sz val="11"/>
        <rFont val="Arial"/>
        <family val="2"/>
      </rPr>
      <t>], nhóm tổng thành có "tỷ số truyền thay đổi" này không chỉ có hộp số chính (i</t>
    </r>
    <r>
      <rPr>
        <vertAlign val="subscript"/>
        <sz val="11"/>
        <rFont val="Arial"/>
        <family val="2"/>
      </rPr>
      <t>h1</t>
    </r>
    <r>
      <rPr>
        <sz val="11"/>
        <rFont val="Arial"/>
        <family val="2"/>
      </rPr>
      <t>) mà cần cả hộp số phụ (i</t>
    </r>
    <r>
      <rPr>
        <vertAlign val="subscript"/>
        <sz val="11"/>
        <rFont val="Arial"/>
        <family val="2"/>
      </rPr>
      <t>pc</t>
    </r>
    <r>
      <rPr>
        <sz val="11"/>
        <rFont val="Arial"/>
        <family val="2"/>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</si>
  <si>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</si>
  <si>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</si>
  <si>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</si>
  <si>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</si>
  <si>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</si>
  <si>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</si>
  <si>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</si>
  <si>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</si>
  <si>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</si>
  <si>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family val="2"/>
      </rPr>
      <t xml:space="preserve">Xác định khoảng công bội - </t>
    </r>
    <r>
      <rPr>
        <b/>
        <sz val="11"/>
        <rFont val="Arial"/>
        <family val="2"/>
      </rPr>
      <t>q</t>
    </r>
  </si>
  <si>
    <t xml:space="preserve"> Tỷ số truyền của hộp số được xếp theo cấp số nhân cần xác định công bội “q” như sau:</t>
  </si>
  <si>
    <r>
      <t xml:space="preserve"> q = i</t>
    </r>
    <r>
      <rPr>
        <vertAlign val="subscript"/>
        <sz val="11"/>
        <rFont val="Arial"/>
        <family val="2"/>
      </rPr>
      <t>h1</t>
    </r>
    <r>
      <rPr>
        <sz val="11"/>
        <rFont val="Arial"/>
        <family val="2"/>
      </rPr>
      <t>/i</t>
    </r>
    <r>
      <rPr>
        <vertAlign val="subscript"/>
        <sz val="11"/>
        <rFont val="Arial"/>
        <family val="2"/>
      </rPr>
      <t xml:space="preserve">h2 </t>
    </r>
    <r>
      <rPr>
        <sz val="11"/>
        <rFont val="Arial"/>
        <family val="2"/>
      </rPr>
      <t>= i</t>
    </r>
    <r>
      <rPr>
        <vertAlign val="subscript"/>
        <sz val="11"/>
        <rFont val="Arial"/>
        <family val="2"/>
      </rPr>
      <t>h2</t>
    </r>
    <r>
      <rPr>
        <sz val="11"/>
        <rFont val="Arial"/>
        <family val="2"/>
      </rPr>
      <t>/i</t>
    </r>
    <r>
      <rPr>
        <vertAlign val="subscript"/>
        <sz val="11"/>
        <rFont val="Arial"/>
        <family val="2"/>
      </rPr>
      <t xml:space="preserve">h3 </t>
    </r>
    <r>
      <rPr>
        <sz val="11"/>
        <rFont val="Arial"/>
        <family val="2"/>
      </rPr>
      <t>= … = i</t>
    </r>
    <r>
      <rPr>
        <vertAlign val="subscript"/>
        <sz val="11"/>
        <rFont val="Arial"/>
        <family val="2"/>
      </rPr>
      <t>h(n-1)</t>
    </r>
    <r>
      <rPr>
        <sz val="11"/>
        <rFont val="Arial"/>
        <family val="2"/>
      </rPr>
      <t>/i</t>
    </r>
    <r>
      <rPr>
        <vertAlign val="subscript"/>
        <sz val="11"/>
        <rFont val="Arial"/>
        <family val="2"/>
      </rPr>
      <t>hn</t>
    </r>
  </si>
  <si>
    <r>
      <t xml:space="preserve"> hay, q = i</t>
    </r>
    <r>
      <rPr>
        <vertAlign val="subscript"/>
        <sz val="11"/>
        <rFont val="Arial"/>
        <family val="2"/>
      </rPr>
      <t>h(n-1)</t>
    </r>
    <r>
      <rPr>
        <sz val="11"/>
        <rFont val="Arial"/>
        <family val="2"/>
      </rPr>
      <t>/i</t>
    </r>
    <r>
      <rPr>
        <vertAlign val="subscript"/>
        <sz val="11"/>
        <rFont val="Arial"/>
        <family val="2"/>
      </rPr>
      <t>hn</t>
    </r>
    <r>
      <rPr>
        <sz val="11"/>
        <rFont val="Arial"/>
        <family val="2"/>
      </rPr>
      <t xml:space="preserve"> </t>
    </r>
  </si>
  <si>
    <r>
      <t xml:space="preserve"> Trong đó: i</t>
    </r>
    <r>
      <rPr>
        <vertAlign val="subscript"/>
        <sz val="11"/>
        <rFont val="Arial"/>
        <family val="2"/>
      </rPr>
      <t>h1</t>
    </r>
    <r>
      <rPr>
        <sz val="11"/>
        <rFont val="Arial"/>
        <family val="2"/>
      </rPr>
      <t>, i</t>
    </r>
    <r>
      <rPr>
        <vertAlign val="subscript"/>
        <sz val="11"/>
        <rFont val="Arial"/>
        <family val="2"/>
      </rPr>
      <t>h2</t>
    </r>
    <r>
      <rPr>
        <sz val="11"/>
        <rFont val="Arial"/>
        <family val="2"/>
      </rPr>
      <t>, …, i</t>
    </r>
    <r>
      <rPr>
        <vertAlign val="subscript"/>
        <sz val="11"/>
        <rFont val="Arial"/>
        <family val="2"/>
      </rPr>
      <t>hn</t>
    </r>
    <r>
      <rPr>
        <sz val="11"/>
        <rFont val="Arial"/>
        <family val="2"/>
      </rPr>
      <t xml:space="preserve"> - là tỷ số truyền từ tay số 1 đến tay số n;</t>
    </r>
  </si>
  <si>
    <r>
      <t xml:space="preserve"> Với, i</t>
    </r>
    <r>
      <rPr>
        <vertAlign val="subscript"/>
        <sz val="11"/>
        <rFont val="Arial"/>
        <family val="2"/>
      </rPr>
      <t>hn</t>
    </r>
    <r>
      <rPr>
        <sz val="11"/>
        <rFont val="Arial"/>
        <family val="2"/>
      </rPr>
      <t xml:space="preserve"> - là tỷ số truyền cao nhất</t>
    </r>
  </si>
  <si>
    <r>
      <t xml:space="preserve"> Khi chọn i</t>
    </r>
    <r>
      <rPr>
        <vertAlign val="subscript"/>
        <sz val="11"/>
        <rFont val="Arial"/>
        <family val="2"/>
      </rPr>
      <t xml:space="preserve">hn </t>
    </r>
    <r>
      <rPr>
        <sz val="11"/>
        <rFont val="Arial"/>
        <family val="2"/>
      </rPr>
      <t>là số truyền tăng, tức i</t>
    </r>
    <r>
      <rPr>
        <vertAlign val="subscript"/>
        <sz val="11"/>
        <rFont val="Arial"/>
        <family val="2"/>
      </rPr>
      <t>hn</t>
    </r>
    <r>
      <rPr>
        <sz val="11"/>
        <rFont val="Arial"/>
        <family val="2"/>
      </rPr>
      <t xml:space="preserve"> nhỏ hơn (&lt;) 1, và chọn i</t>
    </r>
    <r>
      <rPr>
        <vertAlign val="subscript"/>
        <sz val="11"/>
        <rFont val="Arial"/>
        <family val="2"/>
      </rPr>
      <t>h(n-1)</t>
    </r>
    <r>
      <rPr>
        <sz val="11"/>
        <rFont val="Arial"/>
        <family val="2"/>
      </rPr>
      <t xml:space="preserve"> = 1.</t>
    </r>
  </si>
  <si>
    <r>
      <t xml:space="preserve"> Thường khoảng [i</t>
    </r>
    <r>
      <rPr>
        <vertAlign val="subscript"/>
        <sz val="11"/>
        <rFont val="Arial"/>
        <family val="2"/>
      </rPr>
      <t>hn</t>
    </r>
    <r>
      <rPr>
        <sz val="11"/>
        <rFont val="Arial"/>
        <family val="2"/>
      </rPr>
      <t>] = (0.65 ÷ 0.85),</t>
    </r>
  </si>
  <si>
    <r>
      <t xml:space="preserve"> Do đó, (i</t>
    </r>
    <r>
      <rPr>
        <vertAlign val="subscript"/>
        <sz val="11"/>
        <rFont val="Arial"/>
        <family val="2"/>
      </rPr>
      <t>h(n-1)</t>
    </r>
    <r>
      <rPr>
        <sz val="11"/>
        <rFont val="Arial"/>
        <family val="2"/>
      </rPr>
      <t>/i</t>
    </r>
    <r>
      <rPr>
        <vertAlign val="subscript"/>
        <sz val="11"/>
        <rFont val="Arial"/>
        <family val="2"/>
      </rPr>
      <t>hn</t>
    </r>
    <r>
      <rPr>
        <sz val="11"/>
        <rFont val="Arial"/>
        <family val="2"/>
      </rPr>
      <t>) = 1/(0.65 ÷ 0.85) = (1.18 ÷ 1.54)</t>
    </r>
  </si>
  <si>
    <r>
      <t xml:space="preserve"> mà, q = (i</t>
    </r>
    <r>
      <rPr>
        <vertAlign val="subscript"/>
        <sz val="11"/>
        <rFont val="Arial"/>
        <family val="2"/>
      </rPr>
      <t>h(n-1)</t>
    </r>
    <r>
      <rPr>
        <sz val="11"/>
        <rFont val="Arial"/>
        <family val="2"/>
      </rPr>
      <t>/i</t>
    </r>
    <r>
      <rPr>
        <vertAlign val="subscript"/>
        <sz val="11"/>
        <rFont val="Arial"/>
        <family val="2"/>
      </rPr>
      <t>hn</t>
    </r>
    <r>
      <rPr>
        <sz val="11"/>
        <rFont val="Arial"/>
        <family val="2"/>
      </rPr>
      <t>)</t>
    </r>
  </si>
  <si>
    <t>a.2.</t>
  </si>
  <si>
    <t xml:space="preserve"> Số lượng tay số truyền trong hộp số chính – n</t>
  </si>
  <si>
    <t>Từ biểu thức công bội trên:</t>
  </si>
  <si>
    <r>
      <t xml:space="preserve"> q = i</t>
    </r>
    <r>
      <rPr>
        <vertAlign val="subscript"/>
        <sz val="11"/>
        <rFont val="Arial"/>
        <family val="2"/>
      </rPr>
      <t>h1</t>
    </r>
    <r>
      <rPr>
        <sz val="11"/>
        <rFont val="Arial"/>
        <family val="2"/>
      </rPr>
      <t>/i</t>
    </r>
    <r>
      <rPr>
        <vertAlign val="subscript"/>
        <sz val="11"/>
        <rFont val="Arial"/>
        <family val="2"/>
      </rPr>
      <t>h2</t>
    </r>
  </si>
  <si>
    <r>
      <t xml:space="preserve"> q = i</t>
    </r>
    <r>
      <rPr>
        <vertAlign val="subscript"/>
        <sz val="11"/>
        <rFont val="Arial"/>
        <family val="2"/>
      </rPr>
      <t>h2</t>
    </r>
    <r>
      <rPr>
        <sz val="11"/>
        <rFont val="Arial"/>
        <family val="2"/>
      </rPr>
      <t>/i</t>
    </r>
    <r>
      <rPr>
        <vertAlign val="subscript"/>
        <sz val="11"/>
        <rFont val="Arial"/>
        <family val="2"/>
      </rPr>
      <t>h3</t>
    </r>
  </si>
  <si>
    <t>Suy ra:</t>
  </si>
  <si>
    <r>
      <t xml:space="preserve"> q</t>
    </r>
    <r>
      <rPr>
        <vertAlign val="superscript"/>
        <sz val="11"/>
        <rFont val="Arial"/>
        <family val="2"/>
      </rPr>
      <t>2</t>
    </r>
    <r>
      <rPr>
        <sz val="11"/>
        <rFont val="Arial"/>
        <family val="2"/>
      </rPr>
      <t xml:space="preserve"> = i</t>
    </r>
    <r>
      <rPr>
        <vertAlign val="subscript"/>
        <sz val="11"/>
        <rFont val="Arial"/>
        <family val="2"/>
      </rPr>
      <t>h1</t>
    </r>
    <r>
      <rPr>
        <sz val="11"/>
        <rFont val="Arial"/>
        <family val="2"/>
      </rPr>
      <t>/i</t>
    </r>
    <r>
      <rPr>
        <vertAlign val="subscript"/>
        <sz val="11"/>
        <rFont val="Arial"/>
        <family val="2"/>
      </rPr>
      <t>h3</t>
    </r>
  </si>
  <si>
    <t xml:space="preserve"> …</t>
  </si>
  <si>
    <t xml:space="preserve"> Do đó: </t>
  </si>
  <si>
    <r>
      <t xml:space="preserve"> q</t>
    </r>
    <r>
      <rPr>
        <vertAlign val="superscript"/>
        <sz val="11"/>
        <rFont val="Arial"/>
        <family val="2"/>
      </rPr>
      <t>(n-1)</t>
    </r>
    <r>
      <rPr>
        <sz val="11"/>
        <rFont val="Arial"/>
        <family val="2"/>
      </rPr>
      <t xml:space="preserve"> = i</t>
    </r>
    <r>
      <rPr>
        <vertAlign val="subscript"/>
        <sz val="11"/>
        <rFont val="Arial"/>
        <family val="2"/>
      </rPr>
      <t>h1</t>
    </r>
    <r>
      <rPr>
        <sz val="11"/>
        <rFont val="Arial"/>
        <family val="2"/>
      </rPr>
      <t>/i</t>
    </r>
    <r>
      <rPr>
        <vertAlign val="subscript"/>
        <sz val="11"/>
        <rFont val="Arial"/>
        <family val="2"/>
      </rPr>
      <t>hn</t>
    </r>
  </si>
  <si>
    <t xml:space="preserve"> Muốn xác định giá trị n, cần lấy "logarit" với cơ số 10 cho cả 2 vế biểu thức:</t>
  </si>
  <si>
    <r>
      <t xml:space="preserve">         log</t>
    </r>
    <r>
      <rPr>
        <vertAlign val="subscript"/>
        <sz val="11"/>
        <rFont val="Arial"/>
        <family val="2"/>
      </rPr>
      <t>10</t>
    </r>
    <r>
      <rPr>
        <sz val="11"/>
        <rFont val="Arial"/>
        <family val="2"/>
      </rPr>
      <t>q</t>
    </r>
    <r>
      <rPr>
        <vertAlign val="superscript"/>
        <sz val="11"/>
        <rFont val="Arial"/>
        <family val="2"/>
      </rPr>
      <t>(n-1)</t>
    </r>
    <r>
      <rPr>
        <sz val="11"/>
        <rFont val="Arial"/>
        <family val="2"/>
      </rPr>
      <t xml:space="preserve">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</si>
  <si>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suy ra, (n-1) = (log</t>
    </r>
    <r>
      <rPr>
        <vertAlign val="subscript"/>
        <sz val="11"/>
        <rFont val="Arial"/>
        <family val="2"/>
      </rPr>
      <t>10</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))/log</t>
    </r>
    <r>
      <rPr>
        <vertAlign val="subscript"/>
        <sz val="11"/>
        <rFont val="Arial"/>
        <family val="2"/>
      </rPr>
      <t>10</t>
    </r>
    <r>
      <rPr>
        <sz val="11"/>
        <rFont val="Arial"/>
        <family val="2"/>
      </rPr>
      <t>q = 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t>
    </r>
  </si>
  <si>
    <r>
      <t xml:space="preserve"> hay,     n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</si>
  <si>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</si>
  <si>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</si>
  <si>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 …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t>
    </r>
  </si>
  <si>
    <r>
      <t xml:space="preserve"> hay,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</si>
  <si>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</si>
  <si>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</si>
  <si>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family val="2"/>
      </rPr>
      <t>hn</t>
    </r>
    <r>
      <rPr>
        <sz val="11"/>
        <rFont val="Arial"/>
        <family val="2"/>
      </rPr>
      <t xml:space="preserve"> và i</t>
    </r>
    <r>
      <rPr>
        <vertAlign val="subscript"/>
        <sz val="11"/>
        <rFont val="Arial"/>
        <family val="2"/>
      </rPr>
      <t>h(n-1)</t>
    </r>
    <r>
      <rPr>
        <sz val="11"/>
        <rFont val="Arial"/>
        <family val="2"/>
      </rPr>
      <t xml:space="preserve"> vào biểu thức (...), thì khoảng giá trị "hằng số điều hòa a" được xác định:</t>
    </r>
  </si>
  <si>
    <r>
      <t xml:space="preserve"> [a] = (i</t>
    </r>
    <r>
      <rPr>
        <vertAlign val="subscript"/>
        <sz val="11"/>
        <rFont val="Arial"/>
        <family val="2"/>
      </rPr>
      <t xml:space="preserve">h(n-1) </t>
    </r>
    <r>
      <rPr>
        <sz val="11"/>
        <rFont val="Arial"/>
        <family val="2"/>
      </rPr>
      <t>- i</t>
    </r>
    <r>
      <rPr>
        <vertAlign val="subscript"/>
        <sz val="11"/>
        <rFont val="Arial"/>
        <family val="2"/>
      </rPr>
      <t>hn</t>
    </r>
    <r>
      <rPr>
        <sz val="11"/>
        <rFont val="Arial"/>
        <family val="2"/>
      </rPr>
      <t>)/(i</t>
    </r>
    <r>
      <rPr>
        <vertAlign val="subscript"/>
        <sz val="11"/>
        <rFont val="Arial"/>
        <family val="2"/>
      </rPr>
      <t>hn</t>
    </r>
    <r>
      <rPr>
        <sz val="11"/>
        <rFont val="Arial"/>
        <family val="2"/>
      </rPr>
      <t>.i</t>
    </r>
    <r>
      <rPr>
        <vertAlign val="subscript"/>
        <sz val="11"/>
        <rFont val="Arial"/>
        <family val="2"/>
      </rPr>
      <t>h(n-1)</t>
    </r>
    <r>
      <rPr>
        <sz val="11"/>
        <rFont val="Arial"/>
        <family val="2"/>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</si>
  <si>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</si>
  <si>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</si>
  <si>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</si>
  <si>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</si>
  <si>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family val="2"/>
      </rPr>
      <t xml:space="preserve">h2 </t>
    </r>
    <r>
      <rPr>
        <sz val="11"/>
        <rFont val="Arial"/>
        <family val="2"/>
      </rPr>
      <t>- 1/i</t>
    </r>
    <r>
      <rPr>
        <vertAlign val="subscript"/>
        <sz val="11"/>
        <rFont val="Arial"/>
        <family val="2"/>
      </rPr>
      <t>h1</t>
    </r>
    <r>
      <rPr>
        <sz val="11"/>
        <rFont val="Arial"/>
        <family val="2"/>
      </rPr>
      <t>), do đó: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t>
    </r>
  </si>
  <si>
    <r>
      <t xml:space="preserve"> a = (1/i</t>
    </r>
    <r>
      <rPr>
        <vertAlign val="subscript"/>
        <sz val="11"/>
        <rFont val="Arial"/>
        <family val="2"/>
      </rPr>
      <t xml:space="preserve">h3 </t>
    </r>
    <r>
      <rPr>
        <sz val="11"/>
        <rFont val="Arial"/>
        <family val="2"/>
      </rPr>
      <t>- 1/i</t>
    </r>
    <r>
      <rPr>
        <vertAlign val="subscript"/>
        <sz val="11"/>
        <rFont val="Arial"/>
        <family val="2"/>
      </rPr>
      <t>h2</t>
    </r>
    <r>
      <rPr>
        <sz val="11"/>
        <rFont val="Arial"/>
        <family val="2"/>
      </rPr>
      <t>), do đó: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</si>
  <si>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t xml:space="preserve"> ……………………………………………</t>
  </si>
  <si>
    <r>
      <t xml:space="preserve"> a = (1/i</t>
    </r>
    <r>
      <rPr>
        <vertAlign val="subscript"/>
        <sz val="11"/>
        <rFont val="Arial"/>
        <family val="2"/>
      </rPr>
      <t xml:space="preserve">hn </t>
    </r>
    <r>
      <rPr>
        <sz val="11"/>
        <rFont val="Arial"/>
        <family val="2"/>
      </rPr>
      <t>- 1/i</t>
    </r>
    <r>
      <rPr>
        <vertAlign val="subscript"/>
        <sz val="11"/>
        <rFont val="Arial"/>
        <family val="2"/>
      </rPr>
      <t>h(n-1)</t>
    </r>
    <r>
      <rPr>
        <sz val="11"/>
        <rFont val="Arial"/>
        <family val="2"/>
      </rPr>
      <t>), do đó: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</si>
  <si>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t xml:space="preserve"> Từ biểu thức: </t>
  </si>
  <si>
    <r>
      <t xml:space="preserve"> i</t>
    </r>
    <r>
      <rPr>
        <vertAlign val="subscript"/>
        <sz val="11"/>
        <rFont val="Arial"/>
        <family val="2"/>
      </rPr>
      <t xml:space="preserve">hn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</si>
  <si>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nếu, số truyền cuối cùng (i</t>
    </r>
    <r>
      <rPr>
        <vertAlign val="subscript"/>
        <sz val="11"/>
        <rFont val="Arial"/>
        <family val="2"/>
      </rPr>
      <t>hn</t>
    </r>
    <r>
      <rPr>
        <sz val="11"/>
        <rFont val="Arial"/>
        <family val="2"/>
      </rPr>
      <t>) chọn là số truyền thẳng, tức i</t>
    </r>
    <r>
      <rPr>
        <vertAlign val="subscript"/>
        <sz val="11"/>
        <rFont val="Arial"/>
        <family val="2"/>
      </rPr>
      <t>hn</t>
    </r>
    <r>
      <rPr>
        <sz val="11"/>
        <rFont val="Arial"/>
        <family val="2"/>
      </rPr>
      <t xml:space="preserve"> =1, thì:</t>
    </r>
  </si>
  <si>
    <r>
      <t xml:space="preserve"> 1</t>
    </r>
    <r>
      <rPr>
        <vertAlign val="subscript"/>
        <sz val="11"/>
        <rFont val="Arial"/>
        <family val="2"/>
      </rPr>
      <t xml:space="preserve"> </t>
    </r>
    <r>
      <rPr>
        <sz val="11"/>
        <rFont val="Arial"/>
        <family val="2"/>
      </rPr>
      <t>= i</t>
    </r>
    <r>
      <rPr>
        <vertAlign val="subscript"/>
        <sz val="11"/>
        <rFont val="Arial"/>
        <family val="2"/>
      </rPr>
      <t>h1</t>
    </r>
    <r>
      <rPr>
        <sz val="11"/>
        <rFont val="Arial"/>
        <family val="2"/>
      </rPr>
      <t>/(1+(n-1).a.i</t>
    </r>
    <r>
      <rPr>
        <vertAlign val="subscript"/>
        <sz val="11"/>
        <rFont val="Arial"/>
        <family val="2"/>
      </rPr>
      <t>h1</t>
    </r>
    <r>
      <rPr>
        <sz val="11"/>
        <rFont val="Arial"/>
        <family val="2"/>
      </rPr>
      <t>)</t>
    </r>
  </si>
  <si>
    <r>
      <t xml:space="preserve"> hay, 1+(n-1).a.i</t>
    </r>
    <r>
      <rPr>
        <vertAlign val="subscript"/>
        <sz val="11"/>
        <rFont val="Arial"/>
        <family val="2"/>
      </rPr>
      <t>h1</t>
    </r>
    <r>
      <rPr>
        <sz val="11"/>
        <rFont val="Arial"/>
        <family val="2"/>
      </rPr>
      <t xml:space="preserve"> = i</t>
    </r>
    <r>
      <rPr>
        <vertAlign val="subscript"/>
        <sz val="11"/>
        <rFont val="Arial"/>
        <family val="2"/>
      </rPr>
      <t>h1</t>
    </r>
  </si>
  <si>
    <r>
      <t xml:space="preserve"> Như vậy, với i</t>
    </r>
    <r>
      <rPr>
        <vertAlign val="subscript"/>
        <sz val="11"/>
        <rFont val="Arial"/>
        <family val="2"/>
      </rPr>
      <t>hn</t>
    </r>
    <r>
      <rPr>
        <sz val="11"/>
        <rFont val="Arial"/>
        <family val="2"/>
      </rPr>
      <t xml:space="preserve"> = 1, xác định được n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</si>
  <si>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t>
    </r>
  </si>
  <si>
    <t>2.13.</t>
  </si>
  <si>
    <t xml:space="preserve"> Giá trị tỷ số truyền số lùi</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</si>
  <si>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</si>
  <si>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</si>
  <si>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</si>
  <si>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</si>
  <si>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</si>
  <si>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</si>
  <si>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</si>
  <si>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</si>
  <si>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</si>
  <si>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</si>
  <si>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</si>
  <si>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</si>
  <si>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</si>
  <si>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</si>
  <si>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</si>
  <si>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</si>
  <si>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</si>
  <si>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</si>
  <si>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</si>
  <si>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</si>
  <si>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</si>
  <si>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</si>
  <si>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</si>
  <si>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</si>
  <si>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</si>
  <si>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</si>
  <si>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</si>
  <si>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</si>
  <si>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</si>
  <si>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</si>
  <si>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</si>
  <si>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</si>
  <si>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</si>
  <si>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</si>
  <si>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</si>
  <si>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</si>
  <si>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</si>
  <si>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</si>
  <si>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</si>
  <si>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</si>
  <si>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</si>
  <si>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</si>
  <si>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</si>
  <si>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</si>
  <si>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</si>
  <si>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</si>
  <si>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</si>
  <si>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family val="2"/>
      </rPr>
      <t xml:space="preserve">hh </t>
    </r>
    <r>
      <rPr>
        <sz val="11"/>
        <rFont val="Arial"/>
        <family val="2"/>
      </rPr>
      <t xml:space="preserve">= </t>
    </r>
  </si>
  <si>
    <r>
      <t xml:space="preserve">  Do đó, G</t>
    </r>
    <r>
      <rPr>
        <vertAlign val="subscript"/>
        <sz val="11"/>
        <rFont val="Arial"/>
        <family val="2"/>
      </rPr>
      <t xml:space="preserve">e </t>
    </r>
    <r>
      <rPr>
        <sz val="11"/>
        <rFont val="Arial"/>
        <family val="2"/>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</si>
  <si>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</si>
  <si>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</si>
  <si>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</si>
  <si>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family val="2"/>
      </rPr>
      <t>1</t>
    </r>
    <r>
      <rPr>
        <sz val="11"/>
        <rFont val="Arial"/>
        <family val="2"/>
      </rPr>
      <t>, [kg]</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</si>
  <si>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t>
    </r>
  </si>
  <si>
    <t>(0 ÷ 0)% G</t>
  </si>
  <si>
    <r>
      <t xml:space="preserve"> Chọn, G</t>
    </r>
    <r>
      <rPr>
        <vertAlign val="subscript"/>
        <sz val="11"/>
        <rFont val="Arial"/>
        <family val="2"/>
      </rPr>
      <t xml:space="preserve">1 </t>
    </r>
    <r>
      <rPr>
        <sz val="11"/>
        <rFont val="Arial"/>
        <family val="2"/>
      </rPr>
      <t xml:space="preserve">= </t>
    </r>
  </si>
  <si>
    <r>
      <t xml:space="preserve"> G</t>
    </r>
    <r>
      <rPr>
        <vertAlign val="subscript"/>
        <sz val="11"/>
        <rFont val="Arial"/>
        <family val="2"/>
      </rPr>
      <t>1</t>
    </r>
    <r>
      <rPr>
        <sz val="11"/>
        <rFont val="Arial"/>
        <family val="2"/>
      </rPr>
      <t>%</t>
    </r>
    <r>
      <rPr>
        <vertAlign val="subscript"/>
        <sz val="11"/>
        <rFont val="Arial"/>
        <family val="2"/>
      </rPr>
      <t xml:space="preserve"> </t>
    </r>
    <r>
      <rPr>
        <sz val="11"/>
        <rFont val="Arial"/>
        <family val="2"/>
      </rPr>
      <t xml:space="preserve">= </t>
    </r>
  </si>
  <si>
    <t>Є (0 ÷ 0)% G</t>
  </si>
  <si>
    <r>
      <t xml:space="preserve"> + Sau G</t>
    </r>
    <r>
      <rPr>
        <vertAlign val="subscript"/>
        <sz val="11"/>
        <rFont val="Arial"/>
        <family val="2"/>
      </rPr>
      <t>2</t>
    </r>
    <r>
      <rPr>
        <sz val="11"/>
        <rFont val="Arial"/>
        <family val="2"/>
      </rPr>
      <t>, [kg]</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</si>
  <si>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t>
    </r>
  </si>
  <si>
    <r>
      <t xml:space="preserve"> Chọn, G</t>
    </r>
    <r>
      <rPr>
        <vertAlign val="subscript"/>
        <sz val="11"/>
        <rFont val="Arial"/>
        <family val="2"/>
      </rPr>
      <t xml:space="preserve">2 </t>
    </r>
    <r>
      <rPr>
        <sz val="11"/>
        <rFont val="Arial"/>
        <family val="2"/>
      </rPr>
      <t xml:space="preserve">= </t>
    </r>
  </si>
  <si>
    <r>
      <t xml:space="preserve"> G</t>
    </r>
    <r>
      <rPr>
        <vertAlign val="subscript"/>
        <sz val="11"/>
        <rFont val="Arial"/>
        <family val="2"/>
      </rPr>
      <t>2</t>
    </r>
    <r>
      <rPr>
        <sz val="11"/>
        <rFont val="Arial"/>
        <family val="2"/>
      </rPr>
      <t>%</t>
    </r>
    <r>
      <rPr>
        <vertAlign val="subscript"/>
        <sz val="11"/>
        <rFont val="Arial"/>
        <family val="2"/>
      </rPr>
      <t xml:space="preserve"> </t>
    </r>
    <r>
      <rPr>
        <sz val="11"/>
        <rFont val="Arial"/>
        <family val="2"/>
      </rPr>
      <t xml:space="preserve">= </t>
    </r>
  </si>
  <si>
    <r>
      <t xml:space="preserve"> Є (0 ÷ 0)% G</t>
    </r>
    <r>
      <rPr>
        <vertAlign val="subscript"/>
        <sz val="11"/>
        <rFont val="Arial"/>
        <family val="2"/>
      </rPr>
      <t xml:space="preserve"> </t>
    </r>
  </si>
  <si>
    <t>1.2.3</t>
  </si>
  <si>
    <r>
      <t xml:space="preserve"> </t>
    </r>
    <r>
      <rPr>
        <b/>
        <sz val="11"/>
        <rFont val="Arial"/>
        <family val="2"/>
      </rPr>
      <t>Loại mặt đường</t>
    </r>
    <r>
      <rPr>
        <sz val="11"/>
        <rFont val="Arial"/>
        <family val="2"/>
      </rPr>
      <t xml:space="preserve"> ứng với xe di chuyển có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t>
    </r>
    <r>
      <rPr>
        <b/>
        <sz val="11"/>
        <rFont val="Arial"/>
        <family val="2"/>
      </rPr>
      <t xml:space="preserve"> chọn</t>
    </r>
    <r>
      <rPr>
        <sz val="11"/>
        <rFont val="Arial"/>
        <family val="2"/>
      </rPr>
      <t>:</t>
    </r>
  </si>
  <si>
    <r>
      <t xml:space="preserve"> Vận tốc nhỏ nhất v</t>
    </r>
    <r>
      <rPr>
        <b/>
        <vertAlign val="subscript"/>
        <sz val="11"/>
        <rFont val="Arial"/>
        <family val="2"/>
      </rPr>
      <t>min</t>
    </r>
    <r>
      <rPr>
        <b/>
        <sz val="11"/>
        <rFont val="Arial"/>
        <family val="2"/>
      </rPr>
      <t>, [km/h]</t>
    </r>
  </si>
  <si>
    <t xml:space="preserve"> - Loại mặt đường xe di chuyển (bảng1)</t>
  </si>
  <si>
    <t xml:space="preserve"> - Chủng loại (bảng 3):</t>
  </si>
  <si>
    <r>
      <t xml:space="preserve"> Nên, vận tốc nhỏ nhất, thường thuộc khoảng [</t>
    </r>
    <r>
      <rPr>
        <b/>
        <sz val="11"/>
        <rFont val="Arial"/>
        <family val="2"/>
      </rPr>
      <t>v</t>
    </r>
    <r>
      <rPr>
        <b/>
        <vertAlign val="subscript"/>
        <sz val="11"/>
        <rFont val="Arial"/>
        <family val="2"/>
      </rPr>
      <t>min</t>
    </r>
    <r>
      <rPr>
        <sz val="11"/>
        <rFont val="Arial"/>
        <family val="2"/>
      </rPr>
      <t>], km/h =</t>
    </r>
  </si>
  <si>
    <r>
      <t xml:space="preserve"> Chọn: v</t>
    </r>
    <r>
      <rPr>
        <b/>
        <vertAlign val="subscript"/>
        <sz val="11"/>
        <rFont val="Arial"/>
        <family val="2"/>
      </rPr>
      <t>min</t>
    </r>
    <r>
      <rPr>
        <b/>
        <sz val="11"/>
        <rFont val="Arial"/>
        <family val="2"/>
      </rPr>
      <t xml:space="preserve"> =  </t>
    </r>
  </si>
  <si>
    <t xml:space="preserve"> Є (0 ÷ 0) km/h</t>
  </si>
  <si>
    <r>
      <t xml:space="preserve"> Vận tốc lớn nhất v</t>
    </r>
    <r>
      <rPr>
        <b/>
        <vertAlign val="subscript"/>
        <sz val="11"/>
        <rFont val="Arial"/>
        <family val="2"/>
      </rPr>
      <t>max</t>
    </r>
    <r>
      <rPr>
        <b/>
        <sz val="11"/>
        <rFont val="Arial"/>
        <family val="2"/>
      </rPr>
      <t>, [km/h]</t>
    </r>
  </si>
  <si>
    <r>
      <t xml:space="preserve"> Vận tốc lớn nhất phụ thuộc vào thông số ban đầu, </t>
    </r>
    <r>
      <rPr>
        <b/>
        <sz val="11"/>
        <rFont val="Arial"/>
        <family val="2"/>
      </rPr>
      <t>v</t>
    </r>
    <r>
      <rPr>
        <b/>
        <vertAlign val="subscript"/>
        <sz val="11"/>
        <rFont val="Arial"/>
        <family val="2"/>
      </rPr>
      <t xml:space="preserve">max </t>
    </r>
    <r>
      <rPr>
        <sz val="11"/>
        <rFont val="Arial"/>
        <family val="2"/>
      </rPr>
      <t>=</t>
    </r>
  </si>
  <si>
    <t>d.</t>
  </si>
  <si>
    <t xml:space="preserve"> Các thông số mặt đường tương ứng</t>
  </si>
  <si>
    <r>
      <t xml:space="preserve"> Xe di chuyển đạt giá trị </t>
    </r>
    <r>
      <rPr>
        <b/>
        <sz val="11"/>
        <rFont val="Arial"/>
        <family val="2"/>
      </rPr>
      <t>v</t>
    </r>
    <r>
      <rPr>
        <b/>
        <vertAlign val="subscript"/>
        <sz val="11"/>
        <rFont val="Arial"/>
        <family val="2"/>
      </rPr>
      <t>min</t>
    </r>
    <r>
      <rPr>
        <sz val="11"/>
        <rFont val="Arial"/>
        <family val="2"/>
      </rPr>
      <t xml:space="preserve"> và </t>
    </r>
    <r>
      <rPr>
        <b/>
        <sz val="11"/>
        <rFont val="Arial"/>
        <family val="2"/>
      </rPr>
      <t>v</t>
    </r>
    <r>
      <rPr>
        <b/>
        <vertAlign val="subscript"/>
        <sz val="11"/>
        <rFont val="Arial"/>
        <family val="2"/>
      </rPr>
      <t>max</t>
    </r>
    <r>
      <rPr>
        <sz val="11"/>
        <rFont val="Arial"/>
        <family val="2"/>
      </rPr>
      <t>, với mặt đường, có:</t>
    </r>
  </si>
  <si>
    <r>
      <t xml:space="preserve"> </t>
    </r>
    <r>
      <rPr>
        <b/>
        <sz val="11"/>
        <rFont val="Arial"/>
        <family val="2"/>
      </rPr>
      <t>+ Độ dốc mặt đường (i),</t>
    </r>
    <r>
      <rPr>
        <sz val="11"/>
        <rFont val="Arial"/>
        <family val="2"/>
      </rPr>
      <t xml:space="preserve"> thường chọn thuộc khoảng [i] =</t>
    </r>
  </si>
  <si>
    <r>
      <t xml:space="preserve"> Chọn: i</t>
    </r>
    <r>
      <rPr>
        <b/>
        <sz val="11"/>
        <rFont val="Arial"/>
        <family val="2"/>
      </rPr>
      <t xml:space="preserve"> =</t>
    </r>
  </si>
  <si>
    <t xml:space="preserve"> Và dựa theo bảng 1, với mặt đường:</t>
  </si>
  <si>
    <t xml:space="preserve"> Có:</t>
  </si>
  <si>
    <r>
      <t xml:space="preserve"> + </t>
    </r>
    <r>
      <rPr>
        <b/>
        <sz val="11"/>
        <rFont val="Arial"/>
        <family val="2"/>
      </rPr>
      <t xml:space="preserve">Hệ số cản lăn ứng với vận tốc </t>
    </r>
    <r>
      <rPr>
        <b/>
        <sz val="11"/>
        <rFont val="Symbol"/>
        <family val="1"/>
        <charset val="2"/>
      </rPr>
      <t>£</t>
    </r>
    <r>
      <rPr>
        <b/>
        <sz val="11"/>
        <rFont val="Arial"/>
        <family val="2"/>
      </rPr>
      <t xml:space="preserve"> 80 km/h</t>
    </r>
    <r>
      <rPr>
        <sz val="11"/>
        <rFont val="Arial"/>
        <family val="2"/>
      </rPr>
      <t>, thường thuộc khoảng: [f</t>
    </r>
    <r>
      <rPr>
        <vertAlign val="subscript"/>
        <sz val="11"/>
        <rFont val="Arial"/>
        <family val="2"/>
      </rPr>
      <t>v</t>
    </r>
    <r>
      <rPr>
        <vertAlign val="subscript"/>
        <sz val="11"/>
        <rFont val="Symbol"/>
        <family val="1"/>
        <charset val="2"/>
      </rPr>
      <t>£</t>
    </r>
    <r>
      <rPr>
        <vertAlign val="subscript"/>
        <sz val="11"/>
        <rFont val="Arial"/>
        <family val="2"/>
      </rPr>
      <t>80km/h</t>
    </r>
    <r>
      <rPr>
        <sz val="11"/>
        <rFont val="Arial"/>
        <family val="2"/>
      </rPr>
      <t>] =</t>
    </r>
  </si>
  <si>
    <r>
      <t xml:space="preserve"> chọn:</t>
    </r>
    <r>
      <rPr>
        <sz val="11"/>
        <rFont val="Arial"/>
        <family val="2"/>
      </rPr>
      <t xml:space="preserve"> </t>
    </r>
    <r>
      <rPr>
        <b/>
        <sz val="11"/>
        <rFont val="Arial"/>
        <family val="2"/>
      </rPr>
      <t>f</t>
    </r>
    <r>
      <rPr>
        <b/>
        <vertAlign val="subscript"/>
        <sz val="11"/>
        <rFont val="Arial"/>
        <family val="2"/>
      </rPr>
      <t>v</t>
    </r>
    <r>
      <rPr>
        <b/>
        <vertAlign val="subscript"/>
        <sz val="11"/>
        <rFont val="Symbol"/>
        <family val="1"/>
        <charset val="2"/>
      </rPr>
      <t>£</t>
    </r>
    <r>
      <rPr>
        <b/>
        <vertAlign val="subscript"/>
        <sz val="11"/>
        <rFont val="Arial"/>
        <family val="2"/>
      </rPr>
      <t>80km/h</t>
    </r>
    <r>
      <rPr>
        <sz val="11"/>
        <rFont val="Arial"/>
        <family val="2"/>
      </rPr>
      <t xml:space="preserve"> =</t>
    </r>
  </si>
  <si>
    <t xml:space="preserve"> Giá trị hệ số cản lăn sẽ biến đổi khi tốc độ xe lớn hơn (&gt;) 80 km/h và được tính theo biểu thức:</t>
  </si>
  <si>
    <r>
      <t xml:space="preserve"> fv</t>
    </r>
    <r>
      <rPr>
        <vertAlign val="subscript"/>
        <sz val="11"/>
        <rFont val="Arial"/>
        <family val="2"/>
      </rPr>
      <t>max</t>
    </r>
    <r>
      <rPr>
        <sz val="11"/>
        <rFont val="Arial"/>
        <family val="2"/>
      </rPr>
      <t xml:space="preserve"> = (f</t>
    </r>
    <r>
      <rPr>
        <vertAlign val="subscript"/>
        <sz val="11"/>
        <rFont val="Arial"/>
        <family val="2"/>
      </rPr>
      <t>v£80 km/h</t>
    </r>
    <r>
      <rPr>
        <sz val="11"/>
        <rFont val="Arial"/>
        <family val="2"/>
      </rPr>
      <t>).(1+v</t>
    </r>
    <r>
      <rPr>
        <vertAlign val="superscript"/>
        <sz val="11"/>
        <rFont val="Arial"/>
        <family val="2"/>
      </rPr>
      <t>2</t>
    </r>
    <r>
      <rPr>
        <vertAlign val="subscript"/>
        <sz val="11"/>
        <rFont val="Arial"/>
        <family val="2"/>
      </rPr>
      <t>max</t>
    </r>
    <r>
      <rPr>
        <sz val="11"/>
        <rFont val="Arial"/>
        <family val="2"/>
      </rPr>
      <t>)/1500</t>
    </r>
  </si>
  <si>
    <r>
      <t xml:space="preserve"> Tính, f</t>
    </r>
    <r>
      <rPr>
        <b/>
        <vertAlign val="subscript"/>
        <sz val="11"/>
        <rFont val="Arial"/>
        <family val="2"/>
      </rPr>
      <t>(v=120 km/h)</t>
    </r>
    <r>
      <rPr>
        <b/>
        <sz val="11"/>
        <rFont val="Arial"/>
        <family val="2"/>
      </rPr>
      <t xml:space="preserve"> =</t>
    </r>
  </si>
  <si>
    <r>
      <t xml:space="preserve"> + Hệ số bám (φ),</t>
    </r>
    <r>
      <rPr>
        <sz val="11"/>
        <rFont val="Arial"/>
        <family val="2"/>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</si>
  <si>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</si>
  <si>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</si>
  <si>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</si>
  <si>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</si>
  <si>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family val="2"/>
      </rPr>
      <t>o</t>
    </r>
    <r>
      <rPr>
        <sz val="11"/>
        <rFont val="Arial"/>
        <family val="2"/>
      </rPr>
      <t>, [mm]</t>
    </r>
  </si>
  <si>
    <r>
      <t xml:space="preserve"> + Chiều rộng bao, W</t>
    </r>
    <r>
      <rPr>
        <vertAlign val="subscript"/>
        <sz val="11"/>
        <rFont val="Arial"/>
        <family val="2"/>
      </rPr>
      <t>o</t>
    </r>
    <r>
      <rPr>
        <sz val="11"/>
        <rFont val="Arial"/>
        <family val="2"/>
      </rPr>
      <t>, [mm]</t>
    </r>
  </si>
  <si>
    <r>
      <t xml:space="preserve"> + Chiều cao bao, H</t>
    </r>
    <r>
      <rPr>
        <vertAlign val="subscript"/>
        <sz val="11"/>
        <rFont val="Arial"/>
        <family val="2"/>
      </rPr>
      <t>o</t>
    </r>
    <r>
      <rPr>
        <sz val="11"/>
        <rFont val="Arial"/>
        <family val="2"/>
      </rPr>
      <t>, [mm]</t>
    </r>
  </si>
  <si>
    <t xml:space="preserve"> Tùy thuộc vào từng chủng loại:</t>
  </si>
  <si>
    <t xml:space="preserve"> Cho nên:</t>
  </si>
  <si>
    <r>
      <t xml:space="preserve"> Chiều rộng bao, thường thuộc khoảng [W</t>
    </r>
    <r>
      <rPr>
        <vertAlign val="subscript"/>
        <sz val="11"/>
        <rFont val="Arial"/>
        <family val="2"/>
      </rPr>
      <t>o</t>
    </r>
    <r>
      <rPr>
        <sz val="11"/>
        <rFont val="Arial"/>
        <family val="2"/>
      </rPr>
      <t xml:space="preserve">] = </t>
    </r>
  </si>
  <si>
    <r>
      <t xml:space="preserve"> Chọn: W</t>
    </r>
    <r>
      <rPr>
        <vertAlign val="subscript"/>
        <sz val="11"/>
        <rFont val="Arial"/>
        <family val="2"/>
      </rPr>
      <t>o</t>
    </r>
    <r>
      <rPr>
        <sz val="11"/>
        <rFont val="Arial"/>
        <family val="2"/>
      </rPr>
      <t xml:space="preserve"> =</t>
    </r>
  </si>
  <si>
    <t>Є (0 ÷ 0)</t>
  </si>
  <si>
    <r>
      <t xml:space="preserve"> Chiều cao bao, thường thuộc khoảng [H</t>
    </r>
    <r>
      <rPr>
        <vertAlign val="subscript"/>
        <sz val="11"/>
        <rFont val="Arial"/>
        <family val="2"/>
      </rPr>
      <t>o</t>
    </r>
    <r>
      <rPr>
        <sz val="11"/>
        <rFont val="Arial"/>
        <family val="2"/>
      </rPr>
      <t xml:space="preserve">] = </t>
    </r>
  </si>
  <si>
    <r>
      <t xml:space="preserve"> Chọn: H</t>
    </r>
    <r>
      <rPr>
        <vertAlign val="subscript"/>
        <sz val="11"/>
        <rFont val="Arial"/>
        <family val="2"/>
      </rPr>
      <t>o</t>
    </r>
    <r>
      <rPr>
        <sz val="11"/>
        <rFont val="Arial"/>
        <family val="2"/>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</si>
  <si>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</si>
  <si>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</si>
  <si>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family val="2"/>
      </rPr>
      <t>2</t>
    </r>
    <r>
      <rPr>
        <sz val="11"/>
        <rFont val="Arial"/>
        <family val="2"/>
      </rPr>
      <t>, loại vỏ:</t>
    </r>
  </si>
  <si>
    <t xml:space="preserve"> thường thuộc khoảng, [F] =</t>
  </si>
  <si>
    <t xml:space="preserve"> F được tính toán qua biểu thức:</t>
  </si>
  <si>
    <r>
      <t xml:space="preserve"> F = 0.8.(W</t>
    </r>
    <r>
      <rPr>
        <vertAlign val="subscript"/>
        <sz val="11"/>
        <rFont val="Arial"/>
        <family val="2"/>
      </rPr>
      <t>o</t>
    </r>
    <r>
      <rPr>
        <sz val="11"/>
        <rFont val="Arial"/>
        <family val="2"/>
      </rPr>
      <t>.H</t>
    </r>
    <r>
      <rPr>
        <vertAlign val="subscript"/>
        <sz val="11"/>
        <rFont val="Arial"/>
        <family val="2"/>
      </rPr>
      <t>o</t>
    </r>
    <r>
      <rPr>
        <sz val="11"/>
        <rFont val="Arial"/>
        <family val="2"/>
      </rPr>
      <t>), [m</t>
    </r>
    <r>
      <rPr>
        <vertAlign val="superscript"/>
        <sz val="11"/>
        <rFont val="Arial"/>
        <family val="2"/>
      </rPr>
      <t>2</t>
    </r>
    <r>
      <rPr>
        <sz val="11"/>
        <rFont val="Arial"/>
        <family val="2"/>
      </rPr>
      <t xml:space="preserve">] </t>
    </r>
  </si>
  <si>
    <t xml:space="preserve"> với:</t>
  </si>
  <si>
    <r>
      <t xml:space="preserve"> W</t>
    </r>
    <r>
      <rPr>
        <vertAlign val="subscript"/>
        <sz val="11"/>
        <rFont val="Arial"/>
        <family val="2"/>
      </rPr>
      <t>o</t>
    </r>
    <r>
      <rPr>
        <sz val="11"/>
        <rFont val="Arial"/>
        <family val="2"/>
      </rPr>
      <t xml:space="preserve"> = </t>
    </r>
  </si>
  <si>
    <r>
      <t xml:space="preserve"> H</t>
    </r>
    <r>
      <rPr>
        <vertAlign val="subscript"/>
        <sz val="11"/>
        <rFont val="Arial"/>
        <family val="2"/>
      </rPr>
      <t>o</t>
    </r>
    <r>
      <rPr>
        <sz val="11"/>
        <rFont val="Arial"/>
        <family val="2"/>
      </rPr>
      <t xml:space="preserve"> = </t>
    </r>
  </si>
  <si>
    <t xml:space="preserve"> Xác định, F =</t>
  </si>
  <si>
    <t xml:space="preserve"> + Hệ số cản khí động học (K), thuộc khoảng:</t>
  </si>
  <si>
    <r>
      <t xml:space="preserve"> + Hệ số cản khí động học K, (Ns</t>
    </r>
    <r>
      <rPr>
        <vertAlign val="superscript"/>
        <sz val="11"/>
        <rFont val="Arial"/>
        <family val="2"/>
      </rPr>
      <t>2</t>
    </r>
    <r>
      <rPr>
        <sz val="11"/>
        <rFont val="Arial"/>
        <family val="2"/>
      </rPr>
      <t>/m</t>
    </r>
    <r>
      <rPr>
        <vertAlign val="superscript"/>
        <sz val="11"/>
        <rFont val="Arial"/>
        <family val="2"/>
      </rPr>
      <t>4</t>
    </r>
    <r>
      <rPr>
        <sz val="11"/>
        <rFont val="Arial"/>
        <family val="2"/>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</si>
  <si>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</si>
  <si>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</si>
  <si>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family val="2"/>
      </rPr>
      <t>2</t>
    </r>
    <r>
      <rPr>
        <sz val="11"/>
        <rFont val="Arial"/>
        <family val="2"/>
      </rPr>
      <t>/m</t>
    </r>
    <r>
      <rPr>
        <vertAlign val="superscript"/>
        <sz val="11"/>
        <rFont val="Arial"/>
        <family val="2"/>
      </rPr>
      <t>2</t>
    </r>
    <r>
      <rPr>
        <sz val="11"/>
        <rFont val="Arial"/>
        <family val="2"/>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</si>
  <si>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</si>
  <si>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</si>
  <si>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</si>
  <si>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</si>
  <si>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</si>
  <si>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</si>
  <si>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</si>
  <si>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</si>
  <si>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</si>
  <si>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family val="2"/>
      </rPr>
      <t>+ Vị trí ĐCĐT,</t>
    </r>
    <r>
      <rPr>
        <b/>
        <sz val="11"/>
        <rFont val="Arial"/>
        <family val="2"/>
      </rPr>
      <t xml:space="preserve"> chọn</t>
    </r>
    <r>
      <rPr>
        <sz val="11"/>
        <rFont val="Arial"/>
        <family val="2"/>
      </rPr>
      <t>:</t>
    </r>
    <r>
      <rPr>
        <b/>
        <sz val="11"/>
        <rFont val="Arial"/>
        <family val="2"/>
      </rPr>
      <t xml:space="preserve"> </t>
    </r>
  </si>
  <si>
    <t>đặt ………………..</t>
  </si>
  <si>
    <r>
      <t xml:space="preserve"> + Phương dọc ĐCĐT, </t>
    </r>
    <r>
      <rPr>
        <b/>
        <sz val="11"/>
        <rFont val="Arial"/>
        <family val="2"/>
      </rPr>
      <t>chọn:</t>
    </r>
  </si>
  <si>
    <t>đặt theo ………………</t>
  </si>
  <si>
    <r>
      <t xml:space="preserve"> + Nhiên liệu sử dụng, </t>
    </r>
    <r>
      <rPr>
        <b/>
        <sz val="11"/>
        <rFont val="Arial"/>
        <family val="2"/>
      </rPr>
      <t>chọn:</t>
    </r>
  </si>
  <si>
    <t>xăng/diesel</t>
  </si>
  <si>
    <t xml:space="preserve"> Chọn số vòng quay động cơ </t>
  </si>
  <si>
    <r>
      <t xml:space="preserve"> Bộ hạn chế số vòng quay trong hệ thống nhiên liệu, </t>
    </r>
    <r>
      <rPr>
        <b/>
        <sz val="11"/>
        <rFont val="Arial"/>
        <family val="2"/>
      </rPr>
      <t>chọn</t>
    </r>
    <r>
      <rPr>
        <sz val="11"/>
        <rFont val="Arial"/>
        <family val="2"/>
      </rPr>
      <t xml:space="preserve">: </t>
    </r>
  </si>
  <si>
    <t>có/không có</t>
  </si>
  <si>
    <r>
      <t xml:space="preserve"> Dựa </t>
    </r>
    <r>
      <rPr>
        <b/>
        <sz val="11"/>
        <rFont val="Arial"/>
        <family val="2"/>
      </rPr>
      <t>theo bảng 5</t>
    </r>
    <r>
      <rPr>
        <sz val="11"/>
        <rFont val="Arial"/>
        <family val="2"/>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</si>
  <si>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</si>
  <si>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</si>
  <si>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</si>
  <si>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family val="2"/>
      </rPr>
      <t>min</t>
    </r>
    <r>
      <rPr>
        <sz val="11"/>
        <rFont val="Arial"/>
        <family val="2"/>
      </rPr>
      <t>] (vòng/phút, (v/p))</t>
    </r>
  </si>
  <si>
    <r>
      <t xml:space="preserve"> Chọn: n</t>
    </r>
    <r>
      <rPr>
        <b/>
        <vertAlign val="subscript"/>
        <sz val="11"/>
        <rFont val="Arial"/>
        <family val="2"/>
      </rPr>
      <t>min</t>
    </r>
    <r>
      <rPr>
        <b/>
        <sz val="11"/>
        <rFont val="Arial"/>
        <family val="2"/>
      </rPr>
      <t xml:space="preserve"> =</t>
    </r>
  </si>
  <si>
    <t>Є (0 ÷ 0) v/p</t>
  </si>
  <si>
    <r>
      <t xml:space="preserve"> - Hệ số theo thực nghiệm ([λ]) là tỷ số giữa số vòng quay lớn nhất (n</t>
    </r>
    <r>
      <rPr>
        <vertAlign val="subscript"/>
        <sz val="11"/>
        <rFont val="Arial"/>
        <family val="2"/>
      </rPr>
      <t>max</t>
    </r>
    <r>
      <rPr>
        <sz val="11"/>
        <rFont val="Arial"/>
        <family val="2"/>
      </rPr>
      <t>) với số vòng quay ứng với công suất lớn nhất (n</t>
    </r>
    <r>
      <rPr>
        <vertAlign val="subscript"/>
        <sz val="11"/>
        <rFont val="Arial"/>
        <family val="2"/>
      </rPr>
      <t>N</t>
    </r>
    <r>
      <rPr>
        <sz val="11"/>
        <rFont val="Arial"/>
        <family val="2"/>
      </rPr>
      <t>), tức: [λ] = (n</t>
    </r>
    <r>
      <rPr>
        <vertAlign val="subscript"/>
        <sz val="11"/>
        <rFont val="Arial"/>
        <family val="2"/>
      </rPr>
      <t>max</t>
    </r>
    <r>
      <rPr>
        <sz val="11"/>
        <rFont val="Arial"/>
        <family val="2"/>
      </rPr>
      <t>/n</t>
    </r>
    <r>
      <rPr>
        <vertAlign val="subscript"/>
        <sz val="11"/>
        <rFont val="Arial"/>
        <family val="2"/>
      </rPr>
      <t>N</t>
    </r>
    <r>
      <rPr>
        <sz val="11"/>
        <rFont val="Arial"/>
        <family val="2"/>
      </rPr>
      <t>) =</t>
    </r>
  </si>
  <si>
    <r>
      <t xml:space="preserve"> </t>
    </r>
    <r>
      <rPr>
        <b/>
        <sz val="11"/>
        <rFont val="Arial"/>
        <family val="2"/>
      </rPr>
      <t>chọn</t>
    </r>
    <r>
      <rPr>
        <sz val="11"/>
        <rFont val="Arial"/>
        <family val="2"/>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</si>
  <si>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</si>
  <si>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family val="2"/>
      </rPr>
      <t>max</t>
    </r>
    <r>
      <rPr>
        <sz val="11"/>
        <rFont val="Arial"/>
        <family val="2"/>
      </rPr>
      <t>.</t>
    </r>
  </si>
  <si>
    <t xml:space="preserve"> Các giá trị a, b, c được chọn phụ thuộc vào ĐCĐT:</t>
  </si>
  <si>
    <t xml:space="preserve"> + Sử dụng nhiên liệu:</t>
  </si>
  <si>
    <r>
      <t xml:space="preserve"> + Số kỳ ĐCĐT, </t>
    </r>
    <r>
      <rPr>
        <b/>
        <sz val="11"/>
        <rFont val="Arial"/>
        <family val="2"/>
      </rPr>
      <t>chọn:</t>
    </r>
  </si>
  <si>
    <t>2 or 4</t>
  </si>
  <si>
    <r>
      <t xml:space="preserve"> + Buồng đốt, </t>
    </r>
    <r>
      <rPr>
        <b/>
        <sz val="11"/>
        <rFont val="Arial"/>
        <family val="2"/>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</si>
  <si>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</si>
  <si>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</si>
  <si>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</si>
  <si>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</si>
  <si>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</si>
  <si>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</si>
  <si>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</si>
  <si>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</si>
  <si>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</si>
  <si>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</si>
  <si>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family val="2"/>
      </rPr>
      <t>chọn:</t>
    </r>
  </si>
  <si>
    <t>loại độc lập or phụ thuộc</t>
  </si>
  <si>
    <r>
      <t xml:space="preserve"> + Giữ hướng, </t>
    </r>
    <r>
      <rPr>
        <b/>
        <sz val="11"/>
        <rFont val="Arial"/>
        <family val="2"/>
      </rPr>
      <t>chọn:</t>
    </r>
  </si>
  <si>
    <r>
      <t xml:space="preserve"> + Đàn hồi, </t>
    </r>
    <r>
      <rPr>
        <b/>
        <sz val="11"/>
        <rFont val="Arial"/>
        <family val="2"/>
      </rPr>
      <t>chọn:</t>
    </r>
  </si>
  <si>
    <r>
      <t xml:space="preserve"> + Giảm chấn, </t>
    </r>
    <r>
      <rPr>
        <b/>
        <sz val="11"/>
        <rFont val="Arial"/>
        <family val="2"/>
      </rPr>
      <t>chọn:</t>
    </r>
  </si>
  <si>
    <t>1.2.9</t>
  </si>
  <si>
    <t>Bánh xe</t>
  </si>
  <si>
    <t>Trọng lượng bám các bánh xe</t>
  </si>
  <si>
    <r>
      <t xml:space="preserve"> Trọng lượng bám của xe (</t>
    </r>
    <r>
      <rPr>
        <b/>
        <sz val="11"/>
        <rFont val="Arial"/>
        <family val="2"/>
      </rPr>
      <t>G</t>
    </r>
    <r>
      <rPr>
        <b/>
        <sz val="11"/>
        <rFont val="Times New Roman"/>
        <family val="1"/>
      </rPr>
      <t>φ</t>
    </r>
    <r>
      <rPr>
        <sz val="11"/>
        <rFont val="Arial"/>
        <family val="2"/>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</si>
  <si>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</si>
  <si>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family val="2"/>
      </rPr>
      <t>chọn</t>
    </r>
    <r>
      <rPr>
        <sz val="11"/>
        <rFont val="Arial"/>
        <family val="2"/>
      </rPr>
      <t>:</t>
    </r>
  </si>
  <si>
    <t>… x ...</t>
  </si>
  <si>
    <r>
      <t xml:space="preserve"> + Vị trí "</t>
    </r>
    <r>
      <rPr>
        <b/>
        <sz val="11"/>
        <rFont val="Arial"/>
        <family val="2"/>
      </rPr>
      <t>B</t>
    </r>
    <r>
      <rPr>
        <sz val="11"/>
        <rFont val="Arial"/>
        <family val="2"/>
      </rPr>
      <t xml:space="preserve">": </t>
    </r>
    <r>
      <rPr>
        <b/>
        <sz val="11"/>
        <rFont val="Arial"/>
        <family val="2"/>
      </rPr>
      <t>chọn</t>
    </r>
    <r>
      <rPr>
        <sz val="11"/>
        <rFont val="Arial"/>
        <family val="2"/>
      </rPr>
      <t>:</t>
    </r>
  </si>
  <si>
    <t>ở phía trục cầu …</t>
  </si>
  <si>
    <r>
      <t xml:space="preserve"> + Trọng lượng bản thân xe - </t>
    </r>
    <r>
      <rPr>
        <b/>
        <sz val="11"/>
        <rFont val="Arial"/>
        <family val="2"/>
      </rPr>
      <t>G</t>
    </r>
    <r>
      <rPr>
        <b/>
        <vertAlign val="subscript"/>
        <sz val="11"/>
        <rFont val="Arial"/>
        <family val="2"/>
      </rPr>
      <t xml:space="preserve">o </t>
    </r>
    <r>
      <rPr>
        <sz val="11"/>
        <rFont val="Arial"/>
        <family val="2"/>
      </rPr>
      <t>- đặt:</t>
    </r>
  </si>
  <si>
    <r>
      <t xml:space="preserve">   - Lên các bánh xe trục cầu phía trước, </t>
    </r>
    <r>
      <rPr>
        <b/>
        <sz val="11"/>
        <rFont val="Arial"/>
        <family val="2"/>
      </rPr>
      <t>G</t>
    </r>
    <r>
      <rPr>
        <b/>
        <vertAlign val="subscript"/>
        <sz val="11"/>
        <rFont val="Arial"/>
        <family val="2"/>
      </rPr>
      <t>o1</t>
    </r>
    <r>
      <rPr>
        <sz val="11"/>
        <rFont val="Arial"/>
        <family val="2"/>
      </rPr>
      <t>, [kg] =</t>
    </r>
  </si>
  <si>
    <r>
      <t xml:space="preserve">   - Lên các bánh xe trục cầu phía sau, </t>
    </r>
    <r>
      <rPr>
        <b/>
        <sz val="11"/>
        <rFont val="Arial"/>
        <family val="2"/>
      </rPr>
      <t>G</t>
    </r>
    <r>
      <rPr>
        <b/>
        <vertAlign val="subscript"/>
        <sz val="11"/>
        <rFont val="Arial"/>
        <family val="2"/>
      </rPr>
      <t>o2</t>
    </r>
    <r>
      <rPr>
        <sz val="11"/>
        <rFont val="Arial"/>
        <family val="2"/>
      </rPr>
      <t>, [kg] =</t>
    </r>
  </si>
  <si>
    <r>
      <t xml:space="preserve"> Với vị trí B, trọng lượng bám (</t>
    </r>
    <r>
      <rPr>
        <b/>
        <sz val="11"/>
        <rFont val="Arial"/>
        <family val="2"/>
      </rPr>
      <t>G</t>
    </r>
    <r>
      <rPr>
        <b/>
        <vertAlign val="subscript"/>
        <sz val="11"/>
        <rFont val="Times New Roman"/>
        <family val="1"/>
      </rPr>
      <t>φ</t>
    </r>
    <r>
      <rPr>
        <sz val="11"/>
        <rFont val="Arial"/>
        <family val="2"/>
      </rPr>
      <t>) của xe được xác định:</t>
    </r>
  </si>
  <si>
    <r>
      <t xml:space="preserve"> Hệ số bám (</t>
    </r>
    <r>
      <rPr>
        <b/>
        <sz val="11"/>
        <rFont val="Arial"/>
        <family val="2"/>
      </rPr>
      <t>φ</t>
    </r>
    <r>
      <rPr>
        <sz val="11"/>
        <rFont val="Arial"/>
        <family val="2"/>
      </rPr>
      <t xml:space="preserve">) của các bánh xe chủ động có giá trị, φ =  </t>
    </r>
  </si>
  <si>
    <r>
      <t xml:space="preserve"> </t>
    </r>
    <r>
      <rPr>
        <b/>
        <sz val="11"/>
        <rFont val="Arial"/>
        <family val="2"/>
      </rPr>
      <t>G</t>
    </r>
    <r>
      <rPr>
        <b/>
        <vertAlign val="subscript"/>
        <sz val="11"/>
        <rFont val="Times New Roman"/>
        <family val="1"/>
      </rPr>
      <t>φ</t>
    </r>
    <r>
      <rPr>
        <sz val="11"/>
        <rFont val="Arial"/>
        <family val="2"/>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</si>
  <si>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</si>
  <si>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</si>
  <si>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</si>
  <si>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family val="2"/>
      </rPr>
      <t>G</t>
    </r>
    <r>
      <rPr>
        <b/>
        <vertAlign val="subscript"/>
        <sz val="11"/>
        <rFont val="Arial"/>
        <family val="2"/>
      </rPr>
      <t>1</t>
    </r>
    <r>
      <rPr>
        <vertAlign val="subscript"/>
        <sz val="11"/>
        <rFont val="Arial"/>
        <family val="2"/>
      </rPr>
      <t xml:space="preserve"> </t>
    </r>
    <r>
      <rPr>
        <sz val="11"/>
        <rFont val="Arial"/>
        <family val="2"/>
      </rPr>
      <t>[kg] =</t>
    </r>
  </si>
  <si>
    <r>
      <t xml:space="preserve"> + Ở một đầu trục cầu phía trước, </t>
    </r>
    <r>
      <rPr>
        <b/>
        <sz val="11"/>
        <rFont val="Arial"/>
        <family val="2"/>
      </rPr>
      <t>G</t>
    </r>
    <r>
      <rPr>
        <b/>
        <vertAlign val="subscript"/>
        <sz val="11"/>
        <rFont val="Arial"/>
        <family val="2"/>
      </rPr>
      <t>W1</t>
    </r>
    <r>
      <rPr>
        <vertAlign val="subscript"/>
        <sz val="11"/>
        <rFont val="Arial"/>
        <family val="2"/>
      </rPr>
      <t xml:space="preserve"> </t>
    </r>
    <r>
      <rPr>
        <sz val="11"/>
        <rFont val="Arial"/>
        <family val="2"/>
      </rPr>
      <t>[kg] = G</t>
    </r>
    <r>
      <rPr>
        <vertAlign val="subscript"/>
        <sz val="11"/>
        <rFont val="Arial"/>
        <family val="2"/>
      </rPr>
      <t>1</t>
    </r>
    <r>
      <rPr>
        <sz val="11"/>
        <rFont val="Arial"/>
        <family val="2"/>
      </rPr>
      <t xml:space="preserve">/2 = </t>
    </r>
  </si>
  <si>
    <r>
      <t xml:space="preserve"> + Ở phía trục cầu sau, </t>
    </r>
    <r>
      <rPr>
        <b/>
        <sz val="11"/>
        <rFont val="Arial"/>
        <family val="2"/>
      </rPr>
      <t>G</t>
    </r>
    <r>
      <rPr>
        <b/>
        <vertAlign val="subscript"/>
        <sz val="11"/>
        <rFont val="Arial"/>
        <family val="2"/>
      </rPr>
      <t>2</t>
    </r>
    <r>
      <rPr>
        <sz val="11"/>
        <rFont val="Arial"/>
        <family val="2"/>
      </rPr>
      <t xml:space="preserve"> [kg] =</t>
    </r>
  </si>
  <si>
    <r>
      <t xml:space="preserve"> + Ở một đầu trục cầu phía sau, G</t>
    </r>
    <r>
      <rPr>
        <vertAlign val="subscript"/>
        <sz val="11"/>
        <rFont val="Arial"/>
        <family val="2"/>
      </rPr>
      <t>W2</t>
    </r>
    <r>
      <rPr>
        <sz val="11"/>
        <rFont val="Arial"/>
        <family val="2"/>
      </rPr>
      <t xml:space="preserve"> [kg] = G</t>
    </r>
    <r>
      <rPr>
        <vertAlign val="subscript"/>
        <sz val="11"/>
        <rFont val="Arial"/>
        <family val="2"/>
      </rPr>
      <t>2</t>
    </r>
    <r>
      <rPr>
        <sz val="11"/>
        <rFont val="Arial"/>
        <family val="2"/>
      </rPr>
      <t xml:space="preserve">/2 = </t>
    </r>
  </si>
  <si>
    <r>
      <t xml:space="preserve"> Vận tốc lớn nhất của xe, v</t>
    </r>
    <r>
      <rPr>
        <b/>
        <vertAlign val="subscript"/>
        <sz val="11"/>
        <rFont val="Arial"/>
        <family val="2"/>
      </rPr>
      <t>max</t>
    </r>
    <r>
      <rPr>
        <b/>
        <sz val="11"/>
        <rFont val="Arial"/>
        <family val="2"/>
      </rPr>
      <t xml:space="preserve">, [km/h] </t>
    </r>
    <r>
      <rPr>
        <sz val="11"/>
        <rFont val="Arial"/>
        <family val="2"/>
      </rPr>
      <t>=</t>
    </r>
  </si>
  <si>
    <t>b.3.</t>
  </si>
  <si>
    <t xml:space="preserve"> Áp suất lốp xe</t>
  </si>
  <si>
    <t xml:space="preserve"> Do chủng loại xe:</t>
  </si>
  <si>
    <r>
      <t xml:space="preserve"> Áp suất lốp, </t>
    </r>
    <r>
      <rPr>
        <b/>
        <sz val="11"/>
        <rFont val="Arial"/>
        <family val="2"/>
      </rPr>
      <t>chọn</t>
    </r>
    <r>
      <rPr>
        <sz val="11"/>
        <rFont val="Arial"/>
        <family val="2"/>
      </rPr>
      <t>:</t>
    </r>
  </si>
  <si>
    <t>thấp or cao</t>
  </si>
  <si>
    <t xml:space="preserve"> Nên có khoảng [λ] =</t>
  </si>
  <si>
    <r>
      <t xml:space="preserve"> </t>
    </r>
    <r>
      <rPr>
        <b/>
        <sz val="11"/>
        <rFont val="Arial"/>
        <family val="2"/>
      </rPr>
      <t>Chọn:</t>
    </r>
    <r>
      <rPr>
        <sz val="11"/>
        <rFont val="Arial"/>
        <family val="2"/>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</si>
  <si>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</si>
  <si>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</si>
  <si>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</si>
  <si>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</si>
  <si>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</si>
  <si>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</si>
  <si>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</si>
  <si>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</si>
  <si>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</si>
  <si>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family val="2"/>
      </rPr>
      <t>r</t>
    </r>
    <r>
      <rPr>
        <b/>
        <vertAlign val="subscript"/>
        <sz val="11"/>
        <rFont val="Arial"/>
        <family val="2"/>
      </rPr>
      <t>o</t>
    </r>
    <r>
      <rPr>
        <sz val="11"/>
        <rFont val="Arial"/>
        <family val="2"/>
      </rPr>
      <t>, [mm]</t>
    </r>
  </si>
  <si>
    <r>
      <t xml:space="preserve"> r</t>
    </r>
    <r>
      <rPr>
        <b/>
        <vertAlign val="subscript"/>
        <sz val="11"/>
        <rFont val="Arial"/>
        <family val="2"/>
      </rPr>
      <t xml:space="preserve">o </t>
    </r>
    <r>
      <rPr>
        <b/>
        <sz val="11"/>
        <rFont val="Arial"/>
        <family val="2"/>
      </rPr>
      <t>= (A + (B %).A)/2</t>
    </r>
  </si>
  <si>
    <r>
      <t xml:space="preserve"> Xác định: r</t>
    </r>
    <r>
      <rPr>
        <b/>
        <vertAlign val="subscript"/>
        <sz val="11"/>
        <rFont val="Arial"/>
        <family val="2"/>
      </rPr>
      <t xml:space="preserve">o </t>
    </r>
    <r>
      <rPr>
        <b/>
        <sz val="11"/>
        <rFont val="Arial"/>
        <family val="2"/>
      </rPr>
      <t xml:space="preserve">= </t>
    </r>
  </si>
  <si>
    <r>
      <t xml:space="preserve"> - Bán kính lăn, </t>
    </r>
    <r>
      <rPr>
        <b/>
        <sz val="11"/>
        <rFont val="Arial"/>
        <family val="2"/>
      </rPr>
      <t>r</t>
    </r>
    <r>
      <rPr>
        <b/>
        <vertAlign val="subscript"/>
        <sz val="11"/>
        <rFont val="Arial"/>
        <family val="2"/>
      </rPr>
      <t>b</t>
    </r>
    <r>
      <rPr>
        <sz val="11"/>
        <rFont val="Arial"/>
        <family val="2"/>
      </rPr>
      <t>, [mm]</t>
    </r>
  </si>
  <si>
    <r>
      <t xml:space="preserve"> </t>
    </r>
    <r>
      <rPr>
        <sz val="11"/>
        <rFont val="Arial"/>
        <family val="2"/>
      </rPr>
      <t>Được xác định,</t>
    </r>
    <r>
      <rPr>
        <b/>
        <sz val="11"/>
        <rFont val="Arial"/>
        <family val="2"/>
      </rPr>
      <t xml:space="preserve"> r</t>
    </r>
    <r>
      <rPr>
        <b/>
        <vertAlign val="subscript"/>
        <sz val="11"/>
        <rFont val="Arial"/>
        <family val="2"/>
      </rPr>
      <t>b</t>
    </r>
    <r>
      <rPr>
        <b/>
        <sz val="11"/>
        <rFont val="Arial"/>
        <family val="2"/>
      </rPr>
      <t xml:space="preserve"> = </t>
    </r>
    <r>
      <rPr>
        <b/>
        <sz val="11"/>
        <rFont val="Times New Roman"/>
        <family val="1"/>
      </rPr>
      <t>λ</t>
    </r>
    <r>
      <rPr>
        <b/>
        <sz val="9.35"/>
        <rFont val="Arial"/>
        <family val="2"/>
      </rPr>
      <t>.</t>
    </r>
    <r>
      <rPr>
        <b/>
        <sz val="11"/>
        <rFont val="Arial"/>
        <family val="2"/>
      </rPr>
      <t>r</t>
    </r>
    <r>
      <rPr>
        <b/>
        <vertAlign val="subscript"/>
        <sz val="11"/>
        <rFont val="Arial"/>
        <family val="2"/>
      </rPr>
      <t>o</t>
    </r>
    <r>
      <rPr>
        <b/>
        <sz val="11"/>
        <rFont val="Arial"/>
        <family val="2"/>
      </rPr>
      <t xml:space="preserve"> =</t>
    </r>
  </si>
  <si>
    <t>1.3.</t>
  </si>
  <si>
    <t>Hệ thống truyền động</t>
  </si>
  <si>
    <r>
      <t xml:space="preserve"> </t>
    </r>
    <r>
      <rPr>
        <b/>
        <i/>
        <sz val="11"/>
        <rFont val="Arial"/>
        <family val="2"/>
      </rPr>
      <t>Tổng thành tổng quát</t>
    </r>
  </si>
  <si>
    <r>
      <t xml:space="preserve">       Cao, </t>
    </r>
    <r>
      <rPr>
        <b/>
        <sz val="11"/>
        <rFont val="Arial"/>
        <family val="2"/>
      </rPr>
      <t>i</t>
    </r>
    <r>
      <rPr>
        <b/>
        <vertAlign val="subscript"/>
        <sz val="11"/>
        <rFont val="Arial"/>
        <family val="2"/>
      </rPr>
      <t>pc</t>
    </r>
    <r>
      <rPr>
        <sz val="11"/>
        <rFont val="Arial"/>
        <family val="2"/>
      </rPr>
      <t xml:space="preserve">; </t>
    </r>
  </si>
  <si>
    <r>
      <t xml:space="preserve">       Thấp, </t>
    </r>
    <r>
      <rPr>
        <b/>
        <sz val="11"/>
        <rFont val="Arial"/>
        <family val="2"/>
      </rPr>
      <t>i</t>
    </r>
    <r>
      <rPr>
        <b/>
        <vertAlign val="subscript"/>
        <sz val="11"/>
        <rFont val="Arial"/>
        <family val="2"/>
      </rPr>
      <t>pt</t>
    </r>
    <r>
      <rPr>
        <sz val="11"/>
        <rFont val="Arial"/>
        <family val="2"/>
      </rPr>
      <t xml:space="preserve">; </t>
    </r>
  </si>
  <si>
    <r>
      <t xml:space="preserve">   - Tỷ số truyền, </t>
    </r>
    <r>
      <rPr>
        <b/>
        <sz val="11"/>
        <rFont val="Arial"/>
        <family val="2"/>
      </rPr>
      <t>i</t>
    </r>
    <r>
      <rPr>
        <b/>
        <vertAlign val="subscript"/>
        <sz val="11"/>
        <rFont val="Arial"/>
        <family val="2"/>
      </rPr>
      <t>o</t>
    </r>
    <r>
      <rPr>
        <sz val="11"/>
        <rFont val="Arial"/>
        <family val="2"/>
      </rPr>
      <t xml:space="preserve">; </t>
    </r>
  </si>
  <si>
    <r>
      <t xml:space="preserve"> 5. Vi sai (TLC): hiệu suất, </t>
    </r>
    <r>
      <rPr>
        <b/>
        <sz val="11"/>
        <rFont val="Arial"/>
        <family val="2"/>
      </rPr>
      <t>η</t>
    </r>
    <r>
      <rPr>
        <b/>
        <vertAlign val="subscript"/>
        <sz val="11"/>
        <rFont val="Arial"/>
        <family val="2"/>
      </rPr>
      <t>v</t>
    </r>
    <r>
      <rPr>
        <sz val="11"/>
        <rFont val="Arial"/>
        <family val="2"/>
      </rPr>
      <t xml:space="preserve">; </t>
    </r>
  </si>
  <si>
    <r>
      <t xml:space="preserve">   - Tỷ số truyền, </t>
    </r>
    <r>
      <rPr>
        <b/>
        <sz val="11"/>
        <rFont val="Arial"/>
        <family val="2"/>
      </rPr>
      <t>i</t>
    </r>
    <r>
      <rPr>
        <b/>
        <vertAlign val="subscript"/>
        <sz val="11"/>
        <rFont val="Arial"/>
        <family val="2"/>
      </rPr>
      <t>cc</t>
    </r>
    <r>
      <rPr>
        <sz val="11"/>
        <rFont val="Arial"/>
        <family val="2"/>
      </rPr>
      <t xml:space="preserve">; </t>
    </r>
  </si>
  <si>
    <r>
      <t xml:space="preserve">Hiệu suất tổng thành tổng quát, </t>
    </r>
    <r>
      <rPr>
        <b/>
        <sz val="11"/>
        <rFont val="Arial"/>
        <family val="2"/>
      </rPr>
      <t>η</t>
    </r>
    <r>
      <rPr>
        <b/>
        <vertAlign val="subscript"/>
        <sz val="11"/>
        <rFont val="Arial"/>
        <family val="2"/>
      </rPr>
      <t>t</t>
    </r>
    <r>
      <rPr>
        <b/>
        <i/>
        <sz val="11"/>
        <rFont val="Arial"/>
        <family val="2"/>
      </rPr>
      <t>;</t>
    </r>
  </si>
  <si>
    <t xml:space="preserve"> Được thể hiện qua biểu thức</t>
  </si>
  <si>
    <r>
      <t xml:space="preserve">Tỷ số truyền tổng thành tổng quát, </t>
    </r>
    <r>
      <rPr>
        <b/>
        <sz val="11"/>
        <rFont val="Arial"/>
        <family val="2"/>
      </rPr>
      <t>i</t>
    </r>
    <r>
      <rPr>
        <b/>
        <vertAlign val="subscript"/>
        <sz val="11"/>
        <rFont val="Arial"/>
        <family val="2"/>
      </rPr>
      <t>t</t>
    </r>
    <r>
      <rPr>
        <b/>
        <i/>
        <sz val="11"/>
        <rFont val="Arial"/>
        <family val="2"/>
      </rPr>
      <t>;</t>
    </r>
  </si>
  <si>
    <r>
      <t>i</t>
    </r>
    <r>
      <rPr>
        <b/>
        <vertAlign val="subscript"/>
        <sz val="11"/>
        <rFont val="Arial"/>
        <family val="2"/>
      </rPr>
      <t>ti,j</t>
    </r>
    <r>
      <rPr>
        <b/>
        <sz val="11"/>
        <rFont val="Arial"/>
        <family val="2"/>
      </rPr>
      <t xml:space="preserve"> = (i</t>
    </r>
    <r>
      <rPr>
        <b/>
        <vertAlign val="subscript"/>
        <sz val="11"/>
        <rFont val="Arial"/>
        <family val="2"/>
      </rPr>
      <t>hi</t>
    </r>
    <r>
      <rPr>
        <b/>
        <sz val="11"/>
        <rFont val="Arial"/>
        <family val="2"/>
      </rPr>
      <t>.i</t>
    </r>
    <r>
      <rPr>
        <b/>
        <vertAlign val="subscript"/>
        <sz val="11"/>
        <rFont val="Arial"/>
        <family val="2"/>
      </rPr>
      <t>pj</t>
    </r>
    <r>
      <rPr>
        <b/>
        <sz val="11"/>
        <rFont val="Arial"/>
        <family val="2"/>
      </rPr>
      <t>).(i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</si>
  <si>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Vì chưa xác định được tổng thành hệ thống truyền lực cho xe, nên dựa theo </t>
    </r>
    <r>
      <rPr>
        <b/>
        <sz val="11"/>
        <rFont val="Arial"/>
        <family val="2"/>
      </rPr>
      <t>bảng 8</t>
    </r>
    <r>
      <rPr>
        <sz val="11"/>
        <rFont val="Arial"/>
        <family val="2"/>
      </rPr>
      <t xml:space="preserve"> với chủng loại:</t>
    </r>
  </si>
  <si>
    <r>
      <t xml:space="preserve"> Nên, </t>
    </r>
    <r>
      <rPr>
        <b/>
        <sz val="11"/>
        <rFont val="Arial"/>
        <family val="2"/>
      </rPr>
      <t>chọn: η</t>
    </r>
    <r>
      <rPr>
        <b/>
        <vertAlign val="subscript"/>
        <sz val="11"/>
        <rFont val="Arial"/>
        <family val="2"/>
      </rPr>
      <t>t</t>
    </r>
    <r>
      <rPr>
        <b/>
        <sz val="11"/>
        <rFont val="Arial"/>
        <family val="2"/>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</si>
  <si>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</si>
  <si>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</si>
  <si>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</si>
  <si>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</si>
  <si>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</si>
  <si>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</si>
  <si>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</si>
  <si>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</si>
  <si>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</si>
  <si>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</si>
  <si>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</si>
  <si>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family val="2"/>
      </rPr>
      <t>max</t>
    </r>
    <r>
      <rPr>
        <b/>
        <sz val="11"/>
        <rFont val="Arial"/>
        <family val="2"/>
      </rPr>
      <t>, Nv</t>
    </r>
    <r>
      <rPr>
        <b/>
        <vertAlign val="subscript"/>
        <sz val="11"/>
        <rFont val="Arial"/>
        <family val="2"/>
      </rPr>
      <t>max</t>
    </r>
    <r>
      <rPr>
        <b/>
        <sz val="11"/>
        <rFont val="Arial"/>
        <family val="2"/>
      </rPr>
      <t>;</t>
    </r>
  </si>
  <si>
    <r>
      <t xml:space="preserve"> Nv</t>
    </r>
    <r>
      <rPr>
        <vertAlign val="subscript"/>
        <sz val="11"/>
        <rFont val="Arial"/>
        <family val="2"/>
      </rPr>
      <t>max</t>
    </r>
    <r>
      <rPr>
        <sz val="11"/>
        <rFont val="Arial"/>
        <family val="2"/>
      </rPr>
      <t xml:space="preserve"> = (1/η</t>
    </r>
    <r>
      <rPr>
        <vertAlign val="subscript"/>
        <sz val="11"/>
        <rFont val="Arial"/>
        <family val="2"/>
      </rPr>
      <t>t</t>
    </r>
    <r>
      <rPr>
        <sz val="11"/>
        <rFont val="Arial"/>
        <family val="2"/>
      </rPr>
      <t>).(</t>
    </r>
    <r>
      <rPr>
        <sz val="11"/>
        <rFont val="Arial"/>
        <family val="2"/>
      </rPr>
      <t>Ψ</t>
    </r>
    <r>
      <rPr>
        <vertAlign val="subscript"/>
        <sz val="11"/>
        <rFont val="Arial"/>
        <family val="2"/>
      </rPr>
      <t>max</t>
    </r>
    <r>
      <rPr>
        <sz val="11"/>
        <rFont val="Arial"/>
        <family val="2"/>
      </rPr>
      <t>.G.v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</si>
  <si>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hay, Nv</t>
    </r>
    <r>
      <rPr>
        <vertAlign val="subscript"/>
        <sz val="11"/>
        <rFont val="Arial"/>
        <family val="2"/>
      </rPr>
      <t>max</t>
    </r>
    <r>
      <rPr>
        <sz val="11"/>
        <rFont val="Arial"/>
        <family val="2"/>
      </rPr>
      <t xml:space="preserve"> = (1/η</t>
    </r>
    <r>
      <rPr>
        <vertAlign val="subscript"/>
        <sz val="11"/>
        <rFont val="Arial"/>
        <family val="2"/>
      </rPr>
      <t>t</t>
    </r>
    <r>
      <rPr>
        <sz val="11"/>
        <rFont val="Arial"/>
        <family val="2"/>
      </rPr>
      <t>).[(fv</t>
    </r>
    <r>
      <rPr>
        <vertAlign val="subscript"/>
        <sz val="11"/>
        <rFont val="Arial"/>
        <family val="2"/>
      </rPr>
      <t>max</t>
    </r>
    <r>
      <rPr>
        <sz val="11"/>
        <rFont val="Arial"/>
        <family val="2"/>
      </rPr>
      <t>.+ i).G.v</t>
    </r>
    <r>
      <rPr>
        <vertAlign val="subscript"/>
        <sz val="11"/>
        <rFont val="Arial"/>
        <family val="2"/>
      </rPr>
      <t>max</t>
    </r>
    <r>
      <rPr>
        <sz val="11"/>
        <rFont val="Arial"/>
        <family val="2"/>
      </rPr>
      <t>+W.v</t>
    </r>
    <r>
      <rPr>
        <vertAlign val="superscript"/>
        <sz val="11"/>
        <rFont val="Arial"/>
        <family val="2"/>
      </rPr>
      <t>3</t>
    </r>
    <r>
      <rPr>
        <vertAlign val="subscript"/>
        <sz val="11"/>
        <rFont val="Arial"/>
        <family val="2"/>
      </rPr>
      <t>max</t>
    </r>
    <r>
      <rPr>
        <sz val="11"/>
        <rFont val="Arial"/>
        <family val="2"/>
      </rPr>
      <t xml:space="preserve">], [kW] </t>
    </r>
  </si>
  <si>
    <r>
      <t xml:space="preserve"> </t>
    </r>
    <r>
      <rPr>
        <b/>
        <sz val="11"/>
        <rFont val="Arial"/>
        <family val="2"/>
      </rPr>
      <t>η</t>
    </r>
    <r>
      <rPr>
        <b/>
        <vertAlign val="subscript"/>
        <sz val="11"/>
        <rFont val="Arial"/>
        <family val="2"/>
      </rPr>
      <t xml:space="preserve">t </t>
    </r>
    <r>
      <rPr>
        <sz val="11"/>
        <rFont val="Arial"/>
        <family val="2"/>
      </rPr>
      <t xml:space="preserve">- hiệu suất hệ thống truyền lực xe, </t>
    </r>
  </si>
  <si>
    <r>
      <t xml:space="preserve"> </t>
    </r>
    <r>
      <rPr>
        <b/>
        <sz val="11"/>
        <rFont val="Arial"/>
        <family val="2"/>
      </rPr>
      <t>fv</t>
    </r>
    <r>
      <rPr>
        <b/>
        <vertAlign val="subscript"/>
        <sz val="11"/>
        <rFont val="Arial"/>
        <family val="2"/>
      </rPr>
      <t xml:space="preserve">max </t>
    </r>
    <r>
      <rPr>
        <sz val="11"/>
        <rFont val="Arial"/>
        <family val="2"/>
      </rPr>
      <t>- hệ số cản lăn - ứng với v</t>
    </r>
    <r>
      <rPr>
        <vertAlign val="subscript"/>
        <sz val="11"/>
        <rFont val="Arial"/>
        <family val="2"/>
      </rPr>
      <t>max</t>
    </r>
    <r>
      <rPr>
        <sz val="11"/>
        <rFont val="Arial"/>
        <family val="2"/>
      </rPr>
      <t xml:space="preserve">, </t>
    </r>
  </si>
  <si>
    <r>
      <t xml:space="preserve"> </t>
    </r>
    <r>
      <rPr>
        <b/>
        <sz val="11"/>
        <rFont val="Arial"/>
        <family val="2"/>
      </rPr>
      <t>i</t>
    </r>
    <r>
      <rPr>
        <b/>
        <vertAlign val="subscript"/>
        <sz val="11"/>
        <rFont val="Arial"/>
        <family val="2"/>
      </rPr>
      <t xml:space="preserve"> </t>
    </r>
    <r>
      <rPr>
        <sz val="11"/>
        <rFont val="Arial"/>
        <family val="2"/>
      </rPr>
      <t>- độ dốc mặt đường - ứng với v</t>
    </r>
    <r>
      <rPr>
        <vertAlign val="subscript"/>
        <sz val="11"/>
        <rFont val="Arial"/>
        <family val="2"/>
      </rPr>
      <t>max</t>
    </r>
    <r>
      <rPr>
        <sz val="11"/>
        <rFont val="Arial"/>
        <family val="2"/>
      </rPr>
      <t xml:space="preserve">, </t>
    </r>
  </si>
  <si>
    <r>
      <t xml:space="preserve"> Trọng lượng xe khi đủ tải, </t>
    </r>
    <r>
      <rPr>
        <b/>
        <sz val="11"/>
        <rFont val="Arial"/>
        <family val="2"/>
      </rPr>
      <t>G, [N]</t>
    </r>
  </si>
  <si>
    <r>
      <t xml:space="preserve">  G</t>
    </r>
    <r>
      <rPr>
        <b/>
        <vertAlign val="subscript"/>
        <sz val="11"/>
        <rFont val="Arial"/>
        <family val="2"/>
      </rPr>
      <t xml:space="preserve"> </t>
    </r>
    <r>
      <rPr>
        <b/>
        <sz val="11"/>
        <rFont val="Arial"/>
        <family val="2"/>
      </rPr>
      <t>=</t>
    </r>
  </si>
  <si>
    <r>
      <t xml:space="preserve"> Vận tốc lớn nhất của xe theo yêu cầu, </t>
    </r>
    <r>
      <rPr>
        <b/>
        <sz val="11"/>
        <rFont val="Arial"/>
        <family val="2"/>
      </rPr>
      <t>v</t>
    </r>
    <r>
      <rPr>
        <b/>
        <vertAlign val="subscript"/>
        <sz val="11"/>
        <rFont val="Arial"/>
        <family val="2"/>
      </rPr>
      <t>max</t>
    </r>
    <r>
      <rPr>
        <sz val="11"/>
        <rFont val="Arial"/>
        <family val="2"/>
      </rPr>
      <t>, [m/s]</t>
    </r>
  </si>
  <si>
    <r>
      <t xml:space="preserve">  v</t>
    </r>
    <r>
      <rPr>
        <b/>
        <vertAlign val="subscript"/>
        <sz val="11"/>
        <rFont val="Arial"/>
        <family val="2"/>
      </rPr>
      <t xml:space="preserve">max </t>
    </r>
    <r>
      <rPr>
        <b/>
        <sz val="11"/>
        <rFont val="Arial"/>
        <family val="2"/>
      </rPr>
      <t>=</t>
    </r>
  </si>
  <si>
    <r>
      <t xml:space="preserve"> Nhân tố khí động học, </t>
    </r>
    <r>
      <rPr>
        <b/>
        <sz val="11"/>
        <rFont val="Arial"/>
        <family val="2"/>
      </rPr>
      <t>W, [Ns</t>
    </r>
    <r>
      <rPr>
        <b/>
        <vertAlign val="superscript"/>
        <sz val="11"/>
        <rFont val="Arial"/>
        <family val="2"/>
      </rPr>
      <t>2</t>
    </r>
    <r>
      <rPr>
        <b/>
        <sz val="11"/>
        <rFont val="Arial"/>
        <family val="2"/>
      </rPr>
      <t>/m</t>
    </r>
    <r>
      <rPr>
        <b/>
        <vertAlign val="superscript"/>
        <sz val="11"/>
        <rFont val="Arial"/>
        <family val="2"/>
      </rPr>
      <t>2</t>
    </r>
    <r>
      <rPr>
        <b/>
        <sz val="11"/>
        <rFont val="Arial"/>
        <family val="2"/>
      </rPr>
      <t>]</t>
    </r>
  </si>
  <si>
    <t xml:space="preserve"> W =</t>
  </si>
  <si>
    <r>
      <t xml:space="preserve"> Xác định, </t>
    </r>
    <r>
      <rPr>
        <b/>
        <sz val="11"/>
        <rFont val="Arial"/>
        <family val="2"/>
      </rPr>
      <t>Nv</t>
    </r>
    <r>
      <rPr>
        <b/>
        <vertAlign val="subscript"/>
        <sz val="11"/>
        <rFont val="Arial"/>
        <family val="2"/>
      </rPr>
      <t>max</t>
    </r>
    <r>
      <rPr>
        <b/>
        <sz val="11"/>
        <rFont val="Arial"/>
        <family val="2"/>
      </rPr>
      <t xml:space="preserve"> =</t>
    </r>
  </si>
  <si>
    <r>
      <t>Công suất lớn nhất của động cơ, N</t>
    </r>
    <r>
      <rPr>
        <b/>
        <vertAlign val="subscript"/>
        <sz val="11"/>
        <rFont val="Arial"/>
        <family val="2"/>
      </rPr>
      <t>max</t>
    </r>
    <r>
      <rPr>
        <b/>
        <sz val="11"/>
        <rFont val="Arial"/>
        <family val="2"/>
      </rPr>
      <t>;</t>
    </r>
  </si>
  <si>
    <r>
      <t xml:space="preserve"> Công suất ứng (</t>
    </r>
    <r>
      <rPr>
        <b/>
        <sz val="11"/>
        <rFont val="Arial"/>
        <family val="2"/>
      </rPr>
      <t>N</t>
    </r>
    <r>
      <rPr>
        <b/>
        <vertAlign val="subscript"/>
        <sz val="11"/>
        <rFont val="Arial"/>
        <family val="2"/>
      </rPr>
      <t>e</t>
    </r>
    <r>
      <rPr>
        <sz val="11"/>
        <rFont val="Arial"/>
        <family val="2"/>
      </rPr>
      <t>) với từng số vòng (</t>
    </r>
    <r>
      <rPr>
        <b/>
        <sz val="11"/>
        <rFont val="Arial"/>
        <family val="2"/>
      </rPr>
      <t>n</t>
    </r>
    <r>
      <rPr>
        <b/>
        <vertAlign val="subscript"/>
        <sz val="11"/>
        <rFont val="Arial"/>
        <family val="2"/>
      </rPr>
      <t>e</t>
    </r>
    <r>
      <rPr>
        <sz val="11"/>
        <rFont val="Arial"/>
        <family val="2"/>
      </rPr>
      <t>) động cơ, tính theo công thức thực nghiệm S.R.Lay Decman:</t>
    </r>
  </si>
  <si>
    <r>
      <t xml:space="preserve">  N</t>
    </r>
    <r>
      <rPr>
        <vertAlign val="subscript"/>
        <sz val="11"/>
        <rFont val="Arial"/>
        <family val="2"/>
      </rPr>
      <t xml:space="preserve">e </t>
    </r>
    <r>
      <rPr>
        <sz val="11"/>
        <rFont val="Arial"/>
        <family val="2"/>
      </rPr>
      <t>= N</t>
    </r>
    <r>
      <rPr>
        <vertAlign val="subscript"/>
        <sz val="11"/>
        <rFont val="Arial"/>
        <family val="2"/>
      </rPr>
      <t>max</t>
    </r>
    <r>
      <rPr>
        <sz val="11"/>
        <rFont val="Arial"/>
        <family val="2"/>
      </rPr>
      <t xml:space="preserve"> [a.(n</t>
    </r>
    <r>
      <rPr>
        <vertAlign val="subscript"/>
        <sz val="11"/>
        <rFont val="Arial"/>
        <family val="2"/>
      </rPr>
      <t>e</t>
    </r>
    <r>
      <rPr>
        <sz val="11"/>
        <rFont val="Arial"/>
        <family val="2"/>
      </rPr>
      <t>/n</t>
    </r>
    <r>
      <rPr>
        <vertAlign val="subscript"/>
        <sz val="11"/>
        <rFont val="Arial"/>
        <family val="2"/>
      </rPr>
      <t>N</t>
    </r>
    <r>
      <rPr>
        <sz val="11"/>
        <rFont val="Arial"/>
        <family val="2"/>
      </rPr>
      <t>) + b.(n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e</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</si>
  <si>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từng số vòng quay động cơ, </t>
    </r>
    <r>
      <rPr>
        <b/>
        <sz val="11"/>
        <rFont val="Arial"/>
        <family val="2"/>
      </rPr>
      <t>N</t>
    </r>
    <r>
      <rPr>
        <b/>
        <vertAlign val="subscript"/>
        <sz val="11"/>
        <rFont val="Arial"/>
        <family val="2"/>
      </rPr>
      <t>e</t>
    </r>
    <r>
      <rPr>
        <sz val="11"/>
        <rFont val="Arial"/>
        <family val="2"/>
      </rPr>
      <t xml:space="preserve">; số vòng quay động cơ tương ứng, </t>
    </r>
    <r>
      <rPr>
        <b/>
        <sz val="11"/>
        <rFont val="Arial"/>
        <family val="2"/>
      </rPr>
      <t>n</t>
    </r>
    <r>
      <rPr>
        <b/>
        <vertAlign val="subscript"/>
        <sz val="11"/>
        <rFont val="Arial"/>
        <family val="2"/>
      </rPr>
      <t>e</t>
    </r>
    <r>
      <rPr>
        <sz val="11"/>
        <rFont val="Arial"/>
        <family val="2"/>
      </rPr>
      <t>;</t>
    </r>
  </si>
  <si>
    <r>
      <t xml:space="preserve">  Khi thay, </t>
    </r>
    <r>
      <rPr>
        <b/>
        <sz val="11"/>
        <rFont val="Arial"/>
        <family val="2"/>
      </rPr>
      <t>N</t>
    </r>
    <r>
      <rPr>
        <b/>
        <vertAlign val="subscript"/>
        <sz val="11"/>
        <rFont val="Arial"/>
        <family val="2"/>
      </rPr>
      <t>e</t>
    </r>
    <r>
      <rPr>
        <vertAlign val="subscript"/>
        <sz val="11"/>
        <rFont val="Arial"/>
        <family val="2"/>
      </rPr>
      <t xml:space="preserve"> </t>
    </r>
    <r>
      <rPr>
        <sz val="11"/>
        <rFont val="Symbol"/>
        <family val="1"/>
        <charset val="2"/>
      </rPr>
      <t>®</t>
    </r>
    <r>
      <rPr>
        <sz val="11"/>
        <rFont val="Arial"/>
        <family val="2"/>
      </rPr>
      <t xml:space="preserve"> </t>
    </r>
    <r>
      <rPr>
        <b/>
        <sz val="11"/>
        <rFont val="Arial"/>
        <family val="2"/>
      </rPr>
      <t>Nv</t>
    </r>
    <r>
      <rPr>
        <b/>
        <vertAlign val="subscript"/>
        <sz val="11"/>
        <rFont val="Arial"/>
        <family val="2"/>
      </rPr>
      <t>max</t>
    </r>
    <r>
      <rPr>
        <sz val="11"/>
        <rFont val="Arial"/>
        <family val="2"/>
      </rPr>
      <t>; tương ứng,</t>
    </r>
    <r>
      <rPr>
        <b/>
        <sz val="11"/>
        <rFont val="Arial"/>
        <family val="2"/>
      </rPr>
      <t xml:space="preserve"> n</t>
    </r>
    <r>
      <rPr>
        <b/>
        <vertAlign val="subscript"/>
        <sz val="11"/>
        <rFont val="Arial"/>
        <family val="2"/>
      </rPr>
      <t>e</t>
    </r>
    <r>
      <rPr>
        <b/>
        <sz val="11"/>
        <rFont val="Arial"/>
        <family val="2"/>
      </rPr>
      <t xml:space="preserve"> </t>
    </r>
    <r>
      <rPr>
        <sz val="11"/>
        <rFont val="Symbol"/>
        <family val="1"/>
        <charset val="2"/>
      </rPr>
      <t>®</t>
    </r>
    <r>
      <rPr>
        <b/>
        <sz val="11"/>
        <rFont val="Arial"/>
        <family val="2"/>
      </rPr>
      <t xml:space="preserve"> n</t>
    </r>
    <r>
      <rPr>
        <b/>
        <vertAlign val="subscript"/>
        <sz val="11"/>
        <rFont val="Arial"/>
        <family val="2"/>
      </rPr>
      <t>max</t>
    </r>
    <r>
      <rPr>
        <b/>
        <sz val="11"/>
        <rFont val="Arial"/>
        <family val="2"/>
      </rPr>
      <t xml:space="preserve">, </t>
    </r>
    <r>
      <rPr>
        <sz val="11"/>
        <rFont val="Arial"/>
        <family val="2"/>
      </rPr>
      <t>vào biểu thức, như sau:</t>
    </r>
  </si>
  <si>
    <r>
      <t xml:space="preserve"> hay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/[a.(n</t>
    </r>
    <r>
      <rPr>
        <vertAlign val="subscript"/>
        <sz val="11"/>
        <rFont val="Arial"/>
        <family val="2"/>
      </rPr>
      <t>max</t>
    </r>
    <r>
      <rPr>
        <sz val="11"/>
        <rFont val="Arial"/>
        <family val="2"/>
      </rPr>
      <t>/n</t>
    </r>
    <r>
      <rPr>
        <vertAlign val="subscript"/>
        <sz val="11"/>
        <rFont val="Arial"/>
        <family val="2"/>
      </rPr>
      <t>N</t>
    </r>
    <r>
      <rPr>
        <sz val="11"/>
        <rFont val="Arial"/>
        <family val="2"/>
      </rPr>
      <t>) + b.(n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2</t>
    </r>
    <r>
      <rPr>
        <sz val="11"/>
        <rFont val="Arial"/>
        <family val="2"/>
      </rPr>
      <t xml:space="preserve"> - c.(n</t>
    </r>
    <r>
      <rPr>
        <vertAlign val="subscript"/>
        <sz val="11"/>
        <rFont val="Arial"/>
        <family val="2"/>
      </rPr>
      <t>max</t>
    </r>
    <r>
      <rPr>
        <sz val="11"/>
        <rFont val="Arial"/>
        <family val="2"/>
      </rPr>
      <t>/n</t>
    </r>
    <r>
      <rPr>
        <vertAlign val="subscript"/>
        <sz val="11"/>
        <rFont val="Arial"/>
        <family val="2"/>
      </rPr>
      <t>N</t>
    </r>
    <r>
      <rPr>
        <sz val="11"/>
        <rFont val="Arial"/>
        <family val="2"/>
      </rPr>
      <t>)</t>
    </r>
    <r>
      <rPr>
        <vertAlign val="superscript"/>
        <sz val="11"/>
        <rFont val="Arial"/>
        <family val="2"/>
      </rPr>
      <t>3</t>
    </r>
    <r>
      <rPr>
        <sz val="11"/>
        <rFont val="Arial"/>
        <family val="2"/>
      </rPr>
      <t>]</t>
    </r>
  </si>
  <si>
    <r>
      <t xml:space="preserve"> Công suất ứng với v</t>
    </r>
    <r>
      <rPr>
        <vertAlign val="subscript"/>
        <sz val="11"/>
        <rFont val="Arial"/>
        <family val="2"/>
      </rPr>
      <t>max</t>
    </r>
    <r>
      <rPr>
        <sz val="11"/>
        <rFont val="Arial"/>
        <family val="2"/>
      </rPr>
      <t xml:space="preserve">, </t>
    </r>
    <r>
      <rPr>
        <b/>
        <sz val="11"/>
        <rFont val="Arial"/>
        <family val="2"/>
      </rPr>
      <t>Nv</t>
    </r>
    <r>
      <rPr>
        <b/>
        <vertAlign val="subscript"/>
        <sz val="11"/>
        <rFont val="Arial"/>
        <family val="2"/>
      </rPr>
      <t xml:space="preserve">max </t>
    </r>
    <r>
      <rPr>
        <sz val="11"/>
        <rFont val="Arial"/>
        <family val="2"/>
      </rPr>
      <t>=</t>
    </r>
  </si>
  <si>
    <r>
      <t xml:space="preserve">  Đặt, λ = n</t>
    </r>
    <r>
      <rPr>
        <vertAlign val="subscript"/>
        <sz val="11"/>
        <rFont val="Arial"/>
        <family val="2"/>
      </rPr>
      <t>max</t>
    </r>
    <r>
      <rPr>
        <sz val="11"/>
        <rFont val="Arial"/>
        <family val="2"/>
      </rPr>
      <t>/n</t>
    </r>
    <r>
      <rPr>
        <vertAlign val="subscript"/>
        <sz val="11"/>
        <rFont val="Arial"/>
        <family val="2"/>
      </rPr>
      <t>N</t>
    </r>
    <r>
      <rPr>
        <sz val="11"/>
        <rFont val="Arial"/>
        <family val="2"/>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</si>
  <si>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</si>
  <si>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</si>
  <si>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family val="2"/>
      </rPr>
      <t>max</t>
    </r>
    <r>
      <rPr>
        <b/>
        <sz val="11"/>
        <rFont val="Arial"/>
        <family val="2"/>
      </rPr>
      <t>/n</t>
    </r>
    <r>
      <rPr>
        <b/>
        <vertAlign val="subscript"/>
        <sz val="11"/>
        <rFont val="Arial"/>
        <family val="2"/>
      </rPr>
      <t>N</t>
    </r>
    <r>
      <rPr>
        <b/>
        <sz val="11"/>
        <rFont val="Arial"/>
        <family val="2"/>
      </rPr>
      <t xml:space="preserve">, = (1.1 </t>
    </r>
    <r>
      <rPr>
        <b/>
        <sz val="11"/>
        <rFont val="Times New Roman"/>
        <family val="1"/>
      </rPr>
      <t xml:space="preserve">÷ </t>
    </r>
    <r>
      <rPr>
        <b/>
        <sz val="11"/>
        <rFont val="Arial"/>
        <family val="2"/>
      </rPr>
      <t xml:space="preserve">1.3), chọn: </t>
    </r>
    <r>
      <rPr>
        <b/>
        <sz val="11"/>
        <rFont val="Calibri"/>
        <family val="2"/>
      </rPr>
      <t>λ</t>
    </r>
    <r>
      <rPr>
        <b/>
        <sz val="8.8000000000000007"/>
        <rFont val="Arial"/>
        <family val="2"/>
      </rPr>
      <t xml:space="preserve"> =</t>
    </r>
  </si>
  <si>
    <t xml:space="preserve">  Biểu thức trên được viết lại:</t>
  </si>
  <si>
    <r>
      <t xml:space="preserve">  N</t>
    </r>
    <r>
      <rPr>
        <vertAlign val="subscript"/>
        <sz val="11"/>
        <rFont val="Arial"/>
        <family val="2"/>
      </rPr>
      <t xml:space="preserve">max </t>
    </r>
    <r>
      <rPr>
        <sz val="11"/>
        <rFont val="Arial"/>
        <family val="2"/>
      </rPr>
      <t>= Nv</t>
    </r>
    <r>
      <rPr>
        <vertAlign val="subscript"/>
        <sz val="11"/>
        <rFont val="Arial"/>
        <family val="2"/>
      </rPr>
      <t>max</t>
    </r>
    <r>
      <rPr>
        <sz val="11"/>
        <rFont val="Arial"/>
        <family val="2"/>
      </rPr>
      <t>/[a.λ + b.λ</t>
    </r>
    <r>
      <rPr>
        <vertAlign val="superscript"/>
        <sz val="11"/>
        <rFont val="Arial"/>
        <family val="2"/>
      </rPr>
      <t>2</t>
    </r>
    <r>
      <rPr>
        <sz val="11"/>
        <rFont val="Arial"/>
        <family val="2"/>
      </rPr>
      <t xml:space="preserve"> - c.λ</t>
    </r>
    <r>
      <rPr>
        <vertAlign val="superscript"/>
        <sz val="11"/>
        <rFont val="Arial"/>
        <family val="2"/>
      </rPr>
      <t>3</t>
    </r>
    <r>
      <rPr>
        <sz val="11"/>
        <rFont val="Arial"/>
        <family val="2"/>
      </rPr>
      <t>]</t>
    </r>
  </si>
  <si>
    <t xml:space="preserve"> Với:</t>
  </si>
  <si>
    <r>
      <t xml:space="preserve"> Nv</t>
    </r>
    <r>
      <rPr>
        <b/>
        <vertAlign val="subscript"/>
        <sz val="11"/>
        <rFont val="Arial"/>
        <family val="2"/>
      </rPr>
      <t xml:space="preserve">max </t>
    </r>
    <r>
      <rPr>
        <b/>
        <sz val="11"/>
        <rFont val="Arial"/>
        <family val="2"/>
      </rPr>
      <t>=</t>
    </r>
  </si>
  <si>
    <r>
      <t xml:space="preserve"> </t>
    </r>
    <r>
      <rPr>
        <sz val="11"/>
        <rFont val="Arial"/>
        <family val="2"/>
      </rPr>
      <t xml:space="preserve">Thay giá trị các thông số vào biểu thức trên, nên: </t>
    </r>
    <r>
      <rPr>
        <b/>
        <sz val="11"/>
        <rFont val="Arial"/>
        <family val="2"/>
      </rPr>
      <t>N</t>
    </r>
    <r>
      <rPr>
        <b/>
        <vertAlign val="subscript"/>
        <sz val="11"/>
        <rFont val="Arial"/>
        <family val="2"/>
      </rPr>
      <t xml:space="preserve">max </t>
    </r>
    <r>
      <rPr>
        <b/>
        <sz val="11"/>
        <rFont val="Arial"/>
        <family val="2"/>
      </rPr>
      <t xml:space="preserve">= </t>
    </r>
  </si>
  <si>
    <t>Chọn:</t>
  </si>
  <si>
    <r>
      <t xml:space="preserve"> N</t>
    </r>
    <r>
      <rPr>
        <b/>
        <vertAlign val="subscript"/>
        <sz val="11"/>
        <rFont val="Arial"/>
        <family val="2"/>
      </rPr>
      <t xml:space="preserve">max </t>
    </r>
    <r>
      <rPr>
        <b/>
        <sz val="11"/>
        <rFont val="Arial"/>
        <family val="2"/>
      </rPr>
      <t xml:space="preserve">= </t>
    </r>
  </si>
  <si>
    <r>
      <t xml:space="preserve"> n</t>
    </r>
    <r>
      <rPr>
        <b/>
        <vertAlign val="subscript"/>
        <sz val="11"/>
        <rFont val="Arial"/>
        <family val="2"/>
      </rPr>
      <t xml:space="preserve">max </t>
    </r>
    <r>
      <rPr>
        <b/>
        <sz val="11"/>
        <rFont val="Arial"/>
        <family val="2"/>
      </rPr>
      <t xml:space="preserve">= </t>
    </r>
  </si>
  <si>
    <t>1.7.</t>
  </si>
  <si>
    <t>1.7.1.</t>
  </si>
  <si>
    <r>
      <t xml:space="preserve"> Xác định cụm tổng thành có "tỷ số truyền không thay đổi" được - (i</t>
    </r>
    <r>
      <rPr>
        <b/>
        <vertAlign val="subscript"/>
        <sz val="11"/>
        <rFont val="Arial"/>
        <family val="2"/>
      </rPr>
      <t>o</t>
    </r>
    <r>
      <rPr>
        <b/>
        <sz val="11"/>
        <rFont val="Arial"/>
        <family val="2"/>
      </rPr>
      <t>.i</t>
    </r>
    <r>
      <rPr>
        <b/>
        <vertAlign val="subscript"/>
        <sz val="11"/>
        <rFont val="Arial"/>
        <family val="2"/>
      </rPr>
      <t>cc</t>
    </r>
    <r>
      <rPr>
        <b/>
        <sz val="11"/>
        <rFont val="Arial"/>
        <family val="2"/>
      </rPr>
      <t>)</t>
    </r>
  </si>
  <si>
    <r>
      <t xml:space="preserve"> Để vận tốc của xe đạt lớn nhất (</t>
    </r>
    <r>
      <rPr>
        <b/>
        <sz val="11"/>
        <rFont val="Arial"/>
        <family val="2"/>
      </rPr>
      <t>v</t>
    </r>
    <r>
      <rPr>
        <b/>
        <vertAlign val="subscript"/>
        <sz val="11"/>
        <rFont val="Arial"/>
        <family val="2"/>
      </rPr>
      <t>max</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max</t>
    </r>
    <r>
      <rPr>
        <sz val="11"/>
        <rFont val="Arial"/>
        <family val="2"/>
      </rPr>
      <t>, [m/s] =</t>
    </r>
  </si>
  <si>
    <t xml:space="preserve"> Cần:</t>
  </si>
  <si>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max</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max</t>
    </r>
    <r>
      <rPr>
        <sz val="13"/>
        <rFont val="Times New Roman"/>
        <family val="1"/>
      </rPr>
      <t xml:space="preserve">, [v/p] </t>
    </r>
    <r>
      <rPr>
        <b/>
        <sz val="13"/>
        <rFont val="Times New Roman"/>
        <family val="1"/>
      </rPr>
      <t>=</t>
    </r>
  </si>
  <si>
    <r>
      <t xml:space="preserve"> - Tỷ số truyền ở hộp số chính phải nhỏ nhất, ứng với tay số cao nhất, i</t>
    </r>
    <r>
      <rPr>
        <vertAlign val="subscript"/>
        <sz val="13"/>
        <rFont val="Times New Roman"/>
        <family val="1"/>
      </rPr>
      <t xml:space="preserve">hi </t>
    </r>
    <r>
      <rPr>
        <sz val="13"/>
        <rFont val="Times New Roman"/>
        <family val="1"/>
      </rPr>
      <t>→</t>
    </r>
    <r>
      <rPr>
        <sz val="13"/>
        <rFont val="Times New Roman"/>
        <family val="1"/>
      </rPr>
      <t xml:space="preserve"> i</t>
    </r>
    <r>
      <rPr>
        <vertAlign val="subscript"/>
        <sz val="13"/>
        <rFont val="Times New Roman"/>
        <family val="1"/>
      </rPr>
      <t>hn</t>
    </r>
    <r>
      <rPr>
        <sz val="13"/>
        <rFont val="Times New Roman"/>
        <family val="1"/>
      </rPr>
      <t>, với i</t>
    </r>
    <r>
      <rPr>
        <vertAlign val="subscript"/>
        <sz val="13"/>
        <rFont val="Times New Roman"/>
        <family val="1"/>
      </rPr>
      <t>hn</t>
    </r>
    <r>
      <rPr>
        <sz val="13"/>
        <rFont val="Times New Roman"/>
        <family val="1"/>
      </rPr>
      <t xml:space="preserve"> </t>
    </r>
    <r>
      <rPr>
        <b/>
        <sz val="13"/>
        <rFont val="Times New Roman"/>
        <family val="1"/>
      </rPr>
      <t>chọn</t>
    </r>
    <r>
      <rPr>
        <sz val="13"/>
        <rFont val="Times New Roman"/>
        <family val="1"/>
      </rPr>
      <t xml:space="preserve"> là:</t>
    </r>
  </si>
  <si>
    <t>số truyền tăng, hay thẳng</t>
  </si>
  <si>
    <r>
      <t xml:space="preserve">   nên, i</t>
    </r>
    <r>
      <rPr>
        <vertAlign val="subscript"/>
        <sz val="13"/>
        <rFont val="Times New Roman"/>
        <family val="1"/>
      </rPr>
      <t>hn</t>
    </r>
    <r>
      <rPr>
        <sz val="13"/>
        <rFont val="Times New Roman"/>
        <family val="1"/>
      </rPr>
      <t xml:space="preserve"> thuộc khoảng [i</t>
    </r>
    <r>
      <rPr>
        <vertAlign val="subscript"/>
        <sz val="13"/>
        <rFont val="Times New Roman"/>
        <family val="1"/>
      </rPr>
      <t>hn</t>
    </r>
    <r>
      <rPr>
        <sz val="13"/>
        <rFont val="Times New Roman"/>
        <family val="1"/>
      </rPr>
      <t>] = (0.65 ÷ 0.85), chọn: i</t>
    </r>
    <r>
      <rPr>
        <vertAlign val="subscript"/>
        <sz val="13"/>
        <rFont val="Times New Roman"/>
        <family val="1"/>
      </rPr>
      <t>hn</t>
    </r>
    <r>
      <rPr>
        <sz val="13"/>
        <rFont val="Times New Roman"/>
        <family val="1"/>
      </rPr>
      <t xml:space="preserve"> = </t>
    </r>
  </si>
  <si>
    <r>
      <t xml:space="preserve"> - Tỷ số truyền ở hộp số phụ cũng phải nhỏ nhất, ứng với tỷ số truyền thấp nhất, i</t>
    </r>
    <r>
      <rPr>
        <vertAlign val="subscript"/>
        <sz val="13"/>
        <rFont val="Times New Roman"/>
        <family val="1"/>
      </rPr>
      <t xml:space="preserve">pj </t>
    </r>
    <r>
      <rPr>
        <sz val="13"/>
        <rFont val="Times New Roman"/>
        <family val="1"/>
      </rPr>
      <t>→</t>
    </r>
    <r>
      <rPr>
        <sz val="13"/>
        <rFont val="Times New Roman"/>
        <family val="1"/>
      </rPr>
      <t xml:space="preserve"> i</t>
    </r>
    <r>
      <rPr>
        <vertAlign val="subscript"/>
        <sz val="13"/>
        <rFont val="Times New Roman"/>
        <family val="1"/>
      </rPr>
      <t>pt</t>
    </r>
    <r>
      <rPr>
        <sz val="13"/>
        <rFont val="Times New Roman"/>
        <family val="1"/>
      </rPr>
      <t xml:space="preserve">, nên </t>
    </r>
    <r>
      <rPr>
        <b/>
        <sz val="13"/>
        <rFont val="Times New Roman"/>
        <family val="1"/>
      </rPr>
      <t xml:space="preserve">chọn, </t>
    </r>
    <r>
      <rPr>
        <sz val="13"/>
        <rFont val="Times New Roman"/>
        <family val="1"/>
      </rPr>
      <t>i</t>
    </r>
    <r>
      <rPr>
        <vertAlign val="subscript"/>
        <sz val="13"/>
        <rFont val="Times New Roman"/>
        <family val="1"/>
      </rPr>
      <t>pt</t>
    </r>
    <r>
      <rPr>
        <sz val="13"/>
        <rFont val="Times New Roman"/>
        <family val="1"/>
      </rPr>
      <t xml:space="preserve"> </t>
    </r>
    <r>
      <rPr>
        <sz val="13"/>
        <rFont val="Times New Roman"/>
        <family val="1"/>
      </rPr>
      <t>=</t>
    </r>
  </si>
  <si>
    <r>
      <t xml:space="preserve"> - Bán kính lăn của bánh xe, r</t>
    </r>
    <r>
      <rPr>
        <vertAlign val="subscript"/>
        <sz val="13"/>
        <rFont val="Times New Roman"/>
        <family val="1"/>
      </rPr>
      <t>o</t>
    </r>
    <r>
      <rPr>
        <sz val="13"/>
        <rFont val="Times New Roman"/>
        <family val="1"/>
      </rPr>
      <t xml:space="preserve"> = </t>
    </r>
  </si>
  <si>
    <r>
      <t xml:space="preserve"> Do đó, v</t>
    </r>
    <r>
      <rPr>
        <vertAlign val="subscript"/>
        <sz val="13"/>
        <rFont val="Times New Roman"/>
        <family val="1"/>
      </rPr>
      <t>max</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</si>
  <si>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giá trị tỷ số truyền của cụm có "tỷ số truyền không thay đổi" được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xác định bởi biểu thức:</t>
    </r>
  </si>
  <si>
    <r>
      <t xml:space="preserve">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max</t>
    </r>
    <r>
      <rPr>
        <sz val="13"/>
        <rFont val="Times New Roman"/>
        <family val="1"/>
      </rPr>
      <t>/((v</t>
    </r>
    <r>
      <rPr>
        <vertAlign val="subscript"/>
        <sz val="13"/>
        <rFont val="Times New Roman"/>
        <family val="1"/>
      </rPr>
      <t>max</t>
    </r>
    <r>
      <rPr>
        <sz val="13"/>
        <rFont val="Times New Roman"/>
        <family val="1"/>
      </rPr>
      <t>).(i</t>
    </r>
    <r>
      <rPr>
        <vertAlign val="subscript"/>
        <sz val="13"/>
        <rFont val="Times New Roman"/>
        <family val="1"/>
      </rPr>
      <t>hn</t>
    </r>
    <r>
      <rPr>
        <sz val="13"/>
        <rFont val="Times New Roman"/>
        <family val="1"/>
      </rPr>
      <t>.i</t>
    </r>
    <r>
      <rPr>
        <vertAlign val="subscript"/>
        <sz val="13"/>
        <rFont val="Times New Roman"/>
        <family val="1"/>
      </rPr>
      <t>pt</t>
    </r>
    <r>
      <rPr>
        <sz val="13"/>
        <rFont val="Times New Roman"/>
        <family val="1"/>
      </rPr>
      <t>))</t>
    </r>
  </si>
  <si>
    <r>
      <t xml:space="preserve"> Thay các giá trị vào biểu thức, có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t>
    </r>
  </si>
  <si>
    <t xml:space="preserve"> Với ô tô thuộc chủng loại:</t>
  </si>
  <si>
    <r>
      <t xml:space="preserve"> Nên, khoảng tỷ số truyền ở bộ truyền lực trung ương, thường khoảng [i</t>
    </r>
    <r>
      <rPr>
        <vertAlign val="subscript"/>
        <sz val="13"/>
        <rFont val="Times New Roman"/>
        <family val="1"/>
      </rPr>
      <t>o</t>
    </r>
    <r>
      <rPr>
        <sz val="13"/>
        <rFont val="Times New Roman"/>
        <family val="1"/>
      </rPr>
      <t>] =</t>
    </r>
  </si>
  <si>
    <r>
      <t xml:space="preserve"> So sánh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với khoảng [i</t>
    </r>
    <r>
      <rPr>
        <vertAlign val="subscript"/>
        <sz val="13"/>
        <rFont val="Times New Roman"/>
        <family val="1"/>
      </rPr>
      <t>o</t>
    </r>
    <r>
      <rPr>
        <sz val="13"/>
        <rFont val="Times New Roman"/>
        <family val="1"/>
      </rPr>
      <t>], cho thấy:</t>
    </r>
  </si>
  <si>
    <r>
      <t xml:space="preserve"> Do đó, với giá trị (i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 đã tính, không cần bộ truyền lực cuối cùng (i</t>
    </r>
    <r>
      <rPr>
        <vertAlign val="subscript"/>
        <sz val="13"/>
        <rFont val="Times New Roman"/>
        <family val="1"/>
      </rPr>
      <t>cc</t>
    </r>
    <r>
      <rPr>
        <sz val="13"/>
        <rFont val="Times New Roman"/>
        <family val="1"/>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</si>
  <si>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family val="1"/>
      </rPr>
      <t>o</t>
    </r>
    <r>
      <rPr>
        <sz val="13"/>
        <rFont val="Times New Roman"/>
        <family val="1"/>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</si>
  <si>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family val="1"/>
      </rPr>
      <t>o</t>
    </r>
    <r>
      <rPr>
        <sz val="13"/>
        <rFont val="Times New Roman"/>
        <family val="1"/>
      </rPr>
      <t xml:space="preserve"> = </t>
    </r>
  </si>
  <si>
    <t>1.7.2.</t>
  </si>
  <si>
    <r>
      <t xml:space="preserve"> b. Xác định cụm tổng thành có "tỷ số truyền thay đổi" được - (i</t>
    </r>
    <r>
      <rPr>
        <b/>
        <vertAlign val="subscript"/>
        <sz val="11"/>
        <rFont val="Arial"/>
        <family val="2"/>
      </rPr>
      <t>hi</t>
    </r>
    <r>
      <rPr>
        <b/>
        <sz val="11"/>
        <rFont val="Arial"/>
        <family val="2"/>
      </rPr>
      <t>.i</t>
    </r>
    <r>
      <rPr>
        <b/>
        <vertAlign val="subscript"/>
        <sz val="11"/>
        <rFont val="Arial"/>
        <family val="2"/>
      </rPr>
      <t>pj</t>
    </r>
    <r>
      <rPr>
        <b/>
        <sz val="11"/>
        <rFont val="Arial"/>
        <family val="2"/>
      </rPr>
      <t>)</t>
    </r>
  </si>
  <si>
    <r>
      <t xml:space="preserve"> Để vận tốc của xe đạt nhỏ nhất (</t>
    </r>
    <r>
      <rPr>
        <b/>
        <sz val="11"/>
        <rFont val="Arial"/>
        <family val="2"/>
      </rPr>
      <t>v</t>
    </r>
    <r>
      <rPr>
        <b/>
        <vertAlign val="subscript"/>
        <sz val="11"/>
        <rFont val="Arial"/>
        <family val="2"/>
      </rPr>
      <t>min</t>
    </r>
    <r>
      <rPr>
        <sz val="11"/>
        <rFont val="Arial"/>
        <family val="2"/>
      </rPr>
      <t>), tức v</t>
    </r>
    <r>
      <rPr>
        <vertAlign val="subscript"/>
        <sz val="11"/>
        <rFont val="Arial"/>
        <family val="2"/>
      </rPr>
      <t>eij</t>
    </r>
    <r>
      <rPr>
        <sz val="11"/>
        <rFont val="Arial"/>
        <family val="2"/>
      </rPr>
      <t xml:space="preserve"> </t>
    </r>
    <r>
      <rPr>
        <sz val="11"/>
        <rFont val="Times New Roman"/>
        <family val="1"/>
      </rPr>
      <t>→</t>
    </r>
    <r>
      <rPr>
        <sz val="13.2"/>
        <rFont val="Arial"/>
        <family val="2"/>
      </rPr>
      <t xml:space="preserve"> </t>
    </r>
    <r>
      <rPr>
        <sz val="11"/>
        <rFont val="Arial"/>
        <family val="2"/>
      </rPr>
      <t>v</t>
    </r>
    <r>
      <rPr>
        <vertAlign val="subscript"/>
        <sz val="11"/>
        <rFont val="Arial"/>
        <family val="2"/>
      </rPr>
      <t>min</t>
    </r>
    <r>
      <rPr>
        <sz val="11"/>
        <rFont val="Arial"/>
        <family val="2"/>
      </rPr>
      <t>, [m/s] =</t>
    </r>
  </si>
  <si>
    <r>
      <t xml:space="preserve"> - Số vòng quay động cơ, n</t>
    </r>
    <r>
      <rPr>
        <vertAlign val="subscript"/>
        <sz val="13"/>
        <rFont val="Times New Roman"/>
        <family val="1"/>
      </rPr>
      <t xml:space="preserve">e </t>
    </r>
    <r>
      <rPr>
        <sz val="13"/>
        <rFont val="Times New Roman"/>
        <family val="1"/>
      </rPr>
      <t>→</t>
    </r>
    <r>
      <rPr>
        <sz val="13"/>
        <rFont val="Times New Roman"/>
        <family val="1"/>
      </rPr>
      <t xml:space="preserve"> n</t>
    </r>
    <r>
      <rPr>
        <vertAlign val="subscript"/>
        <sz val="13"/>
        <rFont val="Times New Roman"/>
        <family val="1"/>
      </rPr>
      <t>min</t>
    </r>
    <r>
      <rPr>
        <sz val="13"/>
        <rFont val="Times New Roman"/>
        <family val="1"/>
      </rPr>
      <t>, và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[v/p] =</t>
    </r>
  </si>
  <si>
    <r>
      <t xml:space="preserve"> - Tỷ số truyền ở hộp số chính phải lớn nhất, ứng với tay số đầu tiên (số 1), i</t>
    </r>
    <r>
      <rPr>
        <vertAlign val="subscript"/>
        <sz val="13"/>
        <rFont val="Times New Roman"/>
        <family val="1"/>
      </rPr>
      <t>hi</t>
    </r>
    <r>
      <rPr>
        <sz val="13"/>
        <rFont val="Times New Roman"/>
        <family val="1"/>
      </rPr>
      <t>→</t>
    </r>
    <r>
      <rPr>
        <sz val="13"/>
        <rFont val="Times New Roman"/>
        <family val="1"/>
      </rPr>
      <t xml:space="preserve"> i</t>
    </r>
    <r>
      <rPr>
        <vertAlign val="subscript"/>
        <sz val="13"/>
        <rFont val="Times New Roman"/>
        <family val="1"/>
      </rPr>
      <t>h1</t>
    </r>
    <r>
      <rPr>
        <sz val="13"/>
        <rFont val="Times New Roman"/>
        <family val="1"/>
      </rPr>
      <t>,</t>
    </r>
  </si>
  <si>
    <r>
      <t xml:space="preserve"> - Tỷ số truyền ở hộp số phụ cũng phải lớn nhất, ứng với tỷ số truyền cao, i</t>
    </r>
    <r>
      <rPr>
        <vertAlign val="subscript"/>
        <sz val="13"/>
        <rFont val="Times New Roman"/>
        <family val="1"/>
      </rPr>
      <t>pj</t>
    </r>
    <r>
      <rPr>
        <sz val="13"/>
        <rFont val="Times New Roman"/>
        <family val="1"/>
      </rPr>
      <t>→</t>
    </r>
    <r>
      <rPr>
        <sz val="13"/>
        <rFont val="Times New Roman"/>
        <family val="1"/>
      </rPr>
      <t xml:space="preserve"> i</t>
    </r>
    <r>
      <rPr>
        <vertAlign val="subscript"/>
        <sz val="13"/>
        <rFont val="Times New Roman"/>
        <family val="1"/>
      </rPr>
      <t>pc</t>
    </r>
    <r>
      <rPr>
        <sz val="13"/>
        <rFont val="Times New Roman"/>
        <family val="1"/>
      </rPr>
      <t>,</t>
    </r>
  </si>
  <si>
    <r>
      <t xml:space="preserve"> Do đó, 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</si>
  <si>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Như vậy,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ứng với v</t>
    </r>
    <r>
      <rPr>
        <vertAlign val="subscript"/>
        <sz val="13"/>
        <rFont val="Times New Roman"/>
        <family val="1"/>
      </rPr>
      <t>min</t>
    </r>
    <r>
      <rPr>
        <sz val="13"/>
        <rFont val="Times New Roman"/>
        <family val="1"/>
      </rPr>
      <t xml:space="preserve"> được xác định bởi biểu thức:</t>
    </r>
  </si>
  <si>
    <r>
      <t xml:space="preserve">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o</t>
    </r>
    <r>
      <rPr>
        <sz val="13"/>
        <rFont val="Times New Roman"/>
        <family val="1"/>
      </rPr>
      <t>.i</t>
    </r>
    <r>
      <rPr>
        <vertAlign val="subscript"/>
        <sz val="13"/>
        <rFont val="Times New Roman"/>
        <family val="1"/>
      </rPr>
      <t>cc</t>
    </r>
    <r>
      <rPr>
        <sz val="13"/>
        <rFont val="Times New Roman"/>
        <family val="1"/>
      </rPr>
      <t>))</t>
    </r>
  </si>
  <si>
    <r>
      <t xml:space="preserve"> Thay các giá trị vào biểu thức, có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t>
    </r>
  </si>
  <si>
    <r>
      <t xml:space="preserve"> Nên, khoảng tỷ số truyền ở tay số 1, thường [i</t>
    </r>
    <r>
      <rPr>
        <vertAlign val="subscript"/>
        <sz val="13"/>
        <rFont val="Times New Roman"/>
        <family val="1"/>
      </rPr>
      <t>h1</t>
    </r>
    <r>
      <rPr>
        <sz val="13"/>
        <rFont val="Times New Roman"/>
        <family val="1"/>
      </rPr>
      <t>] =</t>
    </r>
  </si>
  <si>
    <r>
      <t xml:space="preserve"> So sánh giá trị (i</t>
    </r>
    <r>
      <rPr>
        <vertAlign val="subscript"/>
        <sz val="13"/>
        <rFont val="Times New Roman"/>
        <family val="1"/>
      </rPr>
      <t>h1</t>
    </r>
    <r>
      <rPr>
        <sz val="13"/>
        <rFont val="Times New Roman"/>
        <family val="1"/>
      </rPr>
      <t>.i</t>
    </r>
    <r>
      <rPr>
        <vertAlign val="subscript"/>
        <sz val="13"/>
        <rFont val="Times New Roman"/>
        <family val="1"/>
      </rPr>
      <t>pc</t>
    </r>
    <r>
      <rPr>
        <sz val="13"/>
        <rFont val="Times New Roman"/>
        <family val="1"/>
      </rPr>
      <t>) với khoảng [i</t>
    </r>
    <r>
      <rPr>
        <vertAlign val="subscript"/>
        <sz val="13"/>
        <rFont val="Times New Roman"/>
        <family val="1"/>
      </rPr>
      <t>h1</t>
    </r>
    <r>
      <rPr>
        <sz val="13"/>
        <rFont val="Times New Roman"/>
        <family val="1"/>
      </rPr>
      <t>], cho thấy:</t>
    </r>
  </si>
  <si>
    <r>
      <t xml:space="preserve"> Do đó, với giá trị của cụm "tỷ số truyền thay đổi" được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đã tính, không cần hộp số phụ (i</t>
    </r>
    <r>
      <rPr>
        <vertAlign val="subscript"/>
        <sz val="13"/>
        <rFont val="Times New Roman"/>
        <family val="1"/>
      </rPr>
      <t>pj</t>
    </r>
    <r>
      <rPr>
        <sz val="13"/>
        <rFont val="Times New Roman"/>
        <family val="1"/>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</si>
  <si>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family val="1"/>
      </rPr>
      <t>h1</t>
    </r>
    <r>
      <rPr>
        <sz val="13"/>
        <rFont val="Times New Roman"/>
        <family val="1"/>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</si>
  <si>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</si>
  <si>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</si>
  <si>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</si>
  <si>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</si>
  <si>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</si>
  <si>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</si>
  <si>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family val="2"/>
      </rPr>
      <t>họn q =</t>
    </r>
  </si>
  <si>
    <t xml:space="preserve"> + Số lượng tay số truyền trong hộp số chính</t>
  </si>
  <si>
    <t xml:space="preserve"> Số lượng tay số truyền trong hộp số chính – n – được xác định:</t>
  </si>
  <si>
    <r>
      <t xml:space="preserve"> </t>
    </r>
    <r>
      <rPr>
        <b/>
        <sz val="11"/>
        <rFont val="Arial"/>
        <family val="2"/>
      </rPr>
      <t>n</t>
    </r>
    <r>
      <rPr>
        <sz val="11"/>
        <rFont val="Arial"/>
        <family val="2"/>
      </rPr>
      <t xml:space="preserve"> = </t>
    </r>
    <r>
      <rPr>
        <sz val="11"/>
        <rFont val="Arial"/>
        <family val="2"/>
      </rPr>
      <t>log</t>
    </r>
    <r>
      <rPr>
        <vertAlign val="subscript"/>
        <sz val="11"/>
        <rFont val="Arial"/>
        <family val="2"/>
      </rPr>
      <t>q</t>
    </r>
    <r>
      <rPr>
        <sz val="11"/>
        <rFont val="Arial"/>
        <family val="2"/>
      </rPr>
      <t>(i</t>
    </r>
    <r>
      <rPr>
        <vertAlign val="subscript"/>
        <sz val="11"/>
        <rFont val="Arial"/>
        <family val="2"/>
      </rPr>
      <t>h1</t>
    </r>
    <r>
      <rPr>
        <sz val="11"/>
        <rFont val="Arial"/>
        <family val="2"/>
      </rPr>
      <t>/i</t>
    </r>
    <r>
      <rPr>
        <vertAlign val="subscript"/>
        <sz val="11"/>
        <rFont val="Arial"/>
        <family val="2"/>
      </rPr>
      <t>hn</t>
    </r>
    <r>
      <rPr>
        <sz val="11"/>
        <rFont val="Arial"/>
        <family val="2"/>
      </rPr>
      <t xml:space="preserve">) +1 = </t>
    </r>
  </si>
  <si>
    <t xml:space="preserve"> với: </t>
  </si>
  <si>
    <t xml:space="preserve">  Công bội theo cấp số nhân, q = </t>
  </si>
  <si>
    <r>
      <t xml:space="preserve">  Tỷ số truyền ở tay số </t>
    </r>
    <r>
      <rPr>
        <b/>
        <sz val="11"/>
        <rFont val="Arial"/>
        <family val="2"/>
      </rPr>
      <t>1</t>
    </r>
    <r>
      <rPr>
        <sz val="11"/>
        <rFont val="Arial"/>
        <family val="2"/>
      </rPr>
      <t xml:space="preserve">, </t>
    </r>
    <r>
      <rPr>
        <b/>
        <sz val="11"/>
        <rFont val="Arial"/>
        <family val="2"/>
      </rPr>
      <t>i</t>
    </r>
    <r>
      <rPr>
        <b/>
        <vertAlign val="subscript"/>
        <sz val="11"/>
        <rFont val="Arial"/>
        <family val="2"/>
      </rPr>
      <t>h1</t>
    </r>
    <r>
      <rPr>
        <sz val="11"/>
        <rFont val="Arial"/>
        <family val="2"/>
      </rPr>
      <t xml:space="preserve"> =</t>
    </r>
  </si>
  <si>
    <r>
      <t xml:space="preserve">  Tỷ số truyền ở tay số </t>
    </r>
    <r>
      <rPr>
        <b/>
        <sz val="11"/>
        <rFont val="Arial"/>
        <family val="2"/>
      </rPr>
      <t>n</t>
    </r>
    <r>
      <rPr>
        <sz val="11"/>
        <rFont val="Arial"/>
        <family val="2"/>
      </rPr>
      <t xml:space="preserve">, </t>
    </r>
    <r>
      <rPr>
        <b/>
        <sz val="11"/>
        <rFont val="Arial"/>
        <family val="2"/>
      </rPr>
      <t>i</t>
    </r>
    <r>
      <rPr>
        <b/>
        <vertAlign val="subscript"/>
        <sz val="11"/>
        <rFont val="Arial"/>
        <family val="2"/>
      </rPr>
      <t xml:space="preserve">hn </t>
    </r>
    <r>
      <rPr>
        <sz val="11"/>
        <rFont val="Arial"/>
        <family val="2"/>
      </rPr>
      <t>=</t>
    </r>
  </si>
  <si>
    <r>
      <t xml:space="preserve"> Nên, </t>
    </r>
    <r>
      <rPr>
        <b/>
        <sz val="11"/>
        <rFont val="Arial"/>
        <family val="2"/>
      </rPr>
      <t>n</t>
    </r>
    <r>
      <rPr>
        <sz val="11"/>
        <rFont val="Arial"/>
        <family val="2"/>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</si>
  <si>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</si>
  <si>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</si>
  <si>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</si>
  <si>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</si>
  <si>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</si>
  <si>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family val="2"/>
      </rPr>
      <t>2</t>
    </r>
    <r>
      <rPr>
        <sz val="11"/>
        <rFont val="Arial"/>
        <family val="2"/>
      </rPr>
      <t>, từ q = i</t>
    </r>
    <r>
      <rPr>
        <vertAlign val="subscript"/>
        <sz val="11"/>
        <rFont val="Arial"/>
        <family val="2"/>
      </rPr>
      <t>h1</t>
    </r>
    <r>
      <rPr>
        <sz val="11"/>
        <rFont val="Arial"/>
        <family val="2"/>
      </rPr>
      <t>/i</t>
    </r>
    <r>
      <rPr>
        <vertAlign val="subscript"/>
        <sz val="11"/>
        <rFont val="Arial"/>
        <family val="2"/>
      </rPr>
      <t>h2</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h2</t>
    </r>
    <r>
      <rPr>
        <sz val="11"/>
        <rFont val="Arial"/>
        <family val="2"/>
      </rPr>
      <t xml:space="preserve"> = i</t>
    </r>
    <r>
      <rPr>
        <vertAlign val="subscript"/>
        <sz val="11"/>
        <rFont val="Arial"/>
        <family val="2"/>
      </rPr>
      <t>h1</t>
    </r>
    <r>
      <rPr>
        <sz val="11"/>
        <rFont val="Arial"/>
        <family val="2"/>
      </rPr>
      <t>/q =</t>
    </r>
  </si>
  <si>
    <r>
      <t xml:space="preserve"> - Tỷ số truyền ở tay số </t>
    </r>
    <r>
      <rPr>
        <b/>
        <sz val="11"/>
        <rFont val="Arial"/>
        <family val="2"/>
      </rPr>
      <t>3</t>
    </r>
    <r>
      <rPr>
        <sz val="11"/>
        <rFont val="Arial"/>
        <family val="2"/>
      </rPr>
      <t>, từ q = i</t>
    </r>
    <r>
      <rPr>
        <vertAlign val="subscript"/>
        <sz val="11"/>
        <rFont val="Arial"/>
        <family val="2"/>
      </rPr>
      <t>h2</t>
    </r>
    <r>
      <rPr>
        <sz val="11"/>
        <rFont val="Arial"/>
        <family val="2"/>
      </rPr>
      <t>/i</t>
    </r>
    <r>
      <rPr>
        <vertAlign val="subscript"/>
        <sz val="11"/>
        <rFont val="Arial"/>
        <family val="2"/>
      </rPr>
      <t>h3</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h3</t>
    </r>
    <r>
      <rPr>
        <sz val="11"/>
        <rFont val="Arial"/>
        <family val="2"/>
      </rPr>
      <t xml:space="preserve"> = i</t>
    </r>
    <r>
      <rPr>
        <vertAlign val="subscript"/>
        <sz val="11"/>
        <rFont val="Arial"/>
        <family val="2"/>
      </rPr>
      <t>h2</t>
    </r>
    <r>
      <rPr>
        <sz val="11"/>
        <rFont val="Arial"/>
        <family val="2"/>
      </rPr>
      <t>/q =</t>
    </r>
  </si>
  <si>
    <r>
      <t xml:space="preserve"> - Tỷ số truyền ở tay số </t>
    </r>
    <r>
      <rPr>
        <b/>
        <sz val="11"/>
        <rFont val="Arial"/>
        <family val="2"/>
      </rPr>
      <t>4</t>
    </r>
    <r>
      <rPr>
        <sz val="11"/>
        <rFont val="Arial"/>
        <family val="2"/>
      </rPr>
      <t>, từ q = i</t>
    </r>
    <r>
      <rPr>
        <vertAlign val="subscript"/>
        <sz val="11"/>
        <rFont val="Arial"/>
        <family val="2"/>
      </rPr>
      <t>h3</t>
    </r>
    <r>
      <rPr>
        <sz val="11"/>
        <rFont val="Arial"/>
        <family val="2"/>
      </rPr>
      <t>/i</t>
    </r>
    <r>
      <rPr>
        <vertAlign val="subscript"/>
        <sz val="11"/>
        <rFont val="Arial"/>
        <family val="2"/>
      </rPr>
      <t>h4</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h4</t>
    </r>
    <r>
      <rPr>
        <sz val="11"/>
        <rFont val="Arial"/>
        <family val="2"/>
      </rPr>
      <t xml:space="preserve"> = i</t>
    </r>
    <r>
      <rPr>
        <vertAlign val="subscript"/>
        <sz val="11"/>
        <rFont val="Arial"/>
        <family val="2"/>
      </rPr>
      <t>h3</t>
    </r>
    <r>
      <rPr>
        <sz val="11"/>
        <rFont val="Arial"/>
        <family val="2"/>
      </rPr>
      <t>/q =</t>
    </r>
  </si>
  <si>
    <r>
      <t xml:space="preserve"> Chọn, </t>
    </r>
    <r>
      <rPr>
        <sz val="11"/>
        <rFont val="Arial"/>
        <family val="2"/>
      </rPr>
      <t>i</t>
    </r>
    <r>
      <rPr>
        <vertAlign val="subscript"/>
        <sz val="11"/>
        <rFont val="Arial"/>
        <family val="2"/>
      </rPr>
      <t>h4</t>
    </r>
    <r>
      <rPr>
        <sz val="11"/>
        <rFont val="Arial"/>
        <family val="2"/>
      </rPr>
      <t xml:space="preserve"> = </t>
    </r>
  </si>
  <si>
    <r>
      <t xml:space="preserve"> - Tỷ số truyền ở tay số </t>
    </r>
    <r>
      <rPr>
        <b/>
        <sz val="11"/>
        <rFont val="Arial"/>
        <family val="2"/>
      </rPr>
      <t>5</t>
    </r>
    <r>
      <rPr>
        <sz val="11"/>
        <rFont val="Arial"/>
        <family val="2"/>
      </rPr>
      <t>, từ q = i</t>
    </r>
    <r>
      <rPr>
        <vertAlign val="subscript"/>
        <sz val="11"/>
        <rFont val="Arial"/>
        <family val="2"/>
      </rPr>
      <t>h4</t>
    </r>
    <r>
      <rPr>
        <sz val="11"/>
        <rFont val="Arial"/>
        <family val="2"/>
      </rPr>
      <t>/i</t>
    </r>
    <r>
      <rPr>
        <vertAlign val="subscript"/>
        <sz val="11"/>
        <rFont val="Arial"/>
        <family val="2"/>
      </rPr>
      <t>h5</t>
    </r>
    <r>
      <rPr>
        <sz val="11"/>
        <rFont val="Arial"/>
        <family val="2"/>
      </rPr>
      <t xml:space="preserve">; </t>
    </r>
    <r>
      <rPr>
        <sz val="11"/>
        <rFont val="Symbol"/>
        <family val="1"/>
        <charset val="2"/>
      </rPr>
      <t>®</t>
    </r>
    <r>
      <rPr>
        <sz val="13.2"/>
        <rFont val="Arial"/>
        <family val="2"/>
      </rPr>
      <t xml:space="preserve"> </t>
    </r>
    <r>
      <rPr>
        <sz val="11"/>
        <rFont val="Arial"/>
        <family val="2"/>
      </rPr>
      <t>i</t>
    </r>
    <r>
      <rPr>
        <vertAlign val="subscript"/>
        <sz val="11"/>
        <rFont val="Arial"/>
        <family val="2"/>
      </rPr>
      <t>h5</t>
    </r>
    <r>
      <rPr>
        <sz val="11"/>
        <rFont val="Arial"/>
        <family val="2"/>
      </rPr>
      <t xml:space="preserve"> = i</t>
    </r>
    <r>
      <rPr>
        <vertAlign val="subscript"/>
        <sz val="11"/>
        <rFont val="Arial"/>
        <family val="2"/>
      </rPr>
      <t>h4</t>
    </r>
    <r>
      <rPr>
        <sz val="11"/>
        <rFont val="Arial"/>
        <family val="2"/>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</si>
  <si>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</si>
  <si>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</si>
  <si>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</si>
  <si>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</si>
  <si>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</si>
  <si>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family val="2"/>
      </rPr>
      <t>hn</t>
    </r>
    <r>
      <rPr>
        <sz val="11"/>
        <rFont val="Arial"/>
        <family val="2"/>
      </rPr>
      <t xml:space="preserve"> = 1, n được xác định theo biểu thức sau:</t>
    </r>
  </si>
  <si>
    <r>
      <t xml:space="preserve"> n = (i</t>
    </r>
    <r>
      <rPr>
        <vertAlign val="subscript"/>
        <sz val="11"/>
        <rFont val="Arial"/>
        <family val="2"/>
      </rPr>
      <t>h1</t>
    </r>
    <r>
      <rPr>
        <sz val="11"/>
        <rFont val="Arial"/>
        <family val="2"/>
      </rPr>
      <t xml:space="preserve"> -1)/a.i</t>
    </r>
    <r>
      <rPr>
        <vertAlign val="subscript"/>
        <sz val="11"/>
        <rFont val="Arial"/>
        <family val="2"/>
      </rPr>
      <t>h1</t>
    </r>
    <r>
      <rPr>
        <sz val="11"/>
        <rFont val="Arial"/>
        <family val="2"/>
      </rPr>
      <t xml:space="preserve"> + 1 =</t>
    </r>
  </si>
  <si>
    <t xml:space="preserve">  Hằng số điều hòa, a =</t>
  </si>
  <si>
    <r>
      <t xml:space="preserve"> - Tỷ số truyền ở tay số 2, i</t>
    </r>
    <r>
      <rPr>
        <vertAlign val="subscript"/>
        <sz val="11"/>
        <rFont val="Arial"/>
        <family val="2"/>
      </rPr>
      <t>h2</t>
    </r>
    <r>
      <rPr>
        <sz val="11"/>
        <rFont val="Arial"/>
        <family val="2"/>
      </rPr>
      <t xml:space="preserve"> = i</t>
    </r>
    <r>
      <rPr>
        <vertAlign val="subscript"/>
        <sz val="11"/>
        <rFont val="Arial"/>
        <family val="2"/>
      </rPr>
      <t>h1</t>
    </r>
    <r>
      <rPr>
        <sz val="11"/>
        <rFont val="Arial"/>
        <family val="2"/>
      </rPr>
      <t>/(1+a.i</t>
    </r>
    <r>
      <rPr>
        <vertAlign val="subscript"/>
        <sz val="11"/>
        <rFont val="Arial"/>
        <family val="2"/>
      </rPr>
      <t>h1</t>
    </r>
    <r>
      <rPr>
        <sz val="11"/>
        <rFont val="Arial"/>
        <family val="2"/>
      </rPr>
      <t>) =</t>
    </r>
  </si>
  <si>
    <r>
      <t xml:space="preserve"> - Tỷ số truyền ở tay số 3, i</t>
    </r>
    <r>
      <rPr>
        <vertAlign val="subscript"/>
        <sz val="11"/>
        <rFont val="Arial"/>
        <family val="2"/>
      </rPr>
      <t xml:space="preserve">h3 </t>
    </r>
    <r>
      <rPr>
        <sz val="11"/>
        <rFont val="Arial"/>
        <family val="2"/>
      </rPr>
      <t>= i</t>
    </r>
    <r>
      <rPr>
        <vertAlign val="subscript"/>
        <sz val="11"/>
        <rFont val="Arial"/>
        <family val="2"/>
      </rPr>
      <t>h1</t>
    </r>
    <r>
      <rPr>
        <sz val="11"/>
        <rFont val="Arial"/>
        <family val="2"/>
      </rPr>
      <t>/(1+2.a.i</t>
    </r>
    <r>
      <rPr>
        <vertAlign val="subscript"/>
        <sz val="11"/>
        <rFont val="Arial"/>
        <family val="2"/>
      </rPr>
      <t>h1</t>
    </r>
    <r>
      <rPr>
        <sz val="11"/>
        <rFont val="Arial"/>
        <family val="2"/>
      </rPr>
      <t>)</t>
    </r>
  </si>
  <si>
    <r>
      <t xml:space="preserve"> - Tỷ số truyền ở tay số 4, i</t>
    </r>
    <r>
      <rPr>
        <vertAlign val="subscript"/>
        <sz val="11"/>
        <rFont val="Arial"/>
        <family val="2"/>
      </rPr>
      <t xml:space="preserve">h4 </t>
    </r>
    <r>
      <rPr>
        <sz val="11"/>
        <rFont val="Arial"/>
        <family val="2"/>
      </rPr>
      <t>= i</t>
    </r>
    <r>
      <rPr>
        <vertAlign val="subscript"/>
        <sz val="11"/>
        <rFont val="Arial"/>
        <family val="2"/>
      </rPr>
      <t>h1</t>
    </r>
    <r>
      <rPr>
        <sz val="11"/>
        <rFont val="Arial"/>
        <family val="2"/>
      </rPr>
      <t>/(1+3.a.i</t>
    </r>
    <r>
      <rPr>
        <vertAlign val="subscript"/>
        <sz val="11"/>
        <rFont val="Arial"/>
        <family val="2"/>
      </rPr>
      <t>h1</t>
    </r>
    <r>
      <rPr>
        <sz val="11"/>
        <rFont val="Arial"/>
        <family val="2"/>
      </rPr>
      <t>)</t>
    </r>
  </si>
  <si>
    <t>1.7.4.</t>
  </si>
  <si>
    <r>
      <t xml:space="preserve"> Tỷ số truyền số lùi (i</t>
    </r>
    <r>
      <rPr>
        <vertAlign val="subscript"/>
        <sz val="11"/>
        <rFont val="Arial"/>
        <family val="2"/>
      </rPr>
      <t>lui</t>
    </r>
    <r>
      <rPr>
        <sz val="11"/>
        <rFont val="Arial"/>
        <family val="2"/>
      </rPr>
      <t>), thường thuộc khoảng: [i</t>
    </r>
    <r>
      <rPr>
        <vertAlign val="subscript"/>
        <sz val="11"/>
        <rFont val="Arial"/>
        <family val="2"/>
      </rPr>
      <t>lui</t>
    </r>
    <r>
      <rPr>
        <sz val="11"/>
        <rFont val="Arial"/>
        <family val="2"/>
      </rPr>
      <t>] = (1.2 ÷ 1.3).i</t>
    </r>
    <r>
      <rPr>
        <vertAlign val="subscript"/>
        <sz val="11"/>
        <rFont val="Arial"/>
        <family val="2"/>
      </rPr>
      <t>h1</t>
    </r>
  </si>
  <si>
    <r>
      <t xml:space="preserve"> Chọn: i</t>
    </r>
    <r>
      <rPr>
        <vertAlign val="subscript"/>
        <sz val="11"/>
        <rFont val="Arial"/>
        <family val="2"/>
      </rPr>
      <t>hlui</t>
    </r>
    <r>
      <rPr>
        <sz val="11"/>
        <rFont val="Arial"/>
        <family val="2"/>
      </rPr>
      <t xml:space="preserve"> =</t>
    </r>
  </si>
  <si>
    <r>
      <t>Є (0 ÷ 0).i</t>
    </r>
    <r>
      <rPr>
        <vertAlign val="subscript"/>
        <sz val="11"/>
        <rFont val="Arial"/>
        <family val="2"/>
      </rPr>
      <t>h1</t>
    </r>
  </si>
  <si>
    <r>
      <t xml:space="preserve"> Với, i</t>
    </r>
    <r>
      <rPr>
        <vertAlign val="subscript"/>
        <sz val="11"/>
        <rFont val="Arial"/>
        <family val="2"/>
      </rPr>
      <t>h1</t>
    </r>
    <r>
      <rPr>
        <sz val="11"/>
        <rFont val="Arial"/>
        <family val="2"/>
      </rPr>
      <t xml:space="preserve"> =</t>
    </r>
  </si>
  <si>
    <r>
      <t xml:space="preserve"> Nên, i</t>
    </r>
    <r>
      <rPr>
        <vertAlign val="subscript"/>
        <sz val="11"/>
        <rFont val="Arial"/>
        <family val="2"/>
      </rPr>
      <t>hlui</t>
    </r>
    <r>
      <rPr>
        <sz val="11"/>
        <rFont val="Arial"/>
        <family val="2"/>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</si>
  <si>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</si>
  <si>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</si>
  <si>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</si>
  <si>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https://chothuexedulich.org/kich-thuoc-xe-hoi/</t>
  </si>
  <si>
    <t>Hyundai 
Solati -16c</t>
  </si>
  <si>
    <t>Mercedes 
Sprinter - 16c</t>
  </si>
  <si>
    <t>Ford 
Transit
- 16c</t>
  </si>
  <si>
    <t>Toyota 
Hiace -
16c</t>
  </si>
  <si>
    <t>16c</t>
  </si>
  <si>
    <t xml:space="preserve">Hyundai
County - 29c </t>
  </si>
  <si>
    <t>Universe
Global - 29c</t>
  </si>
  <si>
    <t>Thaco
TB79
29c</t>
  </si>
  <si>
    <t>Samco
Felix
- 29c</t>
  </si>
  <si>
    <t>29c</t>
  </si>
  <si>
    <t>Hyundai 
Universe 
Advanced 
47c</t>
  </si>
  <si>
    <t>Thaco
Bluesky
45c</t>
  </si>
  <si>
    <t>giường nằm
 Thaco
Mobihome
TB120SL</t>
  </si>
  <si>
    <t>EVONEXT GT MERCEDES BEN 
- OH 1526</t>
  </si>
  <si>
    <t>EVONEXT GT SCANIA K SERIES</t>
  </si>
  <si>
    <t>NEW ARISTO 
SCANIA K SERIES</t>
  </si>
  <si>
    <t>NEW ARISTO MERCEDES BEN 
- OH 1526</t>
  </si>
  <si>
    <t>EVONEXT GT 
HINO R.260</t>
  </si>
  <si>
    <t>NEW ARISTO 
HINO R.260</t>
  </si>
  <si>
    <t>SEDAN</t>
  </si>
  <si>
    <t>kerb weight</t>
  </si>
  <si>
    <t xml:space="preserve">; …; </t>
  </si>
  <si>
    <r>
      <rPr>
        <sz val="11"/>
        <rFont val="Arial"/>
        <family val="2"/>
        <scheme val="minor"/>
      </rPr>
      <t xml:space="preserve">3110 </t>
    </r>
    <r>
      <rPr>
        <sz val="11"/>
        <rFont val="Symbol"/>
        <family val="1"/>
        <charset val="2"/>
      </rPr>
      <t>¸</t>
    </r>
    <r>
      <rPr>
        <sz val="11"/>
        <rFont val="Calibri"/>
        <family val="2"/>
      </rPr>
      <t xml:space="preserve"> 3750</t>
    </r>
  </si>
  <si>
    <t>…</t>
  </si>
  <si>
    <r>
      <rPr>
        <sz val="11"/>
        <rFont val="Arial"/>
        <family val="2"/>
        <scheme val="minor"/>
      </rPr>
      <t xml:space="preserve">3800 </t>
    </r>
    <r>
      <rPr>
        <sz val="11"/>
        <rFont val="Symbol"/>
        <family val="1"/>
        <charset val="2"/>
      </rPr>
      <t>¸</t>
    </r>
    <r>
      <rPr>
        <sz val="11"/>
        <rFont val="Calibri"/>
        <family val="2"/>
      </rPr>
      <t xml:space="preserve"> 4300</t>
    </r>
  </si>
  <si>
    <r>
      <rPr>
        <sz val="11"/>
        <rFont val="Arial"/>
        <family val="2"/>
        <scheme val="minor"/>
      </rPr>
      <t xml:space="preserve">6120 </t>
    </r>
    <r>
      <rPr>
        <sz val="11"/>
        <rFont val="Symbol"/>
        <family val="1"/>
        <charset val="2"/>
      </rPr>
      <t>¸</t>
    </r>
    <r>
      <rPr>
        <sz val="11"/>
        <rFont val="Calibri"/>
        <family val="2"/>
      </rPr>
      <t xml:space="preserve"> 6150</t>
    </r>
  </si>
  <si>
    <r>
      <rPr>
        <sz val="11"/>
        <color theme="1"/>
        <rFont val="Arial"/>
        <family val="2"/>
        <scheme val="minor"/>
      </rPr>
      <t xml:space="preserve">5950 </t>
    </r>
    <r>
      <rPr>
        <sz val="11"/>
        <color theme="1"/>
        <rFont val="Symbol"/>
        <family val="1"/>
        <charset val="2"/>
      </rPr>
      <t>¸</t>
    </r>
    <r>
      <rPr>
        <sz val="11"/>
        <color theme="1"/>
        <rFont val="Arial"/>
        <family val="2"/>
        <scheme val="minor"/>
      </rPr>
      <t xml:space="preserve"> 6000</t>
    </r>
  </si>
  <si>
    <r>
      <rPr>
        <sz val="11"/>
        <rFont val="Arial"/>
        <family val="2"/>
        <scheme val="minor"/>
      </rPr>
      <t xml:space="preserve">5380 </t>
    </r>
    <r>
      <rPr>
        <sz val="11"/>
        <rFont val="Symbol"/>
        <family val="1"/>
        <charset val="2"/>
      </rPr>
      <t>¸</t>
    </r>
    <r>
      <rPr>
        <sz val="11"/>
        <rFont val="Calibri"/>
        <family val="2"/>
      </rPr>
      <t xml:space="preserve"> 6195</t>
    </r>
  </si>
  <si>
    <r>
      <rPr>
        <sz val="11"/>
        <rFont val="Arial"/>
        <family val="2"/>
        <scheme val="minor"/>
      </rPr>
      <t xml:space="preserve">7590 </t>
    </r>
    <r>
      <rPr>
        <sz val="11"/>
        <rFont val="Symbol"/>
        <family val="1"/>
        <charset val="2"/>
      </rPr>
      <t>¸</t>
    </r>
    <r>
      <rPr>
        <sz val="11"/>
        <rFont val="Calibri"/>
        <family val="2"/>
      </rPr>
      <t xml:space="preserve"> 9100</t>
    </r>
  </si>
  <si>
    <r>
      <rPr>
        <sz val="11"/>
        <rFont val="Arial"/>
        <family val="2"/>
        <scheme val="minor"/>
      </rPr>
      <t xml:space="preserve">12040 </t>
    </r>
    <r>
      <rPr>
        <sz val="11"/>
        <rFont val="Symbol"/>
        <family val="1"/>
        <charset val="2"/>
      </rPr>
      <t>¸</t>
    </r>
    <r>
      <rPr>
        <sz val="11"/>
        <rFont val="Calibri"/>
        <family val="2"/>
      </rPr>
      <t xml:space="preserve"> 12180</t>
    </r>
  </si>
  <si>
    <r>
      <rPr>
        <sz val="11"/>
        <color theme="1"/>
        <rFont val="Arial"/>
        <family val="2"/>
        <scheme val="minor"/>
      </rPr>
      <t xml:space="preserve">11900 </t>
    </r>
    <r>
      <rPr>
        <sz val="11"/>
        <color theme="1"/>
        <rFont val="Symbol"/>
        <family val="1"/>
        <charset val="2"/>
      </rPr>
      <t>¸</t>
    </r>
    <r>
      <rPr>
        <sz val="11"/>
        <color theme="1"/>
        <rFont val="Arial"/>
        <family val="2"/>
        <scheme val="minor"/>
      </rPr>
      <t xml:space="preserve"> 12000</t>
    </r>
  </si>
  <si>
    <t>Wo</t>
  </si>
  <si>
    <t>(2129; 1978; 1921)</t>
  </si>
  <si>
    <t>(2088; 1933; 1849)</t>
  </si>
  <si>
    <r>
      <rPr>
        <sz val="11"/>
        <rFont val="Arial"/>
        <family val="2"/>
        <scheme val="minor"/>
      </rPr>
      <t xml:space="preserve">1880 </t>
    </r>
    <r>
      <rPr>
        <sz val="11"/>
        <rFont val="Symbol"/>
        <family val="1"/>
        <charset val="2"/>
      </rPr>
      <t>¸</t>
    </r>
    <r>
      <rPr>
        <sz val="11"/>
        <rFont val="Calibri"/>
        <family val="2"/>
      </rPr>
      <t xml:space="preserve"> 2038</t>
    </r>
  </si>
  <si>
    <r>
      <rPr>
        <sz val="11"/>
        <rFont val="Arial"/>
        <family val="2"/>
        <scheme val="minor"/>
      </rPr>
      <t xml:space="preserve">2035 </t>
    </r>
    <r>
      <rPr>
        <sz val="11"/>
        <rFont val="Symbol"/>
        <family val="1"/>
        <charset val="2"/>
      </rPr>
      <t>¸</t>
    </r>
    <r>
      <rPr>
        <sz val="11"/>
        <rFont val="Calibri"/>
        <family val="2"/>
      </rPr>
      <t xml:space="preserve"> 2440</t>
    </r>
  </si>
  <si>
    <r>
      <rPr>
        <sz val="11"/>
        <rFont val="Arial"/>
        <family val="2"/>
        <scheme val="minor"/>
      </rPr>
      <t xml:space="preserve">2495 </t>
    </r>
    <r>
      <rPr>
        <sz val="11"/>
        <rFont val="Symbol"/>
        <family val="1"/>
        <charset val="2"/>
      </rPr>
      <t>¸</t>
    </r>
    <r>
      <rPr>
        <sz val="11"/>
        <rFont val="Calibri"/>
        <family val="2"/>
      </rPr>
      <t xml:space="preserve"> 2500</t>
    </r>
  </si>
  <si>
    <r>
      <rPr>
        <sz val="11"/>
        <color theme="1"/>
        <rFont val="Arial"/>
        <family val="2"/>
        <scheme val="minor"/>
      </rPr>
      <t xml:space="preserve">2500 </t>
    </r>
    <r>
      <rPr>
        <sz val="11"/>
        <color theme="1"/>
        <rFont val="Symbol"/>
        <family val="1"/>
        <charset val="2"/>
      </rPr>
      <t>¸</t>
    </r>
    <r>
      <rPr>
        <sz val="11"/>
        <color theme="1"/>
        <rFont val="Arial"/>
        <family val="2"/>
        <scheme val="minor"/>
      </rPr>
      <t xml:space="preserve"> 2500</t>
    </r>
  </si>
  <si>
    <t>1560 (F); 1564 (R)</t>
  </si>
  <si>
    <t>1586 (F); 1576 (R)</t>
  </si>
  <si>
    <t>1580 (F); 1550 (R)</t>
  </si>
  <si>
    <t>1961/1882</t>
  </si>
  <si>
    <t>2040/1840</t>
  </si>
  <si>
    <t>2040 (F); 1840 (R)</t>
  </si>
  <si>
    <r>
      <rPr>
        <sz val="11"/>
        <color theme="1"/>
        <rFont val="Arial"/>
        <family val="2"/>
        <scheme val="minor"/>
      </rPr>
      <t xml:space="preserve">1961 </t>
    </r>
    <r>
      <rPr>
        <sz val="11"/>
        <color theme="1"/>
        <rFont val="Symbol"/>
        <family val="1"/>
        <charset val="2"/>
      </rPr>
      <t>¸</t>
    </r>
    <r>
      <rPr>
        <sz val="11"/>
        <color theme="1"/>
        <rFont val="Arial"/>
        <family val="2"/>
        <scheme val="minor"/>
      </rPr>
      <t xml:space="preserve"> 2040</t>
    </r>
  </si>
  <si>
    <t>Ho</t>
  </si>
  <si>
    <t>(1636; 1646; 1656)</t>
  </si>
  <si>
    <t>…365</t>
  </si>
  <si>
    <r>
      <rPr>
        <sz val="11"/>
        <rFont val="Arial"/>
        <family val="2"/>
        <scheme val="minor"/>
      </rPr>
      <t xml:space="preserve">2285 </t>
    </r>
    <r>
      <rPr>
        <sz val="11"/>
        <rFont val="Symbol"/>
        <family val="1"/>
        <charset val="2"/>
      </rPr>
      <t>¸</t>
    </r>
    <r>
      <rPr>
        <sz val="11"/>
        <rFont val="Calibri"/>
        <family val="2"/>
      </rPr>
      <t xml:space="preserve"> 2760</t>
    </r>
  </si>
  <si>
    <r>
      <rPr>
        <sz val="11"/>
        <rFont val="Arial"/>
        <family val="2"/>
        <scheme val="minor"/>
      </rPr>
      <t xml:space="preserve">2755 </t>
    </r>
    <r>
      <rPr>
        <sz val="11"/>
        <rFont val="Symbol"/>
        <family val="1"/>
        <charset val="2"/>
      </rPr>
      <t>¸</t>
    </r>
    <r>
      <rPr>
        <sz val="11"/>
        <rFont val="Calibri"/>
        <family val="2"/>
      </rPr>
      <t xml:space="preserve"> 3350</t>
    </r>
  </si>
  <si>
    <r>
      <rPr>
        <sz val="11"/>
        <rFont val="Arial"/>
        <family val="2"/>
        <scheme val="minor"/>
      </rPr>
      <t xml:space="preserve">3490 </t>
    </r>
    <r>
      <rPr>
        <sz val="11"/>
        <rFont val="Symbol"/>
        <family val="1"/>
        <charset val="2"/>
      </rPr>
      <t>¸</t>
    </r>
    <r>
      <rPr>
        <sz val="11"/>
        <rFont val="Calibri"/>
        <family val="2"/>
      </rPr>
      <t xml:space="preserve"> 3570</t>
    </r>
  </si>
  <si>
    <r>
      <rPr>
        <sz val="11"/>
        <color theme="1"/>
        <rFont val="Arial"/>
        <family val="2"/>
        <scheme val="minor"/>
      </rPr>
      <t xml:space="preserve">3450 </t>
    </r>
    <r>
      <rPr>
        <sz val="11"/>
        <color theme="1"/>
        <rFont val="Symbol"/>
        <family val="1"/>
        <charset val="2"/>
      </rPr>
      <t>¸</t>
    </r>
    <r>
      <rPr>
        <sz val="11"/>
        <color theme="1"/>
        <rFont val="Arial"/>
        <family val="2"/>
        <scheme val="minor"/>
      </rPr>
      <t xml:space="preserve"> 3575</t>
    </r>
  </si>
  <si>
    <t>Go</t>
  </si>
  <si>
    <t>6000
/6100</t>
  </si>
  <si>
    <t>3250 
- 3300</t>
  </si>
  <si>
    <t>..</t>
  </si>
  <si>
    <t>8700
/8800</t>
  </si>
  <si>
    <t>Có thể:</t>
  </si>
  <si>
    <t xml:space="preserve">     Đường nhựa hoặc đường bêtông</t>
  </si>
  <si>
    <t xml:space="preserve"> - Khô và sạch</t>
  </si>
  <si>
    <t xml:space="preserve"> - Ướt</t>
  </si>
  <si>
    <t xml:space="preserve">   Đường rải đá</t>
  </si>
  <si>
    <t xml:space="preserve"> Đường đất</t>
  </si>
  <si>
    <t xml:space="preserve"> - Pha sét, khô</t>
  </si>
  <si>
    <t xml:space="preserve">  - Ướt (sau khi mưa)</t>
  </si>
  <si>
    <t xml:space="preserve">  - Đất sau khi cày</t>
  </si>
  <si>
    <t>Đường cát</t>
  </si>
  <si>
    <t xml:space="preserve"> - Khô</t>
  </si>
  <si>
    <t xml:space="preserve">  - Ướt</t>
  </si>
  <si>
    <t>https://karoserinewarmada.blogspot.com/2014/08/</t>
  </si>
  <si>
    <t>ISUZU</t>
  </si>
  <si>
    <t>BISON</t>
  </si>
  <si>
    <t>NHR 55</t>
  </si>
  <si>
    <t>NKR 55 LWB</t>
  </si>
  <si>
    <t>1440 (F); 1380 (R)</t>
  </si>
  <si>
    <t>1395 (F, R)</t>
  </si>
  <si>
    <t>1395 (F); 1385 (R)</t>
  </si>
  <si>
    <t xml:space="preserve">10; </t>
  </si>
  <si>
    <t>12; 16</t>
  </si>
  <si>
    <t xml:space="preserve">MITSUBISHI </t>
  </si>
  <si>
    <t>L300</t>
  </si>
  <si>
    <t>FE 71</t>
  </si>
  <si>
    <t>FE 71 BC LONG</t>
  </si>
  <si>
    <t>1390 (F, R)</t>
  </si>
  <si>
    <t>1390 (F); 1395 (R)</t>
  </si>
  <si>
    <r>
      <rPr>
        <sz val="11"/>
        <color rgb="FFFF0000"/>
        <rFont val="Arial"/>
        <family val="2"/>
        <scheme val="minor"/>
      </rPr>
      <t>9</t>
    </r>
    <r>
      <rPr>
        <sz val="11"/>
        <rFont val="Arial"/>
        <family val="2"/>
        <scheme val="minor"/>
      </rPr>
      <t xml:space="preserve">; </t>
    </r>
    <r>
      <rPr>
        <sz val="11"/>
        <color rgb="FFFF0000"/>
        <rFont val="Arial"/>
        <family val="2"/>
        <scheme val="minor"/>
      </rPr>
      <t>10</t>
    </r>
    <r>
      <rPr>
        <sz val="11"/>
        <rFont val="Arial"/>
        <family val="2"/>
        <scheme val="minor"/>
      </rPr>
      <t xml:space="preserve">; </t>
    </r>
    <r>
      <rPr>
        <sz val="11"/>
        <color rgb="FFFF0000"/>
        <rFont val="Arial"/>
        <family val="2"/>
        <scheme val="minor"/>
      </rPr>
      <t>12</t>
    </r>
  </si>
  <si>
    <t>15; 20</t>
  </si>
  <si>
    <t>TOYOTA</t>
  </si>
  <si>
    <t>DYNA 110 ST</t>
  </si>
  <si>
    <t>DYNA 110BCL</t>
  </si>
  <si>
    <t>1415 (F); 1420 (R)</t>
  </si>
  <si>
    <t>HINO</t>
  </si>
  <si>
    <t>DUTRO 110 SD/ST</t>
  </si>
  <si>
    <t>DUTRO 110 SDBL</t>
  </si>
  <si>
    <t>EVONEXT GT 
SCANIA K</t>
  </si>
  <si>
    <t>NEW ARISTO 
SCANIA K</t>
  </si>
  <si>
    <t>TOURISTO 2.2
ISUZU NQR 71</t>
  </si>
  <si>
    <t>TOURISTO 2.1
ISUZU NKR 71</t>
  </si>
  <si>
    <t>TOURISTO 2.2
TOYOTA 130 XT LONG</t>
  </si>
  <si>
    <t>TOURISTO 2.1
TOYOTA DYNA 110/130</t>
  </si>
  <si>
    <t>TOURISTO 2.2
HINO 130 MDBL</t>
  </si>
  <si>
    <t>TOURISTO 2.1
HINO DUTRO 110/130</t>
  </si>
  <si>
    <t>1670 (F)</t>
  </si>
  <si>
    <t>CHỖ NGỒI</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</si>
  <si>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</si>
  <si>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</si>
  <si>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</si>
  <si>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</si>
  <si>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</si>
  <si>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</si>
  <si>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</si>
  <si>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</si>
  <si>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</si>
  <si>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</si>
  <si>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</si>
  <si>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</si>
  <si>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</si>
  <si>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</si>
  <si>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</si>
  <si>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</si>
  <si>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</si>
  <si>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</si>
  <si>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</si>
  <si>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</si>
  <si>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</si>
  <si>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</si>
  <si>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</si>
  <si>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</si>
  <si>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</si>
  <si>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</si>
  <si>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</si>
  <si>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</si>
  <si>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</si>
  <si>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</si>
  <si>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</si>
  <si>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</si>
  <si>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</si>
  <si>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</si>
  <si>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</si>
  <si>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</si>
  <si>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</si>
  <si>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</si>
  <si>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</si>
  <si>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</si>
  <si>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</si>
  <si>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</si>
  <si>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</si>
  <si>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</si>
  <si>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</si>
  <si>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</si>
  <si>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</si>
  <si>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</si>
  <si>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</si>
  <si>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</si>
  <si>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</si>
  <si>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</si>
  <si>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</si>
  <si>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</si>
  <si>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</si>
  <si>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</si>
  <si>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</si>
  <si>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</si>
  <si>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</si>
  <si>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</si>
  <si>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</si>
  <si>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</si>
  <si>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</si>
  <si>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</si>
  <si>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</si>
  <si>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</si>
  <si>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</si>
  <si>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</si>
  <si>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</si>
  <si>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</si>
  <si>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</si>
  <si>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</si>
  <si>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</si>
  <si>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</si>
  <si>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</si>
  <si>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</si>
  <si>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</si>
  <si>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</si>
  <si>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</si>
  <si>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</si>
  <si>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</si>
  <si>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</si>
  <si>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</si>
  <si>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</si>
  <si>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</si>
  <si>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</si>
  <si>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</si>
  <si>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</si>
  <si>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</si>
  <si>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</si>
  <si>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</si>
  <si>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</si>
  <si>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</si>
  <si>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</si>
  <si>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</si>
  <si>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</si>
  <si>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</si>
  <si>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</si>
  <si>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</si>
  <si>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</si>
  <si>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</si>
  <si>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</si>
  <si>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</si>
  <si>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</si>
  <si>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</si>
  <si>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</si>
  <si>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</si>
  <si>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</si>
  <si>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</si>
  <si>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</si>
  <si>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</si>
  <si>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</si>
  <si>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</si>
  <si>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</si>
  <si>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</si>
  <si>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</si>
  <si>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</si>
  <si>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</si>
  <si>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</si>
  <si>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</si>
  <si>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</si>
  <si>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</si>
  <si>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</si>
  <si>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</si>
  <si>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</si>
  <si>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</si>
  <si>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</si>
  <si>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</si>
  <si>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</si>
  <si>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</si>
  <si>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</si>
  <si>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</si>
  <si>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</si>
  <si>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</si>
  <si>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</si>
  <si>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</si>
  <si>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</si>
  <si>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</si>
  <si>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</si>
  <si>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</si>
  <si>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</si>
  <si>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</si>
  <si>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</si>
  <si>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</si>
  <si>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</si>
  <si>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</si>
  <si>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</si>
  <si>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</si>
  <si>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</si>
  <si>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</si>
  <si>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</si>
  <si>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</si>
  <si>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</si>
  <si>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</si>
  <si>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</si>
  <si>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</si>
  <si>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</si>
  <si>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</si>
  <si>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</si>
  <si>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</si>
  <si>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</si>
  <si>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</si>
  <si>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</si>
  <si>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</si>
  <si>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</si>
  <si>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</si>
  <si>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</si>
  <si>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</si>
  <si>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</si>
  <si>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</si>
  <si>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</si>
  <si>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</si>
  <si>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</si>
  <si>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</si>
  <si>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</si>
  <si>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Theo bảng 1:</t>
  </si>
  <si>
    <r>
      <t>Khi vận tốc xe bắt đầu lớn hơn (&gt;) 80 km/h thì giá trị hệ số cản lăn (fv</t>
    </r>
    <r>
      <rPr>
        <vertAlign val="subscript"/>
        <sz val="13"/>
        <color theme="1"/>
        <rFont val="Times New Roman"/>
        <family val="1"/>
      </rPr>
      <t>i</t>
    </r>
    <r>
      <rPr>
        <sz val="13"/>
        <color theme="1"/>
        <rFont val="Times New Roman"/>
        <family val="1"/>
      </rPr>
      <t>) thay đổi theo hàm số sau:</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</si>
  <si>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</si>
  <si>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</si>
  <si>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</si>
  <si>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</si>
  <si>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</si>
  <si>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</si>
  <si>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</si>
  <si>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</si>
  <si>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</si>
  <si>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</si>
  <si>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</si>
  <si>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</si>
  <si>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</si>
  <si>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</si>
  <si>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</si>
  <si>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</si>
  <si>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</si>
  <si>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Hệ số cản lăn giữa các bánh xe với mặt đường</t>
  </si>
  <si>
    <t>Vận tốc lớn nhất và mặt đường tương ứng</t>
  </si>
  <si>
    <t xml:space="preserve">Vận tốc nhỏ nhất và mặt đường tương ứng   </t>
  </si>
  <si>
    <t>Độ dốc mặt đường (i)</t>
  </si>
  <si>
    <r>
      <t>Xác định hệ số cản lăn ứng với vận tốc lớn nhất (fv</t>
    </r>
    <r>
      <rPr>
        <b/>
        <vertAlign val="subscript"/>
        <sz val="13"/>
        <color theme="1"/>
        <rFont val="Times New Roman"/>
        <family val="1"/>
      </rPr>
      <t>max</t>
    </r>
    <r>
      <rPr>
        <b/>
        <sz val="13"/>
        <color theme="1"/>
        <rFont val="Times New Roman"/>
        <family val="1"/>
      </rPr>
      <t>) bằng 1 trong 2 cách sau:</t>
    </r>
  </si>
  <si>
    <r>
      <t>Hệ số cản lăn (fv</t>
    </r>
    <r>
      <rPr>
        <vertAlign val="subscript"/>
        <sz val="13"/>
        <color theme="1"/>
        <rFont val="Times New Roman"/>
        <family val="1"/>
      </rPr>
      <t>i</t>
    </r>
    <r>
      <rPr>
        <sz val="13"/>
        <color theme="1"/>
        <rFont val="Times New Roman"/>
        <family val="1"/>
      </rPr>
      <t>) được xác định theo hàm với biến số vận tốc v</t>
    </r>
    <r>
      <rPr>
        <vertAlign val="subscript"/>
        <sz val="13"/>
        <color theme="1"/>
        <rFont val="Times New Roman"/>
        <family val="1"/>
      </rPr>
      <t>i</t>
    </r>
    <r>
      <rPr>
        <sz val="13"/>
        <color theme="1"/>
        <rFont val="Times New Roman"/>
        <family val="1"/>
      </rPr>
      <t>:</t>
    </r>
    <r>
      <rPr>
        <sz val="11"/>
        <color theme="1"/>
        <rFont val="Arial"/>
        <family val="2"/>
        <scheme val="minor"/>
      </rPr>
      <t/>
    </r>
  </si>
  <si>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</si>
  <si>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r>
      <t xml:space="preserve">Thay giá trị </t>
    </r>
    <r>
      <rPr>
        <sz val="13"/>
        <color rgb="FFFF0000"/>
        <rFont val="Times New Roman"/>
        <family val="1"/>
      </rPr>
      <t>v</t>
    </r>
    <r>
      <rPr>
        <vertAlign val="subscript"/>
        <sz val="13"/>
        <color rgb="FFFF0000"/>
        <rFont val="Times New Roman"/>
        <family val="1"/>
      </rPr>
      <t>max</t>
    </r>
    <r>
      <rPr>
        <sz val="13"/>
        <color rgb="FFFF0000"/>
        <rFont val="Times New Roman"/>
        <family val="1"/>
      </rPr>
      <t xml:space="preserve"> vào biểu thức (2.36), thì</t>
    </r>
  </si>
  <si>
    <t>Cách 1: nhựa tốt, bê tông khô sạch</t>
  </si>
  <si>
    <t>Cách 2: tùy ý</t>
  </si>
  <si>
    <t xml:space="preserve"> - Và với vận tốc không lớn hơn (≤) 80 km/h, khoảng hệ số cản lăn tương ứng: </t>
  </si>
  <si>
    <r>
      <t>Và khi thay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thì giá trị hệ số cản lăn được xác định theo biểu thức:</t>
    </r>
  </si>
  <si>
    <r>
      <t>fv</t>
    </r>
    <r>
      <rPr>
        <vertAlign val="subscript"/>
        <sz val="13"/>
        <color theme="1"/>
        <rFont val="Times New Roman"/>
        <family val="1"/>
      </rPr>
      <t>max</t>
    </r>
    <r>
      <rPr>
        <sz val="13"/>
        <color theme="1"/>
        <rFont val="Times New Roman"/>
        <family val="1"/>
      </rPr>
      <t xml:space="preserve"> =</t>
    </r>
  </si>
  <si>
    <t>Thay giá trị đã chọn vào biểu thức (2.38), được:</t>
  </si>
  <si>
    <t>Hệ số bám giữa các bánh xe chủ động với mặt đường</t>
  </si>
  <si>
    <r>
      <t xml:space="preserve">Theo bảng 1, với mặt đường được </t>
    </r>
    <r>
      <rPr>
        <sz val="13"/>
        <color rgb="FFFF0000"/>
        <rFont val="Times New Roman"/>
        <family val="1"/>
      </rPr>
      <t>chọn:</t>
    </r>
  </si>
  <si>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</si>
  <si>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</si>
  <si>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</si>
  <si>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</si>
  <si>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</si>
  <si>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</si>
  <si>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</si>
  <si>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</si>
  <si>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t>Diện tích cản chính diện xe được tính theo biểu thức</t>
  </si>
  <si>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</si>
  <si>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</si>
  <si>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</si>
  <si>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</si>
  <si>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</si>
  <si>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</si>
  <si>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</si>
  <si>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</si>
  <si>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Nhân tố động lực học thuộc khoảng</t>
    </r>
    <r>
      <rPr>
        <sz val="13"/>
        <color rgb="FFFF0000"/>
        <rFont val="Times New Roman"/>
        <family val="1"/>
      </rPr>
      <t/>
    </r>
  </si>
  <si>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</si>
  <si>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 xml:space="preserve">F </t>
    </r>
    <r>
      <rPr>
        <sz val="13"/>
        <color rgb="FFFF0000"/>
        <rFont val="Times New Roman"/>
        <family val="1"/>
      </rPr>
      <t xml:space="preserve">= … </t>
    </r>
    <r>
      <rPr>
        <sz val="13"/>
        <color theme="1"/>
        <rFont val="Times New Roman"/>
        <family val="1"/>
      </rPr>
      <t>m</t>
    </r>
    <r>
      <rPr>
        <vertAlign val="superscript"/>
        <sz val="13"/>
        <color theme="1"/>
        <rFont val="Times New Roman"/>
        <family val="1"/>
      </rPr>
      <t>2</t>
    </r>
    <r>
      <rPr>
        <sz val="13"/>
        <color theme="1"/>
        <rFont val="Times New Roman"/>
        <family val="1"/>
      </rPr>
      <t xml:space="preserve"> </t>
    </r>
  </si>
  <si>
    <t>Theo bảng 6, diện tích cản chính diện thuộc khoảng</t>
  </si>
  <si>
    <r>
      <t>m</t>
    </r>
    <r>
      <rPr>
        <vertAlign val="superscript"/>
        <sz val="13"/>
        <color theme="1"/>
        <rFont val="Times New Roman"/>
        <family val="1"/>
      </rPr>
      <t>2</t>
    </r>
    <r>
      <rPr>
        <sz val="13"/>
        <color theme="1"/>
        <rFont val="Times New Roman"/>
        <family val="1"/>
      </rPr>
      <t xml:space="preserve"> </t>
    </r>
  </si>
  <si>
    <t>W =</t>
  </si>
  <si>
    <t>Khoảng chiều rộng bao</t>
  </si>
  <si>
    <t>Khoảng chiều rộng vệt bánh xe trước;</t>
  </si>
  <si>
    <t>Khoảng chiều cao bao</t>
  </si>
  <si>
    <t>Dựa theo bảng 5,</t>
  </si>
  <si>
    <r>
      <t>[W</t>
    </r>
    <r>
      <rPr>
        <vertAlign val="subscript"/>
        <sz val="13"/>
        <rFont val="Times New Roman"/>
        <family val="1"/>
      </rPr>
      <t>o</t>
    </r>
    <r>
      <rPr>
        <sz val="13"/>
        <rFont val="Times New Roman"/>
        <family val="1"/>
      </rPr>
      <t>] =</t>
    </r>
  </si>
  <si>
    <r>
      <t>W</t>
    </r>
    <r>
      <rPr>
        <vertAlign val="subscript"/>
        <sz val="13"/>
        <rFont val="Times New Roman"/>
        <family val="1"/>
      </rPr>
      <t>o</t>
    </r>
    <r>
      <rPr>
        <sz val="13"/>
        <rFont val="Times New Roman"/>
        <family val="1"/>
      </rPr>
      <t xml:space="preserve"> =</t>
    </r>
  </si>
  <si>
    <r>
      <t>[H</t>
    </r>
    <r>
      <rPr>
        <vertAlign val="subscript"/>
        <sz val="13"/>
        <rFont val="Times New Roman"/>
        <family val="1"/>
      </rPr>
      <t>o</t>
    </r>
    <r>
      <rPr>
        <sz val="13"/>
        <rFont val="Times New Roman"/>
        <family val="1"/>
      </rPr>
      <t>] =</t>
    </r>
  </si>
  <si>
    <r>
      <t>H</t>
    </r>
    <r>
      <rPr>
        <vertAlign val="subscript"/>
        <sz val="13"/>
        <rFont val="Times New Roman"/>
        <family val="1"/>
      </rPr>
      <t>o</t>
    </r>
    <r>
      <rPr>
        <sz val="13"/>
        <rFont val="Times New Roman"/>
        <family val="1"/>
      </rPr>
      <t xml:space="preserve"> =</t>
    </r>
  </si>
  <si>
    <t>.(2.50)</t>
  </si>
  <si>
    <t>Thay các giá trị đã chọn vào biểu thức (2.44):</t>
  </si>
  <si>
    <t>F =</t>
  </si>
  <si>
    <r>
      <t>m</t>
    </r>
    <r>
      <rPr>
        <vertAlign val="superscript"/>
        <sz val="13"/>
        <color rgb="FFFF0000"/>
        <rFont val="Times New Roman"/>
        <family val="1"/>
      </rPr>
      <t>2</t>
    </r>
    <r>
      <rPr>
        <sz val="13"/>
        <color rgb="FFFF0000"/>
        <rFont val="Times New Roman"/>
        <family val="1"/>
      </rPr>
      <t xml:space="preserve"> </t>
    </r>
  </si>
  <si>
    <t xml:space="preserve">Vậy, </t>
  </si>
  <si>
    <t>Theo bảng 6, hệ số cản khí động học thuộc khoảng:</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</si>
  <si>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</si>
  <si>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</si>
  <si>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r>
      <t xml:space="preserve">Nên chọn K </t>
    </r>
    <r>
      <rPr>
        <sz val="13"/>
        <color rgb="FFFF0000"/>
        <rFont val="Times New Roman"/>
        <family val="1"/>
      </rPr>
      <t xml:space="preserve">=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rgb="FFFF0000"/>
        <rFont val="Times New Roman"/>
        <family val="1"/>
      </rPr>
      <t xml:space="preserve"> </t>
    </r>
    <r>
      <rPr>
        <sz val="13"/>
        <color theme="1"/>
        <rFont val="Times New Roman"/>
        <family val="1"/>
      </rPr>
      <t>Є</t>
    </r>
    <r>
      <rPr>
        <sz val="13"/>
        <color rgb="FFFF0000"/>
        <rFont val="Times New Roman"/>
        <family val="1"/>
      </rPr>
      <t xml:space="preserve"> </t>
    </r>
    <r>
      <rPr>
        <sz val="13"/>
        <color theme="1"/>
        <rFont val="Times New Roman"/>
        <family val="1"/>
      </rPr>
      <t xml:space="preserve">[K] = </t>
    </r>
    <r>
      <rPr>
        <sz val="13"/>
        <color rgb="FFFF0000"/>
        <rFont val="Times New Roman"/>
        <family val="1"/>
      </rPr>
      <t xml:space="preserve">(… ÷ …), </t>
    </r>
    <r>
      <rPr>
        <sz val="13"/>
        <color theme="1"/>
        <rFont val="Times New Roman"/>
        <family val="1"/>
      </rP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</si>
  <si>
    <r>
      <t xml:space="preserve">K </t>
    </r>
    <r>
      <rPr>
        <sz val="13"/>
        <color rgb="FFFF0000"/>
        <rFont val="Times New Roman"/>
        <family val="1"/>
      </rPr>
      <t>=</t>
    </r>
  </si>
  <si>
    <t>Thay các giá trị K và F đã chọn và tính vào biểu thức (2.42):</t>
  </si>
  <si>
    <t>Trong đó, theo chủng loại</t>
  </si>
  <si>
    <t>1.2.6.</t>
  </si>
  <si>
    <t>Động cơ đốt trong</t>
  </si>
  <si>
    <t>Vị trí, đặt phương động cơ đốt trong, nhiên liệu sử dụng</t>
  </si>
  <si>
    <t xml:space="preserve">b. </t>
  </si>
  <si>
    <t xml:space="preserve">1.2.7. </t>
  </si>
  <si>
    <r>
      <t xml:space="preserve">Khung sườn và thân xe, </t>
    </r>
    <r>
      <rPr>
        <b/>
        <i/>
        <sz val="13"/>
        <color rgb="FFFF0000"/>
        <rFont val="Times New Roman"/>
        <family val="1"/>
      </rPr>
      <t xml:space="preserve">loại …………. </t>
    </r>
  </si>
  <si>
    <t>Hệ thống Treo xe</t>
  </si>
  <si>
    <t>1.2.8.</t>
  </si>
  <si>
    <t>Phía trước</t>
  </si>
  <si>
    <r>
      <t xml:space="preserve"> + Phía trước, hệ thống treo, </t>
    </r>
    <r>
      <rPr>
        <sz val="13"/>
        <color rgb="FFFF0000"/>
        <rFont val="Times New Roman"/>
        <family val="1"/>
      </rPr>
      <t xml:space="preserve">chọn: loại độc lập or phụ thuộc </t>
    </r>
  </si>
  <si>
    <r>
      <t xml:space="preserve"> + Giảm chấn, </t>
    </r>
    <r>
      <rPr>
        <sz val="13"/>
        <color rgb="FFFF0000"/>
        <rFont val="Times New Roman"/>
        <family val="1"/>
      </rPr>
      <t>chọn:</t>
    </r>
  </si>
  <si>
    <r>
      <t xml:space="preserve"> + Đàn hồi, </t>
    </r>
    <r>
      <rPr>
        <sz val="13"/>
        <color rgb="FFFF0000"/>
        <rFont val="Times New Roman"/>
        <family val="1"/>
      </rPr>
      <t>chọn:</t>
    </r>
  </si>
  <si>
    <r>
      <t xml:space="preserve"> + Giữ hướng, chọn</t>
    </r>
    <r>
      <rPr>
        <sz val="13"/>
        <color rgb="FFFF0000"/>
        <rFont val="Times New Roman"/>
        <family val="1"/>
      </rPr>
      <t>:</t>
    </r>
  </si>
  <si>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</si>
  <si>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</si>
  <si>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</si>
  <si>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</si>
  <si>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</si>
  <si>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</si>
  <si>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</si>
  <si>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</si>
  <si>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</si>
  <si>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r>
      <t xml:space="preserve"> - Mặt đường được </t>
    </r>
    <r>
      <rPr>
        <sz val="13"/>
        <color rgb="FFFF0000"/>
        <rFont val="Times New Roman"/>
        <family val="1"/>
      </rPr>
      <t>chọn:</t>
    </r>
  </si>
  <si>
    <r>
      <t xml:space="preserve"> - Và với vận tốc không lớn hơn (≤) 80 km/h, khoảng hệ số cản lăn tương ứng ([f</t>
    </r>
    <r>
      <rPr>
        <vertAlign val="subscript"/>
        <sz val="13"/>
        <color rgb="FFFF0000"/>
        <rFont val="Times New Roman"/>
        <family val="1"/>
      </rPr>
      <t>o</t>
    </r>
    <r>
      <rPr>
        <sz val="13"/>
        <color rgb="FFFF0000"/>
        <rFont val="Times New Roman"/>
        <family val="1"/>
      </rPr>
      <t>] = [f</t>
    </r>
    <r>
      <rPr>
        <vertAlign val="subscript"/>
        <sz val="13"/>
        <color rgb="FFFF0000"/>
        <rFont val="Times New Roman"/>
        <family val="1"/>
      </rPr>
      <t>v</t>
    </r>
    <r>
      <rPr>
        <vertAlign val="subscript"/>
        <sz val="13"/>
        <color theme="1"/>
        <rFont val="Times New Roman"/>
        <family val="1"/>
      </rPr>
      <t>≤80km/h</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</si>
  <si>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</si>
  <si>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f</t>
    </r>
    <r>
      <rPr>
        <vertAlign val="subscript"/>
        <sz val="13"/>
        <color rgb="FFFF0000"/>
        <rFont val="Times New Roman"/>
        <family val="1"/>
      </rPr>
      <t>o</t>
    </r>
    <r>
      <rPr>
        <sz val="13"/>
        <color rgb="FFFF0000"/>
        <rFont val="Times New Roman"/>
        <family val="1"/>
      </rPr>
      <t xml:space="preserve"> =</t>
    </r>
  </si>
  <si>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</si>
  <si>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</si>
  <si>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</si>
  <si>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</si>
  <si>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</si>
  <si>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</si>
  <si>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</si>
  <si>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</si>
  <si>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</si>
  <si>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</si>
  <si>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</si>
  <si>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</si>
  <si>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</si>
  <si>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</si>
  <si>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r>
      <t xml:space="preserve"> + Phía trước, hệ thống treo, </t>
    </r>
    <r>
      <rPr>
        <sz val="13"/>
        <color rgb="FFFF0000"/>
        <rFont val="Times New Roman"/>
        <family val="1"/>
      </rPr>
      <t>chọn:</t>
    </r>
  </si>
  <si>
    <r>
      <t xml:space="preserve"> + Giữ hướng, loại</t>
    </r>
    <r>
      <rPr>
        <sz val="13"/>
        <color rgb="FFFF0000"/>
        <rFont val="Times New Roman"/>
        <family val="1"/>
      </rPr>
      <t xml:space="preserve">: </t>
    </r>
  </si>
  <si>
    <t>1.2.9. Bánh xe</t>
  </si>
  <si>
    <t>Khối lượng của xe có 2 trường hợp, khi:</t>
  </si>
  <si>
    <t xml:space="preserve">Các khối lượng của xe được phân bố lên các bánh xe trên: </t>
  </si>
  <si>
    <r>
      <t>Như vậy, có 4 thông số G</t>
    </r>
    <r>
      <rPr>
        <vertAlign val="subscript"/>
        <sz val="13"/>
        <color theme="1"/>
        <rFont val="Times New Roman"/>
        <family val="1"/>
      </rPr>
      <t>o1</t>
    </r>
    <r>
      <rPr>
        <sz val="13"/>
        <color theme="1"/>
        <rFont val="Times New Roman"/>
        <family val="1"/>
      </rPr>
      <t>; G</t>
    </r>
    <r>
      <rPr>
        <vertAlign val="subscript"/>
        <sz val="13"/>
        <color theme="1"/>
        <rFont val="Times New Roman"/>
        <family val="1"/>
      </rPr>
      <t>o2</t>
    </r>
    <r>
      <rPr>
        <sz val="13"/>
        <color theme="1"/>
        <rFont val="Times New Roman"/>
        <family val="1"/>
      </rPr>
      <t>; G</t>
    </r>
    <r>
      <rPr>
        <vertAlign val="subscript"/>
        <sz val="13"/>
        <color theme="1"/>
        <rFont val="Times New Roman"/>
        <family val="1"/>
      </rPr>
      <t>a1</t>
    </r>
    <r>
      <rPr>
        <sz val="13"/>
        <color theme="1"/>
        <rFont val="Times New Roman"/>
        <family val="1"/>
      </rPr>
      <t>; G</t>
    </r>
    <r>
      <rPr>
        <vertAlign val="subscript"/>
        <sz val="13"/>
        <color theme="1"/>
        <rFont val="Times New Roman"/>
        <family val="1"/>
      </rPr>
      <t>a2</t>
    </r>
    <r>
      <rPr>
        <sz val="13"/>
        <color theme="1"/>
        <rFont val="Times New Roman"/>
        <family val="1"/>
      </rPr>
      <t xml:space="preserve"> thuộc 2 trường hợp khối lượng xe phân bố lên các bánh xe ở các phía trục cầu trước và cầu sau, tạo thành 1 tập hợp khối lượng:</t>
    </r>
  </si>
  <si>
    <r>
      <t>(G</t>
    </r>
    <r>
      <rPr>
        <vertAlign val="subscript"/>
        <sz val="13"/>
        <color theme="1"/>
        <rFont val="Times New Roman"/>
        <family val="1"/>
      </rPr>
      <t>o1</t>
    </r>
    <r>
      <rPr>
        <sz val="13"/>
        <color theme="1"/>
        <rFont val="Times New Roman"/>
        <family val="1"/>
      </rPr>
      <t xml:space="preserve"> = …; G</t>
    </r>
    <r>
      <rPr>
        <vertAlign val="subscript"/>
        <sz val="13"/>
        <color theme="1"/>
        <rFont val="Times New Roman"/>
        <family val="1"/>
      </rPr>
      <t>o2</t>
    </r>
    <r>
      <rPr>
        <sz val="13"/>
        <color theme="1"/>
        <rFont val="Times New Roman"/>
        <family val="1"/>
      </rPr>
      <t xml:space="preserve"> = …; G</t>
    </r>
    <r>
      <rPr>
        <vertAlign val="subscript"/>
        <sz val="13"/>
        <color theme="1"/>
        <rFont val="Times New Roman"/>
        <family val="1"/>
      </rPr>
      <t>a1</t>
    </r>
    <r>
      <rPr>
        <sz val="13"/>
        <color theme="1"/>
        <rFont val="Times New Roman"/>
        <family val="1"/>
      </rPr>
      <t xml:space="preserve"> = …; G</t>
    </r>
    <r>
      <rPr>
        <vertAlign val="subscript"/>
        <sz val="13"/>
        <color theme="1"/>
        <rFont val="Times New Roman"/>
        <family val="1"/>
      </rPr>
      <t>a2</t>
    </r>
    <r>
      <rPr>
        <sz val="13"/>
        <color theme="1"/>
        <rFont val="Times New Roman"/>
        <family val="1"/>
      </rPr>
      <t xml:space="preserve"> = …)</t>
    </r>
  </si>
  <si>
    <t>Khối lượng phân bố lên các bánh xe, thuộc:</t>
  </si>
  <si>
    <r>
      <t>r</t>
    </r>
    <r>
      <rPr>
        <vertAlign val="subscript"/>
        <sz val="13"/>
        <color rgb="FFFF0000"/>
        <rFont val="Times New Roman"/>
        <family val="1"/>
      </rPr>
      <t>o</t>
    </r>
    <r>
      <rPr>
        <sz val="13"/>
        <color rgb="FFFF0000"/>
        <rFont val="Times New Roman"/>
        <family val="1"/>
      </rPr>
      <t xml:space="preserve"> = … </t>
    </r>
  </si>
  <si>
    <r>
      <t>r</t>
    </r>
    <r>
      <rPr>
        <vertAlign val="subscript"/>
        <sz val="13"/>
        <color rgb="FFFF0000"/>
        <rFont val="Times New Roman"/>
        <family val="1"/>
      </rPr>
      <t>b</t>
    </r>
    <r>
      <rPr>
        <sz val="13"/>
        <color rgb="FFFF0000"/>
        <rFont val="Times New Roman"/>
        <family val="1"/>
      </rPr>
      <t xml:space="preserve"> = λ.r</t>
    </r>
    <r>
      <rPr>
        <vertAlign val="subscript"/>
        <sz val="13"/>
        <color rgb="FFFF0000"/>
        <rFont val="Times New Roman"/>
        <family val="1"/>
      </rPr>
      <t>o</t>
    </r>
    <r>
      <rPr>
        <sz val="13"/>
        <color rgb="FFFF0000"/>
        <rFont val="Times New Roman"/>
        <family val="1"/>
      </rPr>
      <t>,= … mm</t>
    </r>
  </si>
  <si>
    <r>
      <t>r</t>
    </r>
    <r>
      <rPr>
        <vertAlign val="subscript"/>
        <sz val="13"/>
        <color rgb="FFFF0000"/>
        <rFont val="Times New Roman"/>
        <family val="1"/>
      </rPr>
      <t>b</t>
    </r>
    <r>
      <rPr>
        <sz val="13"/>
        <color rgb="FFFF0000"/>
        <rFont val="Times New Roman"/>
        <family val="1"/>
      </rPr>
      <t xml:space="preserve"> = … mm </t>
    </r>
  </si>
  <si>
    <t>1.2.9.</t>
  </si>
  <si>
    <t xml:space="preserve">a.2. </t>
  </si>
  <si>
    <t>c.1.</t>
  </si>
  <si>
    <t>c.4.</t>
  </si>
  <si>
    <t xml:space="preserve">c.2. </t>
  </si>
  <si>
    <t xml:space="preserve">c.3. </t>
  </si>
  <si>
    <t>Khối lượng xe</t>
  </si>
  <si>
    <t>Khối lượng phân bố lên các bánh xe</t>
  </si>
  <si>
    <t xml:space="preserve">Khối lượng xe phân bố lên các bánh xe một phía trục cầu </t>
  </si>
  <si>
    <t xml:space="preserve"> + Trục cầu trước, khi xe:</t>
  </si>
  <si>
    <t xml:space="preserve"> + Trục cầu sau, khi xe:</t>
  </si>
  <si>
    <t>Lực bám của xe</t>
  </si>
  <si>
    <t xml:space="preserve"> + Trọng lượng bám của xe</t>
  </si>
  <si>
    <t xml:space="preserve"> - Giá trị nhỏ nhất:</t>
  </si>
  <si>
    <t xml:space="preserve"> - Giá trị lớn nhất:</t>
  </si>
  <si>
    <t xml:space="preserve"> + Một đầu trục cầu trước, khi xe:</t>
  </si>
  <si>
    <t xml:space="preserve"> + Một đầu trục cầu sau, khi xe:</t>
  </si>
  <si>
    <r>
      <t xml:space="preserve"> - Chỉ có trọng lượng bản thân, là: 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</si>
  <si>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 xml:space="preserve"> - Chất đủ tải, là: 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</si>
  <si>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Vận tốc lớn nhất v</t>
    </r>
    <r>
      <rPr>
        <b/>
        <i/>
        <vertAlign val="subscript"/>
        <sz val="13"/>
        <color theme="1"/>
        <rFont val="Times New Roman"/>
        <family val="1"/>
      </rPr>
      <t>max</t>
    </r>
  </si>
  <si>
    <t xml:space="preserve">Áp suất lốp λ </t>
  </si>
  <si>
    <t>Thông số lốp xe</t>
  </si>
  <si>
    <t xml:space="preserve"> + Chỉ có khối lượng bản thân xe, theo biểu thức (2.1)</t>
  </si>
  <si>
    <t xml:space="preserve"> + Khối lượng xe chất đủ tải, theo biểu thức (2.19)</t>
  </si>
  <si>
    <r>
      <t>G</t>
    </r>
    <r>
      <rPr>
        <vertAlign val="subscript"/>
        <sz val="13"/>
        <color theme="1"/>
        <rFont val="Times New Roman"/>
        <family val="1"/>
      </rPr>
      <t>o1</t>
    </r>
    <r>
      <rPr>
        <sz val="13"/>
        <color theme="1"/>
        <rFont val="Times New Roman"/>
        <family val="1"/>
      </rPr>
      <t xml:space="preserve"> =</t>
    </r>
  </si>
  <si>
    <r>
      <t>G</t>
    </r>
    <r>
      <rPr>
        <vertAlign val="subscript"/>
        <sz val="13"/>
        <color theme="1"/>
        <rFont val="Times New Roman"/>
        <family val="1"/>
      </rPr>
      <t>a1</t>
    </r>
    <r>
      <rPr>
        <sz val="13"/>
        <color theme="1"/>
        <rFont val="Times New Roman"/>
        <family val="1"/>
      </rPr>
      <t xml:space="preserve"> =</t>
    </r>
  </si>
  <si>
    <r>
      <t>G</t>
    </r>
    <r>
      <rPr>
        <vertAlign val="subscript"/>
        <sz val="13"/>
        <color theme="1"/>
        <rFont val="Times New Roman"/>
        <family val="1"/>
      </rPr>
      <t>o2</t>
    </r>
    <r>
      <rPr>
        <sz val="13"/>
        <color theme="1"/>
        <rFont val="Times New Roman"/>
        <family val="1"/>
      </rPr>
      <t xml:space="preserve"> =</t>
    </r>
  </si>
  <si>
    <r>
      <t>G</t>
    </r>
    <r>
      <rPr>
        <vertAlign val="subscript"/>
        <sz val="13"/>
        <color theme="1"/>
        <rFont val="Times New Roman"/>
        <family val="1"/>
      </rPr>
      <t>a2</t>
    </r>
    <r>
      <rPr>
        <sz val="13"/>
        <color theme="1"/>
        <rFont val="Times New Roman"/>
        <family val="1"/>
      </rPr>
      <t xml:space="preserve"> =</t>
    </r>
  </si>
  <si>
    <t xml:space="preserve">… x ... </t>
  </si>
  <si>
    <t>m  =</t>
  </si>
  <si>
    <t>M  =</t>
  </si>
  <si>
    <t xml:space="preserve"> - Chỉ có trọng lượng bản thân, theo biểu thức (2.4)</t>
  </si>
  <si>
    <t xml:space="preserve"> - Chất đủ tải, theo biểu thức (2.22)</t>
  </si>
  <si>
    <t xml:space="preserve"> - Chất đủ tải, theo biểu thức (2.26)</t>
  </si>
  <si>
    <t xml:space="preserve"> - Chỉ có trọng lượng bản thân, theo biểu thức (2.7)</t>
  </si>
  <si>
    <r>
      <t>(G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t>
    </r>
  </si>
  <si>
    <r>
      <t>G</t>
    </r>
    <r>
      <rPr>
        <vertAlign val="subscript"/>
        <sz val="13"/>
        <color rgb="FFFF0000"/>
        <rFont val="Times New Roman"/>
        <family val="1"/>
      </rPr>
      <t>o...</t>
    </r>
    <r>
      <rPr>
        <sz val="13"/>
        <color theme="1"/>
        <rFont val="Times New Roman"/>
        <family val="1"/>
      </rPr>
      <t xml:space="preserve"> =</t>
    </r>
  </si>
  <si>
    <r>
      <t>G</t>
    </r>
    <r>
      <rPr>
        <vertAlign val="subscript"/>
        <sz val="13"/>
        <color rgb="FFFF0000"/>
        <rFont val="Times New Roman"/>
        <family val="1"/>
      </rPr>
      <t>a...</t>
    </r>
    <r>
      <rPr>
        <sz val="13"/>
        <color theme="1"/>
        <rFont val="Times New Roman"/>
        <family val="1"/>
      </rPr>
      <t xml:space="preserve"> =</t>
    </r>
  </si>
  <si>
    <t>Nên tập hợp khối lượng bám của các bánh xe chủ động là:</t>
  </si>
  <si>
    <r>
      <t>min(G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</si>
  <si>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r>
      <t>Max(G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xml:space="preserve">) </t>
    </r>
  </si>
  <si>
    <t xml:space="preserve"> + Lực bám của xe </t>
  </si>
  <si>
    <t xml:space="preserve"> - Nhỏ nhất </t>
  </si>
  <si>
    <t xml:space="preserve">nên, </t>
  </si>
  <si>
    <r>
      <t>Xác định giá trị nhỏ nhất (m) và lớn nhất (M) trong tập khối lượng bám của các bánh xe chủ động (G</t>
    </r>
    <r>
      <rPr>
        <vertAlign val="subscript"/>
        <sz val="13"/>
        <color rgb="FFFF0000"/>
        <rFont val="Times New Roman"/>
        <family val="1"/>
      </rPr>
      <t>o…</t>
    </r>
    <r>
      <rPr>
        <sz val="13"/>
        <color theme="1"/>
        <rFont val="Times New Roman"/>
        <family val="1"/>
      </rPr>
      <t>; G</t>
    </r>
    <r>
      <rPr>
        <vertAlign val="subscript"/>
        <sz val="13"/>
        <color rgb="FFFF0000"/>
        <rFont val="Times New Roman"/>
        <family val="1"/>
      </rPr>
      <t>a…</t>
    </r>
    <r>
      <rPr>
        <sz val="13"/>
        <color theme="1"/>
        <rFont val="Times New Roman"/>
        <family val="1"/>
      </rPr>
      <t>), trường hợp:</t>
    </r>
  </si>
  <si>
    <r>
      <t xml:space="preserve">   Lực bám của xe được xác định, P</t>
    </r>
    <r>
      <rPr>
        <vertAlign val="subscript"/>
        <sz val="13"/>
        <color theme="1"/>
        <rFont val="Times New Roman"/>
        <family val="1"/>
      </rPr>
      <t>φmin</t>
    </r>
    <r>
      <rPr>
        <sz val="13"/>
        <color theme="1"/>
        <rFont val="Times New Roman"/>
        <family val="1"/>
      </rPr>
      <t xml:space="preserve"> = φ.m =</t>
    </r>
  </si>
  <si>
    <t xml:space="preserve"> - Lớn nhất</t>
  </si>
  <si>
    <t>Lực bám của xe là tích số của phần khối lượng của xe đặt lên các bánh xe chủ động với hệ số bám (φ) giữa bánh xe với mặt đường.</t>
  </si>
  <si>
    <t>Tương ứng trường hợp phần khối lượng của xe đặt lên các bánh xe chủ động:</t>
  </si>
  <si>
    <t xml:space="preserve"> Hệ số bám được chọn theo biểu thức (2.41)</t>
  </si>
  <si>
    <r>
      <t xml:space="preserve">   Lực bám của xe được xác định, P</t>
    </r>
    <r>
      <rPr>
        <vertAlign val="subscript"/>
        <sz val="13"/>
        <color theme="1"/>
        <rFont val="Times New Roman"/>
        <family val="1"/>
      </rPr>
      <t>φmax</t>
    </r>
    <r>
      <rPr>
        <sz val="13"/>
        <color theme="1"/>
        <rFont val="Times New Roman"/>
        <family val="1"/>
      </rPr>
      <t xml:space="preserve"> = φ.M =</t>
    </r>
  </si>
  <si>
    <r>
      <t>P</t>
    </r>
    <r>
      <rPr>
        <vertAlign val="subscript"/>
        <sz val="13"/>
        <rFont val="Times New Roman"/>
        <family val="1"/>
      </rPr>
      <t xml:space="preserve">φmin </t>
    </r>
    <r>
      <rPr>
        <sz val="13"/>
        <rFont val="Times New Roman"/>
        <family val="1"/>
      </rPr>
      <t>=</t>
    </r>
  </si>
  <si>
    <r>
      <t>P</t>
    </r>
    <r>
      <rPr>
        <vertAlign val="subscript"/>
        <sz val="13"/>
        <rFont val="Times New Roman"/>
        <family val="1"/>
      </rPr>
      <t>φmax</t>
    </r>
    <r>
      <rPr>
        <sz val="13"/>
        <rFont val="Times New Roman"/>
        <family val="1"/>
      </rPr>
      <t xml:space="preserve"> =</t>
    </r>
  </si>
  <si>
    <r>
      <t xml:space="preserve">Công thức bánh xe (A x B), được </t>
    </r>
    <r>
      <rPr>
        <sz val="13"/>
        <color rgb="FFFF0000"/>
        <rFont val="Times New Roman"/>
        <family val="1"/>
      </rPr>
      <t>chọn:</t>
    </r>
  </si>
  <si>
    <r>
      <t xml:space="preserve">Vị trí “B”, chọn </t>
    </r>
    <r>
      <rPr>
        <sz val="13"/>
        <color rgb="FFFF0000"/>
        <rFont val="Times New Roman"/>
        <family val="1"/>
      </rPr>
      <t>trục cầu phía:</t>
    </r>
  </si>
  <si>
    <r>
      <t xml:space="preserve"> - Chỉ có trọng lượng bản thân, là: 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 =</t>
    </r>
  </si>
  <si>
    <r>
      <t>G</t>
    </r>
    <r>
      <rPr>
        <vertAlign val="subscript"/>
        <sz val="13"/>
        <color theme="1"/>
        <rFont val="Times New Roman"/>
        <family val="1"/>
      </rPr>
      <t>wo1</t>
    </r>
    <r>
      <rPr>
        <sz val="13"/>
        <color theme="1"/>
        <rFont val="Times New Roman"/>
        <family val="1"/>
      </rPr>
      <t xml:space="preserve"> </t>
    </r>
    <r>
      <rPr>
        <sz val="13"/>
        <color rgb="FFFF0000"/>
        <rFont val="Times New Roman"/>
        <family val="1"/>
      </rPr>
      <t>=</t>
    </r>
  </si>
  <si>
    <t>N</t>
  </si>
  <si>
    <t>Newton (N)</t>
  </si>
  <si>
    <r>
      <t xml:space="preserve"> - Chất đủ tải, là: 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 =</t>
    </r>
  </si>
  <si>
    <r>
      <t>G</t>
    </r>
    <r>
      <rPr>
        <vertAlign val="subscript"/>
        <sz val="13"/>
        <color theme="1"/>
        <rFont val="Times New Roman"/>
        <family val="1"/>
      </rPr>
      <t>wa1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</si>
  <si>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r>
      <rPr>
        <sz val="13"/>
        <color rgb="FFFF0000"/>
        <rFont val="Times New Roman"/>
        <family val="1"/>
      </rPr>
      <t>=</t>
    </r>
  </si>
  <si>
    <r>
      <t>G</t>
    </r>
    <r>
      <rPr>
        <vertAlign val="subscript"/>
        <sz val="13"/>
        <color theme="1"/>
        <rFont val="Times New Roman"/>
        <family val="1"/>
      </rPr>
      <t>wa2</t>
    </r>
    <r>
      <rPr>
        <sz val="13"/>
        <color theme="1"/>
        <rFont val="Times New Roman"/>
        <family val="1"/>
      </rPr>
      <t xml:space="preserve"> </t>
    </r>
    <r>
      <rPr>
        <sz val="13"/>
        <color rgb="FFFF0000"/>
        <rFont val="Times New Roman"/>
        <family val="1"/>
      </rPr>
      <t>=</t>
    </r>
  </si>
  <si>
    <t xml:space="preserve">hay, </t>
  </si>
  <si>
    <r>
      <t>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</si>
  <si>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Gôm các thông số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xml:space="preserve"> thuộc 2 trường hợp khối lượng xe phân bố lên các bánh xe ở mỗi phía đầu trục cầu trước và cầu sau, tạo thành 1 tập hợp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</si>
  <si>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Gọi M là giá trị lớn nhất của tập hợp giá trị khối lượng (G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và có ký hiệu sau:</t>
    </r>
  </si>
  <si>
    <r>
      <rPr>
        <sz val="13"/>
        <rFont val="Times New Roman"/>
        <family val="1"/>
      </rPr>
      <t>(</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 xml:space="preserve">; </t>
    </r>
    <r>
      <rPr>
        <sz val="13"/>
        <color rgb="FFFF0000"/>
        <rFont val="Times New Roman"/>
        <family val="1"/>
      </rPr>
      <t>...</t>
    </r>
    <r>
      <rPr>
        <sz val="13"/>
        <color rgb="FF000000"/>
        <rFont val="Times New Roman"/>
        <family val="1"/>
      </rPr>
      <t>)</t>
    </r>
  </si>
  <si>
    <t>M = Max</t>
  </si>
  <si>
    <t>Thay các thông số bằng các giá trị tương ứng,</t>
  </si>
  <si>
    <t>Khối lượng phân bố lên một đầu trục cầu xe</t>
  </si>
  <si>
    <t>Tìm được:</t>
  </si>
  <si>
    <t>Như vậy, phần khối lượng lớn nhất (M) trong trường hợp:</t>
  </si>
  <si>
    <t xml:space="preserve"> - Xe:</t>
  </si>
  <si>
    <t xml:space="preserve"> - Đặt lên các bánh xe thuộc một đầu trục cầu phía: </t>
  </si>
  <si>
    <t xml:space="preserve">Nếu đầu trục cầu chỉ có một bánh xe thì khối lượng lớn nhất (M) mà một bánh xe chịu là: </t>
  </si>
  <si>
    <r>
      <rPr>
        <sz val="13"/>
        <color rgb="FF000000"/>
        <rFont val="Times New Roman"/>
        <family val="1"/>
      </rPr>
      <t>G</t>
    </r>
    <r>
      <rPr>
        <vertAlign val="subscript"/>
        <sz val="13"/>
        <color rgb="FFFF0000"/>
        <rFont val="Times New Roman"/>
        <family val="1"/>
      </rPr>
      <t>w…</t>
    </r>
    <r>
      <rPr>
        <vertAlign val="subscript"/>
        <sz val="13"/>
        <color rgb="FF000000"/>
        <rFont val="Times New Roman"/>
        <family val="1"/>
      </rPr>
      <t xml:space="preserve"> </t>
    </r>
    <r>
      <rPr>
        <sz val="13"/>
        <color rgb="FF000000"/>
        <rFont val="Times New Roman"/>
        <family val="1"/>
      </rPr>
      <t>= M =</t>
    </r>
  </si>
  <si>
    <t>Với thông số đầu vào, có:</t>
  </si>
  <si>
    <r>
      <t>v</t>
    </r>
    <r>
      <rPr>
        <vertAlign val="subscript"/>
        <sz val="13"/>
        <color theme="1"/>
        <rFont val="Times New Roman"/>
        <family val="1"/>
      </rPr>
      <t>max</t>
    </r>
    <r>
      <rPr>
        <sz val="13"/>
        <color theme="1"/>
        <rFont val="Times New Roman"/>
        <family val="1"/>
      </rPr>
      <t xml:space="preserve"> </t>
    </r>
    <r>
      <rPr>
        <sz val="13"/>
        <color rgb="FFFF0000"/>
        <rFont val="Times New Roman"/>
        <family val="1"/>
      </rPr>
      <t>=</t>
    </r>
  </si>
  <si>
    <t xml:space="preserve">km/h </t>
  </si>
  <si>
    <t>Với chủng loại</t>
  </si>
  <si>
    <r>
      <t xml:space="preserve">Theo bảng 9, áp suất lốp được chọn </t>
    </r>
    <r>
      <rPr>
        <sz val="13"/>
        <color rgb="FFFF0000"/>
        <rFont val="Times New Roman"/>
        <family val="1"/>
      </rPr>
      <t>thấp/cao</t>
    </r>
    <r>
      <rPr>
        <sz val="13"/>
        <color theme="1"/>
        <rFont val="Times New Roman"/>
        <family val="1"/>
      </rPr>
      <t xml:space="preserve">, nên [λ] = </t>
    </r>
    <r>
      <rPr>
        <sz val="13"/>
        <color rgb="FFFF0000"/>
        <rFont val="Times New Roman"/>
        <family val="1"/>
      </rPr>
      <t>(…</t>
    </r>
    <r>
      <rPr>
        <sz val="13"/>
        <color theme="1"/>
        <rFont val="Times New Roman"/>
        <family val="1"/>
      </rPr>
      <t xml:space="preserve"> ÷ </t>
    </r>
    <r>
      <rPr>
        <sz val="13"/>
        <color rgb="FFFF0000"/>
        <rFont val="Times New Roman"/>
        <family val="1"/>
      </rPr>
      <t>…</t>
    </r>
    <r>
      <rPr>
        <sz val="13"/>
        <color theme="1"/>
        <rFont val="Times New Roman"/>
        <family val="1"/>
      </rPr>
      <t>)</t>
    </r>
  </si>
  <si>
    <t>thấp/cao</t>
  </si>
  <si>
    <t>Theo bảng 9, áp suất lốp được chọn là:</t>
  </si>
  <si>
    <t>Nên hệ số áp suất lốp thuộc khoảng</t>
  </si>
  <si>
    <t>và chọn giá trị hệ số áp suất lốp</t>
  </si>
  <si>
    <t>.(2.70)</t>
  </si>
  <si>
    <t>1.6. CÔNG SUẤT</t>
  </si>
  <si>
    <t xml:space="preserve">1.2.10. </t>
  </si>
  <si>
    <t>Hiệu suất của hệ thống truyền lực</t>
  </si>
  <si>
    <t>1.2.11.</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</si>
  <si>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</si>
  <si>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</si>
  <si>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</si>
  <si>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</si>
  <si>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</si>
  <si>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</si>
  <si>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</si>
  <si>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</si>
  <si>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r>
      <t>η</t>
    </r>
    <r>
      <rPr>
        <vertAlign val="subscript"/>
        <sz val="13"/>
        <color theme="1"/>
        <rFont val="Times New Roman"/>
        <family val="1"/>
      </rPr>
      <t>t</t>
    </r>
    <r>
      <rPr>
        <sz val="13"/>
        <color theme="1"/>
        <rFont val="Times New Roman"/>
        <family val="1"/>
      </rPr>
      <t xml:space="preserve"> </t>
    </r>
  </si>
  <si>
    <r>
      <t>fv</t>
    </r>
    <r>
      <rPr>
        <vertAlign val="subscript"/>
        <sz val="13"/>
        <color theme="1"/>
        <rFont val="Times New Roman"/>
        <family val="1"/>
      </rPr>
      <t>max</t>
    </r>
    <r>
      <rPr>
        <sz val="13"/>
        <color theme="1"/>
        <rFont val="Times New Roman"/>
        <family val="1"/>
      </rPr>
      <t xml:space="preserve"> </t>
    </r>
  </si>
  <si>
    <t xml:space="preserve">Độ dốc mặt đường i, theo biểu thức (2.18), </t>
  </si>
  <si>
    <t xml:space="preserve">i </t>
  </si>
  <si>
    <t xml:space="preserve">Khối lượng xe khi đủ tải G, theo biểu thức (2.12), </t>
  </si>
  <si>
    <t xml:space="preserve">Vận tốc lớn nhất của xe theo yêu cầu, </t>
  </si>
  <si>
    <r>
      <t>v</t>
    </r>
    <r>
      <rPr>
        <vertAlign val="subscript"/>
        <sz val="13"/>
        <color theme="1"/>
        <rFont val="Times New Roman"/>
        <family val="1"/>
      </rPr>
      <t>max</t>
    </r>
    <r>
      <rPr>
        <sz val="13"/>
        <color theme="1"/>
        <rFont val="Times New Roman"/>
        <family val="1"/>
      </rPr>
      <t xml:space="preserve"> </t>
    </r>
  </si>
  <si>
    <t xml:space="preserve">Nhân tố khí động học W, theo biểu thức (2.26), </t>
  </si>
  <si>
    <t xml:space="preserve">W </t>
  </si>
  <si>
    <t>Thay các giá trị đã có ở trên vào biểu thức (2.51), được:</t>
  </si>
  <si>
    <r>
      <t>Nv</t>
    </r>
    <r>
      <rPr>
        <vertAlign val="subscript"/>
        <sz val="13"/>
        <color theme="1"/>
        <rFont val="Times New Roman"/>
        <family val="1"/>
      </rPr>
      <t>max</t>
    </r>
    <r>
      <rPr>
        <sz val="13"/>
        <color theme="1"/>
        <rFont val="Times New Roman"/>
        <family val="1"/>
      </rPr>
      <t xml:space="preserve"> </t>
    </r>
  </si>
  <si>
    <r>
      <t>=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kW =</t>
    </r>
  </si>
  <si>
    <t>(2.52)</t>
  </si>
  <si>
    <t>b. Công suất lớn nhất của ĐCĐT</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</si>
  <si>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</si>
  <si>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</si>
  <si>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</si>
  <si>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</si>
  <si>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</si>
  <si>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</si>
  <si>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</si>
  <si>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Giá trị [λ] được chọn dựa theo </t>
    </r>
    <r>
      <rPr>
        <b/>
        <sz val="13"/>
        <color theme="1"/>
        <rFont val="Times New Roman"/>
        <family val="1"/>
      </rPr>
      <t>bảng 6</t>
    </r>
    <r>
      <rPr>
        <sz val="13"/>
        <color theme="1"/>
        <rFont val="Times New Roman"/>
        <family val="1"/>
      </rPr>
      <t>, nó phụ thuộc vào: </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</si>
  <si>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</si>
  <si>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</si>
  <si>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</si>
  <si>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r>
      <t>[λ]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xml:space="preserve">, = </t>
    </r>
    <r>
      <rPr>
        <sz val="13"/>
        <color rgb="FFFF0000"/>
        <rFont val="Times New Roman"/>
        <family val="1"/>
      </rPr>
      <t xml:space="preserve">(… ÷ …) </t>
    </r>
  </si>
  <si>
    <t xml:space="preserve">Chọn: </t>
  </si>
  <si>
    <r>
      <t xml:space="preserve">λ </t>
    </r>
    <r>
      <rPr>
        <sz val="13"/>
        <color rgb="FFFF0000"/>
        <rFont val="Times New Roman"/>
        <family val="1"/>
      </rPr>
      <t xml:space="preserve">=  … </t>
    </r>
    <r>
      <rPr>
        <sz val="13"/>
        <color theme="1"/>
        <rFont val="Times New Roman"/>
        <family val="1"/>
      </rPr>
      <t>Є</t>
    </r>
    <r>
      <rPr>
        <sz val="13"/>
        <color rgb="FFFF0000"/>
        <rFont val="Times New Roman"/>
        <family val="1"/>
      </rPr>
      <t xml:space="preserve"> (… ÷ …) </t>
    </r>
  </si>
  <si>
    <t>Thay giá trị các thông số vào biểu thức (2.56):</t>
  </si>
  <si>
    <r>
      <t>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</si>
  <si>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r>
      <t>Công suất ĐCĐT ứng với v</t>
    </r>
    <r>
      <rPr>
        <vertAlign val="subscript"/>
        <sz val="13"/>
        <color theme="1"/>
        <rFont val="Times New Roman"/>
        <family val="1"/>
      </rPr>
      <t>max</t>
    </r>
    <r>
      <rPr>
        <sz val="13"/>
        <color theme="1"/>
        <rFont val="Times New Roman"/>
        <family val="1"/>
      </rPr>
      <t xml:space="preserve"> của xe, theo biểu thức (2.18), Nv</t>
    </r>
    <r>
      <rPr>
        <vertAlign val="subscript"/>
        <sz val="13"/>
        <color theme="1"/>
        <rFont val="Times New Roman"/>
        <family val="1"/>
      </rPr>
      <t>max</t>
    </r>
    <r>
      <rPr>
        <sz val="13"/>
        <color theme="1"/>
        <rFont val="Times New Roman"/>
        <family val="1"/>
      </rPr>
      <t xml:space="preserve"> </t>
    </r>
  </si>
  <si>
    <t xml:space="preserve">Các hệ số a, b, c, theo biểu thức (2.32): </t>
  </si>
  <si>
    <r>
      <t>a</t>
    </r>
    <r>
      <rPr>
        <sz val="13"/>
        <color rgb="FFFF0000"/>
        <rFont val="Times New Roman"/>
        <family val="1"/>
      </rPr>
      <t xml:space="preserve"> </t>
    </r>
  </si>
  <si>
    <t xml:space="preserve">= …; </t>
  </si>
  <si>
    <r>
      <t>b</t>
    </r>
    <r>
      <rPr>
        <sz val="13"/>
        <color rgb="FFFF0000"/>
        <rFont val="Times New Roman"/>
        <family val="1"/>
      </rPr>
      <t xml:space="preserve"> </t>
    </r>
  </si>
  <si>
    <r>
      <t>c</t>
    </r>
    <r>
      <rPr>
        <sz val="13"/>
        <color rgb="FFFF0000"/>
        <rFont val="Times New Roman"/>
        <family val="1"/>
      </rPr>
      <t xml:space="preserve"> </t>
    </r>
  </si>
  <si>
    <t xml:space="preserve">= …;  </t>
  </si>
  <si>
    <t xml:space="preserve">Theo biểu thức (2.57), hệ số </t>
  </si>
  <si>
    <t xml:space="preserve">λ </t>
  </si>
  <si>
    <t>Thay các giá trị đã có vào biểu thức (5.56):</t>
  </si>
  <si>
    <r>
      <t>N</t>
    </r>
    <r>
      <rPr>
        <vertAlign val="subscript"/>
        <sz val="13"/>
        <color theme="1"/>
        <rFont val="Times New Roman"/>
        <family val="1"/>
      </rPr>
      <t>max</t>
    </r>
    <r>
      <rPr>
        <sz val="13"/>
        <color theme="1"/>
        <rFont val="Times New Roman"/>
        <family val="1"/>
      </rPr>
      <t xml:space="preserve"> = Nv</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xml:space="preserve">] </t>
    </r>
    <r>
      <rPr>
        <sz val="13"/>
        <color rgb="FFFF0000"/>
        <rFont val="Times New Roman"/>
        <family val="1"/>
      </rPr>
      <t>= ………………………………… kW</t>
    </r>
  </si>
  <si>
    <r>
      <t>N</t>
    </r>
    <r>
      <rPr>
        <vertAlign val="subscript"/>
        <sz val="13"/>
        <color theme="1"/>
        <rFont val="Times New Roman"/>
        <family val="1"/>
      </rPr>
      <t>max</t>
    </r>
    <r>
      <rPr>
        <sz val="13"/>
        <color theme="1"/>
        <rFont val="Times New Roman"/>
        <family val="1"/>
      </rPr>
      <t xml:space="preserve"> = </t>
    </r>
    <r>
      <rPr>
        <sz val="13"/>
        <color rgb="FFFF0000"/>
        <rFont val="Times New Roman"/>
        <family val="1"/>
      </rPr>
      <t xml:space="preserve">……………… kW </t>
    </r>
  </si>
  <si>
    <t>Theo yêu cầu từ biểu thức (2.58), chọn ĐCĐT có:</t>
  </si>
  <si>
    <t xml:space="preserve">+ Công suất: </t>
  </si>
  <si>
    <r>
      <t>N</t>
    </r>
    <r>
      <rPr>
        <vertAlign val="subscript"/>
        <sz val="13"/>
        <color theme="1"/>
        <rFont val="Times New Roman"/>
        <family val="1"/>
      </rPr>
      <t>max</t>
    </r>
    <r>
      <rPr>
        <sz val="13"/>
        <color theme="1"/>
        <rFont val="Times New Roman"/>
        <family val="1"/>
      </rPr>
      <t xml:space="preserve"> </t>
    </r>
  </si>
  <si>
    <t>(2.59)</t>
  </si>
  <si>
    <r>
      <t>+ Số vòng quay ứng với N</t>
    </r>
    <r>
      <rPr>
        <vertAlign val="subscript"/>
        <sz val="13"/>
        <color theme="1"/>
        <rFont val="Times New Roman"/>
        <family val="1"/>
      </rPr>
      <t>max</t>
    </r>
    <r>
      <rPr>
        <sz val="13"/>
        <color theme="1"/>
        <rFont val="Times New Roman"/>
        <family val="1"/>
      </rPr>
      <t xml:space="preserve">: </t>
    </r>
  </si>
  <si>
    <r>
      <t>n</t>
    </r>
    <r>
      <rPr>
        <vertAlign val="subscript"/>
        <sz val="13"/>
        <color theme="1"/>
        <rFont val="Times New Roman"/>
        <family val="1"/>
      </rPr>
      <t>N</t>
    </r>
    <r>
      <rPr>
        <sz val="13"/>
        <color theme="1"/>
        <rFont val="Times New Roman"/>
        <family val="1"/>
      </rPr>
      <t xml:space="preserve"> </t>
    </r>
  </si>
  <si>
    <t>(2.60)</t>
  </si>
  <si>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</si>
  <si>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</si>
  <si>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</si>
  <si>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</si>
  <si>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r>
      <t>η</t>
    </r>
    <r>
      <rPr>
        <vertAlign val="subscript"/>
        <sz val="13"/>
        <color theme="1"/>
        <rFont val="Times New Roman"/>
        <family val="1"/>
      </rPr>
      <t xml:space="preserve">t </t>
    </r>
    <r>
      <rPr>
        <sz val="13"/>
        <color theme="1"/>
        <rFont val="Times New Roman"/>
        <family val="1"/>
      </rPr>
      <t>- hiệu suất hệ thống truyền lực, theo biểu thức (2.80)</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</si>
  <si>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(2.21), </t>
    </r>
  </si>
  <si>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</si>
  <si>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</si>
  <si>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</si>
  <si>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</si>
  <si>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</si>
  <si>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</si>
  <si>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</si>
  <si>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</si>
  <si>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</si>
  <si>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</si>
  <si>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t>Є [K] =</t>
  </si>
  <si>
    <r>
      <t>Є [n</t>
    </r>
    <r>
      <rPr>
        <vertAlign val="subscript"/>
        <sz val="13"/>
        <rFont val="Times New Roman"/>
        <family val="1"/>
      </rPr>
      <t>min</t>
    </r>
    <r>
      <rPr>
        <sz val="13"/>
        <rFont val="Times New Roman"/>
        <family val="1"/>
      </rPr>
      <t>] =</t>
    </r>
  </si>
  <si>
    <t>Є [F] =</t>
  </si>
  <si>
    <t>Є [W] =</t>
  </si>
  <si>
    <t>Є [φ] =</t>
  </si>
  <si>
    <r>
      <t>Є [f</t>
    </r>
    <r>
      <rPr>
        <vertAlign val="subscript"/>
        <sz val="13"/>
        <color rgb="FFFF0000"/>
        <rFont val="Times New Roman"/>
        <family val="1"/>
      </rPr>
      <t>o</t>
    </r>
    <r>
      <rPr>
        <sz val="13"/>
        <color rgb="FFFF0000"/>
        <rFont val="Times New Roman"/>
        <family val="1"/>
      </rPr>
      <t xml:space="preserve">] </t>
    </r>
    <r>
      <rPr>
        <sz val="13"/>
        <color theme="1"/>
        <rFont val="Times New Roman"/>
        <family val="1"/>
      </rPr>
      <t>=</t>
    </r>
  </si>
  <si>
    <r>
      <t>Є [W</t>
    </r>
    <r>
      <rPr>
        <vertAlign val="subscript"/>
        <sz val="13"/>
        <rFont val="Times New Roman"/>
        <family val="1"/>
      </rPr>
      <t>o</t>
    </r>
    <r>
      <rPr>
        <sz val="13"/>
        <rFont val="Times New Roman"/>
        <family val="1"/>
      </rPr>
      <t>] =</t>
    </r>
  </si>
  <si>
    <r>
      <t>Є [H</t>
    </r>
    <r>
      <rPr>
        <vertAlign val="subscript"/>
        <sz val="13"/>
        <rFont val="Times New Roman"/>
        <family val="1"/>
      </rPr>
      <t>o</t>
    </r>
    <r>
      <rPr>
        <sz val="13"/>
        <rFont val="Times New Roman"/>
        <family val="1"/>
      </rPr>
      <t>] =</t>
    </r>
  </si>
  <si>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</si>
  <si>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</si>
  <si>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</si>
  <si>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</si>
  <si>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</si>
  <si>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i</t>
    </r>
    <r>
      <rPr>
        <sz val="13"/>
        <color theme="1"/>
        <rFont val="Times New Roman"/>
        <family val="1"/>
      </rPr>
      <t>/1500)</t>
    </r>
  </si>
  <si>
    <r>
      <t>fv</t>
    </r>
    <r>
      <rPr>
        <vertAlign val="subscript"/>
        <sz val="13"/>
        <color theme="1"/>
        <rFont val="Times New Roman"/>
        <family val="1"/>
      </rPr>
      <t>max</t>
    </r>
    <r>
      <rPr>
        <sz val="13"/>
        <color theme="1"/>
        <rFont val="Times New Roman"/>
        <family val="1"/>
      </rPr>
      <t xml:space="preserve"> = f</t>
    </r>
    <r>
      <rPr>
        <vertAlign val="subscript"/>
        <sz val="13"/>
        <color theme="1"/>
        <rFont val="Times New Roman"/>
        <family val="1"/>
      </rPr>
      <t>o</t>
    </r>
    <r>
      <rPr>
        <sz val="13"/>
        <color theme="1"/>
        <rFont val="Times New Roman"/>
        <family val="1"/>
      </rPr>
      <t>.(1+v</t>
    </r>
    <r>
      <rPr>
        <vertAlign val="superscript"/>
        <sz val="13"/>
        <color theme="1"/>
        <rFont val="Times New Roman"/>
        <family val="1"/>
      </rPr>
      <t>2</t>
    </r>
    <r>
      <rPr>
        <vertAlign val="subscript"/>
        <sz val="13"/>
        <color theme="1"/>
        <rFont val="Times New Roman"/>
        <family val="1"/>
      </rPr>
      <t>max</t>
    </r>
    <r>
      <rPr>
        <sz val="13"/>
        <color theme="1"/>
        <rFont val="Times New Roman"/>
        <family val="1"/>
      </rPr>
      <t>/1500)</t>
    </r>
  </si>
  <si>
    <r>
      <rPr>
        <sz val="13"/>
        <color rgb="FF000000"/>
        <rFont val="Times New Roman"/>
        <family val="1"/>
      </rPr>
      <t>M = G</t>
    </r>
    <r>
      <rPr>
        <vertAlign val="subscript"/>
        <sz val="13"/>
        <color rgb="FFFF0000"/>
        <rFont val="Times New Roman"/>
        <family val="1"/>
      </rPr>
      <t>w…</t>
    </r>
    <r>
      <rPr>
        <sz val="13"/>
        <color rgb="FFFF0000"/>
        <rFont val="Times New Roman"/>
        <family val="1"/>
      </rPr>
      <t>=</t>
    </r>
  </si>
  <si>
    <r>
      <t xml:space="preserve">Chưa đủ điều kiện xác định các cụm tổng thành trong hệ thống truyền lực để tính hiệu suất, nên chọn theo hiệu suất trung bình, dựa theo </t>
    </r>
    <r>
      <rPr>
        <b/>
        <sz val="13"/>
        <color theme="1"/>
        <rFont val="Times New Roman"/>
        <family val="1"/>
      </rPr>
      <t>bảng 10</t>
    </r>
    <r>
      <rPr>
        <sz val="13"/>
        <color theme="1"/>
        <rFont val="Times New Roman"/>
        <family val="1"/>
      </rPr>
      <t xml:space="preserve"> với:</t>
    </r>
  </si>
  <si>
    <r>
      <t>G</t>
    </r>
    <r>
      <rPr>
        <vertAlign val="subscript"/>
        <sz val="13"/>
        <color theme="1"/>
        <rFont val="Times New Roman"/>
        <family val="1"/>
      </rPr>
      <t>a</t>
    </r>
    <r>
      <rPr>
        <sz val="13"/>
        <color theme="1"/>
        <rFont val="Times New Roman"/>
        <family val="1"/>
      </rPr>
      <t xml:space="preserve"> </t>
    </r>
  </si>
  <si>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</si>
  <si>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</si>
  <si>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</si>
  <si>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</si>
  <si>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</si>
  <si>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</si>
  <si>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</si>
  <si>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</si>
  <si>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</si>
  <si>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</si>
  <si>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</si>
  <si>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</si>
  <si>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</si>
  <si>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</si>
  <si>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</si>
  <si>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</si>
  <si>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</si>
  <si>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</si>
  <si>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</si>
  <si>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</si>
  <si>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</si>
  <si>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</si>
  <si>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</si>
  <si>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</si>
  <si>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</si>
  <si>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</si>
  <si>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</si>
  <si>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</si>
  <si>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</si>
  <si>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</si>
  <si>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</si>
  <si>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</si>
  <si>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</si>
  <si>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</si>
  <si>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</si>
  <si>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</si>
  <si>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</si>
  <si>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</si>
  <si>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</si>
  <si>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</si>
  <si>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</si>
  <si>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</si>
  <si>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</si>
  <si>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</si>
  <si>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</si>
  <si>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</si>
  <si>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</si>
  <si>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</si>
  <si>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</si>
  <si>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</si>
  <si>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</si>
  <si>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</si>
  <si>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</si>
  <si>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</si>
  <si>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</si>
  <si>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</si>
  <si>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</si>
  <si>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</si>
  <si>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</si>
  <si>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</si>
  <si>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</si>
  <si>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</si>
  <si>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</si>
  <si>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</si>
  <si>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</si>
  <si>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</si>
  <si>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</si>
  <si>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</si>
  <si>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</si>
  <si>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</si>
  <si>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</si>
  <si>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</si>
  <si>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</si>
  <si>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</si>
  <si>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</si>
  <si>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</si>
  <si>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</si>
  <si>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</si>
  <si>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</si>
  <si>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</si>
  <si>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</si>
  <si>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</si>
  <si>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</si>
  <si>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</si>
  <si>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</si>
  <si>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</si>
  <si>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</si>
  <si>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</si>
  <si>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</si>
  <si>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</si>
  <si>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</si>
  <si>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</si>
  <si>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</si>
  <si>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</si>
  <si>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</si>
  <si>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</si>
  <si>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</si>
  <si>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</si>
  <si>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(A x B) =</t>
  </si>
  <si>
    <t xml:space="preserve"> + Công thức bánh xe:</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</si>
  <si>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</si>
  <si>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</si>
  <si>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</si>
  <si>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</si>
  <si>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t>Có giá trị:</t>
  </si>
  <si>
    <t>Tạo chúng thành tập hợp khối lượng bám</t>
  </si>
  <si>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</si>
  <si>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</si>
  <si>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</si>
  <si>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</si>
  <si>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</si>
  <si>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</si>
  <si>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</si>
  <si>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</si>
  <si>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</si>
  <si>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</si>
  <si>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</si>
  <si>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</si>
  <si>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</si>
  <si>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</si>
  <si>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</si>
  <si>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</si>
  <si>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</si>
  <si>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</si>
  <si>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</si>
  <si>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</si>
  <si>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</si>
  <si>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</si>
  <si>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</si>
  <si>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</si>
  <si>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</si>
  <si>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</si>
  <si>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</si>
  <si>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</si>
  <si>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</si>
  <si>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</si>
  <si>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</si>
  <si>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</si>
  <si>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</si>
  <si>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</si>
  <si>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</si>
  <si>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</si>
  <si>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</si>
  <si>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</si>
  <si>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</si>
  <si>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</si>
  <si>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</si>
  <si>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</si>
  <si>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</si>
  <si>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</si>
  <si>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</si>
  <si>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</si>
  <si>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</si>
  <si>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</si>
  <si>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</si>
  <si>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</si>
  <si>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</si>
  <si>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</si>
  <si>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</si>
  <si>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</si>
  <si>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</si>
  <si>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</si>
  <si>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</si>
  <si>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</si>
  <si>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</si>
  <si>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</si>
  <si>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</si>
  <si>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</si>
  <si>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</si>
  <si>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</si>
  <si>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</si>
  <si>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</si>
  <si>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</si>
  <si>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</si>
  <si>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</si>
  <si>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</si>
  <si>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</si>
  <si>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</si>
  <si>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</si>
  <si>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</si>
  <si>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</si>
  <si>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</si>
  <si>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</si>
  <si>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</si>
  <si>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</si>
  <si>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</si>
  <si>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</si>
  <si>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</si>
  <si>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</si>
  <si>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</si>
  <si>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</si>
  <si>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</si>
  <si>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</si>
  <si>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</si>
  <si>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</si>
  <si>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</si>
  <si>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</si>
  <si>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</si>
  <si>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</si>
  <si>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</si>
  <si>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</si>
  <si>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</si>
  <si>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</si>
  <si>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</si>
  <si>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</si>
  <si>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</si>
  <si>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</si>
  <si>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</si>
  <si>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</si>
  <si>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</si>
  <si>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</si>
  <si>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</si>
  <si>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</si>
  <si>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</si>
  <si>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</si>
  <si>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</si>
  <si>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</si>
  <si>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</si>
  <si>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</si>
  <si>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</si>
  <si>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</si>
  <si>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</si>
  <si>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</si>
  <si>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</si>
  <si>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</si>
  <si>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</si>
  <si>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</si>
  <si>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</si>
  <si>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</si>
  <si>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</si>
  <si>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</si>
  <si>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</si>
  <si>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</si>
  <si>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</si>
  <si>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</si>
  <si>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</si>
  <si>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</si>
  <si>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</si>
  <si>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</si>
  <si>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</si>
  <si>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</si>
  <si>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</si>
  <si>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</si>
  <si>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</si>
  <si>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</si>
  <si>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</si>
  <si>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</si>
  <si>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</si>
  <si>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</si>
  <si>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</si>
  <si>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</si>
  <si>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</si>
  <si>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</si>
  <si>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</si>
  <si>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</si>
  <si>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</si>
  <si>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</si>
  <si>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</si>
  <si>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</si>
  <si>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</si>
  <si>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</si>
  <si>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</si>
  <si>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</si>
  <si>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</si>
  <si>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</si>
  <si>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</si>
  <si>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</si>
  <si>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</si>
  <si>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</si>
  <si>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</si>
  <si>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</si>
  <si>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</si>
  <si>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</si>
  <si>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</si>
  <si>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</si>
  <si>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</si>
  <si>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</si>
  <si>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</si>
  <si>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</si>
  <si>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</si>
  <si>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</si>
  <si>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</si>
  <si>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</si>
  <si>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</si>
  <si>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</si>
  <si>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</si>
  <si>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</si>
  <si>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</si>
  <si>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</si>
  <si>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</si>
  <si>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</si>
  <si>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</si>
  <si>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</si>
  <si>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</si>
  <si>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</si>
  <si>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</si>
  <si>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</si>
  <si>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</si>
  <si>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</si>
  <si>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</si>
  <si>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</si>
  <si>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</si>
  <si>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</si>
  <si>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</si>
  <si>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</si>
  <si>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</si>
  <si>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</si>
  <si>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</si>
  <si>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</si>
  <si>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</si>
  <si>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</si>
  <si>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</si>
  <si>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</si>
  <si>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</si>
  <si>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</si>
  <si>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</si>
  <si>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</si>
  <si>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</si>
  <si>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</si>
  <si>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</si>
  <si>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</si>
  <si>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</si>
  <si>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</si>
  <si>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</si>
  <si>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</si>
  <si>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</si>
  <si>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</si>
  <si>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</si>
  <si>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</si>
  <si>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</si>
  <si>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</si>
  <si>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</si>
  <si>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</si>
  <si>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</si>
  <si>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</si>
  <si>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</si>
  <si>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</si>
  <si>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</si>
  <si>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</si>
  <si>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</si>
  <si>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</si>
  <si>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</si>
  <si>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</si>
  <si>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</si>
  <si>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</si>
  <si>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</si>
  <si>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</si>
  <si>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</si>
  <si>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</si>
  <si>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</si>
  <si>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</si>
  <si>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</si>
  <si>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</si>
  <si>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</si>
  <si>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</si>
  <si>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</si>
  <si>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</si>
  <si>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</si>
  <si>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</si>
  <si>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</si>
  <si>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</si>
  <si>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</si>
  <si>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</si>
  <si>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</si>
  <si>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</si>
  <si>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</si>
  <si>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</si>
  <si>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</si>
  <si>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</si>
  <si>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</si>
  <si>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</si>
  <si>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</si>
  <si>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</si>
  <si>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</si>
  <si>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</si>
  <si>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</si>
  <si>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</si>
  <si>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</si>
  <si>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</si>
  <si>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</si>
  <si>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</si>
  <si>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</si>
  <si>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</si>
  <si>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</si>
  <si>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</si>
  <si>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</si>
  <si>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</si>
  <si>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</si>
  <si>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</si>
  <si>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</si>
  <si>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</si>
  <si>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</si>
  <si>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</si>
  <si>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</si>
  <si>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</si>
  <si>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</si>
  <si>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</si>
  <si>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</si>
  <si>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</si>
  <si>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</si>
  <si>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</si>
  <si>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</si>
  <si>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</si>
  <si>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</si>
  <si>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</si>
  <si>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</si>
  <si>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</si>
  <si>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</si>
  <si>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</si>
  <si>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</si>
  <si>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</si>
  <si>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</si>
  <si>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</si>
  <si>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</si>
  <si>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</si>
  <si>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</si>
  <si>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</si>
  <si>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</si>
  <si>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</si>
  <si>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</si>
  <si>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</si>
  <si>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</si>
  <si>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</si>
  <si>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</si>
  <si>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</si>
  <si>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</si>
  <si>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</si>
  <si>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</si>
  <si>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</si>
  <si>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</si>
  <si>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</si>
  <si>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</si>
  <si>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</si>
  <si>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</si>
  <si>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</si>
  <si>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xe tải 5 tấn</t>
  </si>
  <si>
    <t>nhựa, bê tông khô sạch</t>
  </si>
  <si>
    <t>(1745 ÷ 6400)</t>
  </si>
  <si>
    <t>(28 ÷ 74)</t>
  </si>
  <si>
    <t>(27 ÷ 72)</t>
  </si>
  <si>
    <t>(65 ÷ 75)</t>
  </si>
  <si>
    <t>(21 ÷ 48)</t>
  </si>
  <si>
    <t>(52 ÷ 79)</t>
  </si>
  <si>
    <t>(4 ÷ 5)</t>
  </si>
  <si>
    <t>(0.7 ÷ 0.8)</t>
  </si>
  <si>
    <r>
      <rPr>
        <sz val="13"/>
        <color rgb="FFFF0000"/>
        <rFont val="Times New Roman"/>
        <family val="1"/>
      </rPr>
      <t xml:space="preserve">(1385 ÷ 1910) </t>
    </r>
    <r>
      <rPr>
        <sz val="13"/>
        <color theme="1"/>
        <rFont val="Times New Roman"/>
        <family val="1"/>
      </rPr>
      <t xml:space="preserve">mm </t>
    </r>
  </si>
  <si>
    <r>
      <rPr>
        <sz val="13"/>
        <color rgb="FFFF0000"/>
        <rFont val="Times New Roman"/>
        <family val="1"/>
      </rPr>
      <t xml:space="preserve">(1760 ÷ 2500) </t>
    </r>
    <r>
      <rPr>
        <sz val="13"/>
        <color theme="1"/>
        <rFont val="Times New Roman"/>
        <family val="1"/>
      </rPr>
      <t xml:space="preserve">mm </t>
    </r>
  </si>
  <si>
    <r>
      <rPr>
        <sz val="13"/>
        <color rgb="FFFF0000"/>
        <rFont val="Times New Roman"/>
        <family val="1"/>
      </rPr>
      <t xml:space="preserve">(2000 ÷ 3210) </t>
    </r>
    <r>
      <rPr>
        <sz val="13"/>
        <color theme="1"/>
        <rFont val="Times New Roman"/>
        <family val="1"/>
      </rPr>
      <t xml:space="preserve">mm </t>
    </r>
  </si>
  <si>
    <t>(1.8 ÷ 3.5)</t>
  </si>
  <si>
    <t>(3.0 ÷ 5.0)</t>
  </si>
  <si>
    <t>(0.60 ÷ 0.70)</t>
  </si>
  <si>
    <t>(500 ÷ 600)</t>
  </si>
  <si>
    <t>(0.8 ÷ 0.9)</t>
  </si>
  <si>
    <t>diesel</t>
  </si>
  <si>
    <t>loại trực tiếp</t>
  </si>
  <si>
    <t xml:space="preserve">(0.8 ÷ 0.9) </t>
  </si>
  <si>
    <t>TL255/70R22.5 140/137M</t>
  </si>
  <si>
    <t>4x4</t>
  </si>
  <si>
    <t>tất cả</t>
  </si>
  <si>
    <r>
      <t>G</t>
    </r>
    <r>
      <rPr>
        <vertAlign val="subscript"/>
        <sz val="13"/>
        <color theme="1"/>
        <rFont val="Times New Roman"/>
        <family val="1"/>
      </rPr>
      <t xml:space="preserve">o = </t>
    </r>
    <r>
      <rPr>
        <sz val="13"/>
        <color theme="1"/>
        <rFont val="Times New Roman"/>
        <family val="1"/>
      </rPr>
      <t>4300</t>
    </r>
  </si>
  <si>
    <r>
      <t>G</t>
    </r>
    <r>
      <rPr>
        <vertAlign val="subscript"/>
        <sz val="13"/>
        <color theme="1"/>
        <rFont val="Times New Roman"/>
        <family val="1"/>
      </rPr>
      <t xml:space="preserve">a = </t>
    </r>
    <r>
      <rPr>
        <sz val="13"/>
        <color theme="1"/>
        <rFont val="Times New Roman"/>
        <family val="1"/>
      </rPr>
      <t>9495</t>
    </r>
  </si>
  <si>
    <r>
      <t>(G</t>
    </r>
    <r>
      <rPr>
        <vertAlign val="subscript"/>
        <sz val="13"/>
        <color theme="1"/>
        <rFont val="Times New Roman"/>
        <family val="1"/>
      </rPr>
      <t>o</t>
    </r>
    <r>
      <rPr>
        <vertAlign val="subscript"/>
        <sz val="13"/>
        <color rgb="FFFF0000"/>
        <rFont val="Times New Roman"/>
        <family val="1"/>
      </rPr>
      <t xml:space="preserve"> </t>
    </r>
    <r>
      <rPr>
        <sz val="13"/>
        <color theme="1"/>
        <rFont val="Times New Roman"/>
        <family val="1"/>
      </rPr>
      <t>= 2300; G</t>
    </r>
    <r>
      <rPr>
        <vertAlign val="subscript"/>
        <sz val="13"/>
        <color theme="1"/>
        <rFont val="Times New Roman"/>
        <family val="1"/>
      </rPr>
      <t xml:space="preserve">a </t>
    </r>
    <r>
      <rPr>
        <sz val="13"/>
        <color theme="1"/>
        <rFont val="Times New Roman"/>
        <family val="1"/>
      </rPr>
      <t>= 3200)</t>
    </r>
  </si>
  <si>
    <r>
      <t>(G</t>
    </r>
    <r>
      <rPr>
        <vertAlign val="subscript"/>
        <sz val="13"/>
        <color theme="1"/>
        <rFont val="Times New Roman"/>
        <family val="1"/>
      </rPr>
      <t xml:space="preserve">o </t>
    </r>
    <r>
      <rPr>
        <sz val="13"/>
        <color theme="1"/>
        <rFont val="Times New Roman"/>
        <family val="1"/>
      </rPr>
      <t>= 2000; G</t>
    </r>
    <r>
      <rPr>
        <vertAlign val="subscript"/>
        <sz val="13"/>
        <color theme="1"/>
        <rFont val="Times New Roman"/>
        <family val="1"/>
      </rPr>
      <t xml:space="preserve">a </t>
    </r>
    <r>
      <rPr>
        <sz val="13"/>
        <color theme="1"/>
        <rFont val="Times New Roman"/>
        <family val="1"/>
      </rPr>
      <t>= 6295)</t>
    </r>
  </si>
  <si>
    <r>
      <t>φ.G</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</si>
  <si>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</si>
  <si>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</si>
  <si>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a1</t>
    </r>
    <r>
      <rPr>
        <sz val="13"/>
        <color theme="1"/>
        <rFont val="Times New Roman"/>
        <family val="1"/>
      </rPr>
      <t xml:space="preserve"> =</t>
    </r>
  </si>
  <si>
    <r>
      <t>(</t>
    </r>
    <r>
      <rPr>
        <sz val="13"/>
        <color theme="9"/>
        <rFont val="Times New Roman"/>
        <family val="1"/>
      </rPr>
      <t>1150</t>
    </r>
    <r>
      <rPr>
        <sz val="13"/>
        <rFont val="Times New Roman"/>
        <family val="1"/>
      </rPr>
      <t>;</t>
    </r>
    <r>
      <rPr>
        <sz val="13"/>
        <color theme="9"/>
        <rFont val="Times New Roman"/>
        <family val="1"/>
      </rPr>
      <t xml:space="preserve"> 1000</t>
    </r>
    <r>
      <rPr>
        <sz val="13"/>
        <rFont val="Times New Roman"/>
        <family val="1"/>
      </rPr>
      <t>;</t>
    </r>
    <r>
      <rPr>
        <sz val="13"/>
        <color theme="9"/>
        <rFont val="Times New Roman"/>
        <family val="1"/>
      </rPr>
      <t xml:space="preserve"> 1600</t>
    </r>
    <r>
      <rPr>
        <sz val="13"/>
        <rFont val="Times New Roman"/>
        <family val="1"/>
      </rPr>
      <t>;</t>
    </r>
    <r>
      <rPr>
        <sz val="13"/>
        <color theme="9"/>
        <rFont val="Times New Roman"/>
        <family val="1"/>
      </rPr>
      <t xml:space="preserve"> 3147.5</t>
    </r>
    <r>
      <rPr>
        <sz val="13"/>
        <color theme="1"/>
        <rFont val="Times New Roman"/>
        <family val="1"/>
      </rPr>
      <t>)</t>
    </r>
  </si>
  <si>
    <r>
      <t>Max(</t>
    </r>
    <r>
      <rPr>
        <sz val="13"/>
        <color rgb="FFFF0000"/>
        <rFont val="Times New Roman"/>
        <family val="1"/>
      </rPr>
      <t>1150</t>
    </r>
    <r>
      <rPr>
        <sz val="13"/>
        <color theme="1"/>
        <rFont val="Times New Roman"/>
        <family val="1"/>
      </rPr>
      <t xml:space="preserve">; </t>
    </r>
    <r>
      <rPr>
        <sz val="13"/>
        <color rgb="FFFF0000"/>
        <rFont val="Times New Roman"/>
        <family val="1"/>
      </rPr>
      <t>1000</t>
    </r>
    <r>
      <rPr>
        <sz val="13"/>
        <color theme="1"/>
        <rFont val="Times New Roman"/>
        <family val="1"/>
      </rPr>
      <t xml:space="preserve">; </t>
    </r>
    <r>
      <rPr>
        <sz val="13"/>
        <color rgb="FFFF0000"/>
        <rFont val="Times New Roman"/>
        <family val="1"/>
      </rPr>
      <t>1600</t>
    </r>
    <r>
      <rPr>
        <sz val="13"/>
        <color theme="1"/>
        <rFont val="Times New Roman"/>
        <family val="1"/>
      </rPr>
      <t xml:space="preserve">; </t>
    </r>
    <r>
      <rPr>
        <sz val="13"/>
        <color rgb="FFFF0000"/>
        <rFont val="Times New Roman"/>
        <family val="1"/>
      </rPr>
      <t>3147.5</t>
    </r>
    <r>
      <rPr>
        <sz val="13"/>
        <color theme="1"/>
        <rFont val="Times New Roman"/>
        <family val="1"/>
      </rPr>
      <t>)</t>
    </r>
  </si>
  <si>
    <t>cao</t>
  </si>
  <si>
    <t>0.945 ÷ 0.950</t>
  </si>
  <si>
    <t>tăng</t>
  </si>
  <si>
    <t>(0.18 ÷ 0.54)</t>
  </si>
  <si>
    <t>bốn</t>
  </si>
  <si>
    <t>phía trước</t>
  </si>
  <si>
    <t>chiều dọc</t>
  </si>
  <si>
    <t>có</t>
  </si>
  <si>
    <t>(1.18 ÷ 1.54)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</si>
</sst>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Arial"/>
      <charset val="134"/>
      <scheme val="minor"/>
    </font>
    <font>
      <sz val="11"/>
      <color theme="1"/>
      <name val="Arial"/>
      <family val="2"/>
      <scheme val="minor"/>
    </font>
    <font>
      <b/>
      <sz val="11"/>
      <name val="Arial"/>
      <family val="2"/>
      <scheme val="minor"/>
    </font>
    <font>
      <sz val="11"/>
      <name val="Arial"/>
      <family val="2"/>
      <scheme val="minor"/>
    </font>
    <font>
      <sz val="11"/>
      <color rgb="FFFF0000"/>
      <name val="Arial"/>
      <family val="2"/>
      <scheme val="minor"/>
    </font>
    <font>
      <u/>
      <sz val="11"/>
      <color theme="10"/>
      <name val="Arial"/>
      <family val="2"/>
      <scheme val="minor"/>
    </font>
    <font>
      <sz val="11"/>
      <color rgb="FFFF0000"/>
      <name val="Calibri"/>
      <family val="2"/>
    </font>
    <font>
      <sz val="11"/>
      <color theme="1"/>
      <name val="Calibri"/>
      <family val="2"/>
    </font>
    <font>
      <sz val="11"/>
      <name val="Calibri"/>
      <family val="2"/>
    </font>
    <font>
      <b/>
      <sz val="13.5"/>
      <color theme="1"/>
      <name val="Arial"/>
      <family val="2"/>
      <scheme val="minor"/>
    </font>
    <font>
      <i/>
      <sz val="11"/>
      <name val="Arial"/>
      <family val="2"/>
    </font>
    <font>
      <b/>
      <i/>
      <sz val="11"/>
      <name val="Arial"/>
      <family val="2"/>
    </font>
    <font>
      <sz val="11"/>
      <name val="Arial"/>
      <family val="2"/>
    </font>
    <font>
      <b/>
      <sz val="11"/>
      <name val="Arial"/>
      <family val="2"/>
    </font>
    <font>
      <sz val="11"/>
      <name val="Arial"/>
      <family val="2"/>
    </font>
    <font>
      <i/>
      <u/>
      <sz val="11"/>
      <name val="Arial"/>
      <family val="2"/>
    </font>
    <font>
      <u/>
      <sz val="11"/>
      <name val="Arial"/>
      <family val="2"/>
    </font>
    <font>
      <b/>
      <sz val="11"/>
      <name val="Times New Roman"/>
      <family val="2"/>
      <scheme val="major"/>
    </font>
    <font>
      <b/>
      <sz val="13"/>
      <name val="Times New Roman"/>
      <family val="1"/>
    </font>
    <font>
      <sz val="13"/>
      <name val="Times New Roman"/>
      <family val="1"/>
    </font>
    <font>
      <b/>
      <sz val="13"/>
      <name val="Arial"/>
      <family val="2"/>
      <scheme val="minor"/>
    </font>
    <font>
      <b/>
      <sz val="13"/>
      <name val="Times New Roman"/>
      <family val="1"/>
    </font>
    <font>
      <b/>
      <i/>
      <sz val="13"/>
      <name val="Times New Roman"/>
      <family val="1"/>
    </font>
    <font>
      <sz val="13"/>
      <name val="Times New Roman"/>
      <family val="1"/>
    </font>
    <font>
      <b/>
      <sz val="11"/>
      <name val="Arial"/>
      <family val="2"/>
    </font>
    <font>
      <b/>
      <sz val="11"/>
      <color rgb="FFFF0000"/>
      <name val="Arial"/>
      <family val="2"/>
    </font>
    <font>
      <sz val="11"/>
      <color rgb="FFFF0000"/>
      <name val="Arial"/>
      <family val="2"/>
    </font>
    <font>
      <b/>
      <sz val="11"/>
      <name val="Times New Roman"/>
      <family val="1"/>
    </font>
    <font>
      <sz val="11"/>
      <color rgb="FFFF0000"/>
      <name val="Arial"/>
      <family val="2"/>
    </font>
    <font>
      <b/>
      <sz val="11"/>
      <color rgb="FFFF0000"/>
      <name val="Arial"/>
      <family val="2"/>
    </font>
    <font>
      <sz val="7"/>
      <color theme="1"/>
      <name val="Arial"/>
      <family val="2"/>
      <scheme val="minor"/>
    </font>
    <font>
      <sz val="7"/>
      <color theme="1"/>
      <name val="Arial"/>
      <family val="2"/>
      <scheme val="minor"/>
    </font>
    <font>
      <b/>
      <sz val="7"/>
      <color theme="1"/>
      <name val="Arial"/>
      <family val="2"/>
      <scheme val="minor"/>
    </font>
    <font>
      <b/>
      <sz val="7"/>
      <color theme="1"/>
      <name val="Times New Roman"/>
      <family val="1"/>
    </font>
    <font>
      <sz val="11"/>
      <color theme="1"/>
      <name val="Arial"/>
      <family val="2"/>
      <scheme val="minor"/>
    </font>
    <font>
      <b/>
      <sz val="7"/>
      <color theme="1"/>
      <name val="Arial"/>
      <family val="2"/>
    </font>
    <font>
      <sz val="7"/>
      <color theme="1"/>
      <name val="Arial"/>
      <family val="2"/>
    </font>
    <font>
      <i/>
      <sz val="7"/>
      <color theme="1"/>
      <name val="Arial"/>
      <family val="2"/>
    </font>
    <font>
      <sz val="13"/>
      <color theme="1"/>
      <name val="Times New Roman"/>
      <family val="1"/>
    </font>
    <font>
      <b/>
      <sz val="13"/>
      <color theme="1"/>
      <name val="Times New Roman"/>
      <family val="1"/>
    </font>
    <font>
      <b/>
      <sz val="16"/>
      <color theme="1"/>
      <name val="Times New Roman"/>
      <family val="1"/>
    </font>
    <font>
      <sz val="13"/>
      <color rgb="FFFF0000"/>
      <name val="Times New Roman"/>
      <family val="1"/>
    </font>
    <font>
      <sz val="13"/>
      <color theme="1"/>
      <name val="Calibri"/>
      <family val="2"/>
    </font>
    <font>
      <sz val="13"/>
      <name val="Calibri"/>
      <family val="2"/>
    </font>
    <font>
      <sz val="8"/>
      <name val="Times New Roman"/>
      <family val="1"/>
    </font>
    <font>
      <sz val="9"/>
      <name val="Times New Roman"/>
      <family val="1"/>
    </font>
    <font>
      <sz val="11"/>
      <name val="Symbol"/>
      <family val="1"/>
      <charset val="2"/>
    </font>
    <font>
      <sz val="11"/>
      <color theme="1"/>
      <name val="Symbol"/>
      <family val="1"/>
      <charset val="2"/>
    </font>
    <font>
      <vertAlign val="subscript"/>
      <sz val="11"/>
      <name val="Arial"/>
      <family val="2"/>
    </font>
    <font>
      <b/>
      <i/>
      <vertAlign val="subscript"/>
      <sz val="11"/>
      <name val="Arial"/>
      <family val="2"/>
    </font>
    <font>
      <b/>
      <vertAlign val="subscript"/>
      <sz val="11"/>
      <name val="Arial"/>
      <family val="2"/>
    </font>
    <font>
      <sz val="11"/>
      <name val="Times New Roman"/>
      <family val="1"/>
    </font>
    <font>
      <b/>
      <vertAlign val="subscript"/>
      <sz val="13"/>
      <name val="Times New Roman"/>
      <family val="1"/>
    </font>
    <font>
      <vertAlign val="subscript"/>
      <sz val="11"/>
      <name val="Calibri Light"/>
      <family val="2"/>
    </font>
    <font>
      <vertAlign val="subscript"/>
      <sz val="11"/>
      <name val="Symbol"/>
      <family val="1"/>
      <charset val="2"/>
    </font>
    <font>
      <vertAlign val="superscript"/>
      <sz val="11"/>
      <name val="Arial"/>
      <family val="2"/>
    </font>
    <font>
      <i/>
      <vertAlign val="superscript"/>
      <sz val="11"/>
      <name val="Arial"/>
      <family val="2"/>
    </font>
    <font>
      <b/>
      <vertAlign val="subscript"/>
      <sz val="13"/>
      <name val="Arial"/>
      <family val="2"/>
      <scheme val="minor"/>
    </font>
    <font>
      <i/>
      <sz val="13"/>
      <name val="Times New Roman"/>
      <family val="1"/>
    </font>
    <font>
      <sz val="6"/>
      <name val="Times New Roman"/>
      <family val="1"/>
    </font>
    <font>
      <sz val="9.35"/>
      <name val="Arial"/>
      <family val="2"/>
    </font>
    <font>
      <b/>
      <sz val="11"/>
      <name val="Symbol"/>
      <family val="1"/>
      <charset val="2"/>
    </font>
    <font>
      <b/>
      <vertAlign val="subscript"/>
      <sz val="11"/>
      <name val="Symbol"/>
      <family val="1"/>
      <charset val="2"/>
    </font>
    <font>
      <b/>
      <vertAlign val="subscript"/>
      <sz val="11"/>
      <name val="Times New Roman"/>
      <family val="1"/>
    </font>
    <font>
      <b/>
      <sz val="9.35"/>
      <name val="Arial"/>
      <family val="2"/>
    </font>
    <font>
      <b/>
      <vertAlign val="superscript"/>
      <sz val="11"/>
      <name val="Arial"/>
      <family val="2"/>
    </font>
    <font>
      <b/>
      <sz val="11"/>
      <name val="Calibri"/>
      <family val="2"/>
    </font>
    <font>
      <b/>
      <sz val="8.8000000000000007"/>
      <name val="Arial"/>
      <family val="2"/>
    </font>
    <font>
      <sz val="13.2"/>
      <name val="Arial"/>
      <family val="2"/>
    </font>
    <font>
      <vertAlign val="subscript"/>
      <sz val="13"/>
      <name val="Times New Roman"/>
      <family val="1"/>
    </font>
    <font>
      <vertAlign val="subscript"/>
      <sz val="7"/>
      <color theme="1"/>
      <name val="Arial"/>
      <family val="2"/>
      <scheme val="minor"/>
    </font>
    <font>
      <vertAlign val="subscript"/>
      <sz val="7"/>
      <color theme="1"/>
      <name val="Symbol"/>
      <family val="1"/>
      <charset val="2"/>
    </font>
    <font>
      <b/>
      <vertAlign val="subscript"/>
      <sz val="7"/>
      <color theme="1"/>
      <name val="Times New Roman"/>
      <family val="1"/>
    </font>
    <font>
      <b/>
      <vertAlign val="subscript"/>
      <sz val="7"/>
      <color theme="1"/>
      <name val="Arial"/>
      <family val="2"/>
      <scheme val="minor"/>
    </font>
    <font>
      <sz val="7"/>
      <color theme="1"/>
      <name val="Symbol"/>
      <family val="1"/>
      <charset val="2"/>
    </font>
    <font>
      <sz val="9.1"/>
      <color theme="1"/>
      <name val="Calibri"/>
      <family val="2"/>
    </font>
    <font>
      <b/>
      <sz val="10"/>
      <color theme="1"/>
      <name val="Times New Roman"/>
      <family val="1"/>
    </font>
    <font>
      <sz val="10"/>
      <color theme="1"/>
      <name val="Times New Roman"/>
      <family val="1"/>
    </font>
    <font>
      <sz val="10"/>
      <color theme="1"/>
      <name val="Calibri"/>
      <family val="2"/>
    </font>
    <font>
      <sz val="11.7"/>
      <color theme="1"/>
      <name val="Times New Roman"/>
      <family val="1"/>
    </font>
    <font>
      <sz val="8"/>
      <color theme="1"/>
      <name val="Times New Roman"/>
      <family val="1"/>
    </font>
    <font>
      <vertAlign val="subscript"/>
      <sz val="13"/>
      <color theme="1"/>
      <name val="Times New Roman"/>
      <family val="1"/>
    </font>
    <font>
      <sz val="7"/>
      <name val="Times New Roman"/>
      <family val="1"/>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vertAlign val="superscript"/>
      <sz val="13"/>
      <color rgb="FFFF0000"/>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sz val="11"/>
      <color theme="1"/>
      <name val="Times New Roman"/>
      <family val="1"/>
    </font>
    <font>
      <sz val="11"/>
      <color rgb="FFFF0000"/>
      <name val="Times New Roman"/>
      <family val="1"/>
    </font>
    <font>
      <b/>
      <sz val="11"/>
      <color theme="1"/>
      <name val="Times New Roman"/>
      <family val="1"/>
    </font>
    <font>
      <b/>
      <sz val="13"/>
      <color rgb="FF000000"/>
      <name val="Times New Roman"/>
      <family val="1"/>
    </font>
    <font>
      <i/>
      <sz val="13"/>
      <color rgb="FFFF0000"/>
      <name val="Times New Roman"/>
      <family val="1"/>
    </font>
    <font>
      <vertAlign val="superscript"/>
      <sz val="13"/>
      <name val="Times New Roman"/>
      <family val="1"/>
    </font>
    <font>
      <sz val="13"/>
      <color theme="9"/>
      <name val="Times New Roman"/>
      <family val="1"/>
    </font>
  </fonts>
  <fills count="4">
    <fill>
      <patternFill patternType="none"/>
    </fill>
    <fill>
      <patternFill patternType="gray125"/>
    </fill>
    <fill>
      <patternFill patternType="solid">
        <fgColor theme="0"/>
        <bgColor indexed="64"/>
      </patternFill>
    </fill>
    <fill>
      <patternFill patternType="solid">
        <fgColor theme="9" tint="0.59999389629810485"/>
        <bgColor indexed="64"/>
      </patternFill>
    </fill>
  </fills>
  <borders count="37">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s>
  <cellStyleXfs count="3">
    <xf numFmtId="0" fontId="0" fillId="0" borderId="0"/>
    <xf numFmtId="0" fontId="34" fillId="0" borderId="0"/>
    <xf numFmtId="0" fontId="5" fillId="0" borderId="0" applyNumberFormat="0" applyFill="0" applyBorder="0" applyAlignment="0" applyProtection="0"/>
  </cellStyleXfs>
  <cellXfs count="395">
    <xf numFmtId="0" fontId="0" fillId="0" borderId="0" xfId="0"/>
    <xf numFmtId="0" fontId="2" fillId="0" borderId="0" xfId="0" applyFont="1" applyAlignment="1">
      <alignment horizontal="center" vertical="center"/>
    </xf>
    <xf numFmtId="0" fontId="2" fillId="0" borderId="0" xfId="0" applyFont="1" applyAlignment="1">
      <alignment horizontal="left" vertical="center"/>
    </xf>
    <xf numFmtId="0" fontId="3" fillId="0" borderId="0" xfId="2" applyFont="1" applyAlignment="1">
      <alignment horizontal="center" vertical="center"/>
    </xf>
    <xf numFmtId="0" fontId="3" fillId="0" borderId="0" xfId="0" applyFont="1" applyAlignment="1">
      <alignment horizontal="center" vertical="center"/>
    </xf>
    <xf numFmtId="0" fontId="3" fillId="0" borderId="0" xfId="2" applyFont="1" applyAlignment="1">
      <alignment horizontal="left" vertical="center"/>
    </xf>
    <xf numFmtId="0" fontId="3" fillId="0" borderId="0" xfId="0" applyFont="1" applyAlignment="1">
      <alignment horizontal="left" vertical="center"/>
    </xf>
    <xf numFmtId="0" fontId="3" fillId="0" borderId="0" xfId="2" applyFont="1" applyAlignment="1">
      <alignment vertical="center"/>
    </xf>
    <xf numFmtId="0" fontId="0" fillId="0" borderId="0" xfId="0" applyAlignment="1">
      <alignment horizontal="center" vertical="center"/>
    </xf>
    <xf numFmtId="0" fontId="4" fillId="0" borderId="0" xfId="0" applyFont="1" applyAlignment="1">
      <alignment horizontal="center" vertical="center"/>
    </xf>
    <xf numFmtId="0" fontId="5" fillId="0" borderId="0" xfId="2"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wrapText="1"/>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left" vertical="center" indent="1"/>
    </xf>
    <xf numFmtId="0" fontId="9" fillId="0" borderId="0" xfId="0" applyFont="1" applyAlignment="1">
      <alignment vertical="center"/>
    </xf>
    <xf numFmtId="0" fontId="0" fillId="0" borderId="0" xfId="0" applyAlignment="1">
      <alignment wrapText="1"/>
    </xf>
    <xf numFmtId="0" fontId="10" fillId="0" borderId="0" xfId="0" applyFont="1"/>
    <xf numFmtId="0" fontId="11" fillId="0" borderId="0" xfId="0" applyFont="1"/>
    <xf numFmtId="0" fontId="12" fillId="0" borderId="0" xfId="0" applyFont="1"/>
    <xf numFmtId="0" fontId="12"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wrapText="1"/>
    </xf>
    <xf numFmtId="0" fontId="13" fillId="0" borderId="0" xfId="0" applyFont="1"/>
    <xf numFmtId="0" fontId="12" fillId="0" borderId="0" xfId="0" applyFont="1" applyAlignment="1">
      <alignment horizontal="left"/>
    </xf>
    <xf numFmtId="0" fontId="14" fillId="0" borderId="0" xfId="0" applyFont="1"/>
    <xf numFmtId="0" fontId="12" fillId="0" borderId="0" xfId="0" applyFont="1" applyAlignment="1">
      <alignment horizontal="center" vertical="center"/>
    </xf>
    <xf numFmtId="0" fontId="10" fillId="0" borderId="0" xfId="0" applyFont="1" applyAlignment="1">
      <alignment vertical="center"/>
    </xf>
    <xf numFmtId="0" fontId="13" fillId="0" borderId="0" xfId="0" applyFont="1" applyAlignment="1">
      <alignment horizontal="center" vertical="center" wrapText="1"/>
    </xf>
    <xf numFmtId="0" fontId="12" fillId="0" borderId="0" xfId="0" applyFont="1" applyAlignment="1">
      <alignment horizontal="center"/>
    </xf>
    <xf numFmtId="0" fontId="13" fillId="0" borderId="0" xfId="0" applyFont="1" applyAlignment="1">
      <alignment horizontal="center" vertical="center"/>
    </xf>
    <xf numFmtId="0" fontId="13" fillId="0" borderId="0" xfId="0" applyFont="1" applyAlignment="1">
      <alignment horizontal="left" vertical="center" wrapText="1"/>
    </xf>
    <xf numFmtId="0" fontId="13" fillId="0" borderId="0" xfId="0" applyFont="1" applyAlignment="1">
      <alignment wrapText="1"/>
    </xf>
    <xf numFmtId="0" fontId="12" fillId="0" borderId="0" xfId="0" applyFont="1" applyAlignment="1">
      <alignment horizontal="justify" vertical="center"/>
    </xf>
    <xf numFmtId="0" fontId="12" fillId="0" borderId="0" xfId="2" applyFont="1" applyAlignment="1">
      <alignment horizontal="center" vertical="center"/>
    </xf>
    <xf numFmtId="0" fontId="12" fillId="0" borderId="0" xfId="0" applyFont="1" applyAlignment="1">
      <alignment horizontal="left" vertical="center" wrapText="1"/>
    </xf>
    <xf numFmtId="0" fontId="13" fillId="0" borderId="0" xfId="0" applyFont="1" applyAlignment="1">
      <alignment vertical="center"/>
    </xf>
    <xf numFmtId="0" fontId="13" fillId="0" borderId="1" xfId="0" applyFont="1" applyBorder="1" applyAlignment="1">
      <alignment horizontal="center" vertical="center" wrapText="1"/>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7" xfId="0" applyFont="1" applyBorder="1" applyAlignment="1">
      <alignment vertical="center" wrapText="1"/>
    </xf>
    <xf numFmtId="0" fontId="12" fillId="0" borderId="8" xfId="0" applyFont="1" applyBorder="1" applyAlignment="1">
      <alignment vertical="center" wrapText="1"/>
    </xf>
    <xf numFmtId="0" fontId="11" fillId="0" borderId="9"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0" xfId="0" applyFont="1" applyBorder="1" applyAlignment="1">
      <alignment vertical="center" wrapText="1"/>
    </xf>
    <xf numFmtId="0" fontId="12" fillId="0" borderId="5" xfId="0" applyFont="1" applyBorder="1" applyAlignment="1">
      <alignment vertical="center" wrapText="1"/>
    </xf>
    <xf numFmtId="0" fontId="12" fillId="0" borderId="11"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vertical="center" wrapText="1"/>
    </xf>
    <xf numFmtId="0" fontId="12" fillId="0" borderId="0" xfId="0" applyFont="1" applyAlignment="1">
      <alignment horizontal="center" vertical="center" wrapText="1"/>
    </xf>
    <xf numFmtId="0" fontId="12" fillId="0" borderId="13" xfId="0" applyFont="1" applyBorder="1" applyAlignment="1">
      <alignment vertical="center" wrapText="1"/>
    </xf>
    <xf numFmtId="0" fontId="12" fillId="0" borderId="13" xfId="0" applyFont="1" applyBorder="1" applyAlignment="1">
      <alignment vertical="center"/>
    </xf>
    <xf numFmtId="0" fontId="12" fillId="0" borderId="5" xfId="0" applyFont="1" applyBorder="1" applyAlignment="1">
      <alignment vertical="center"/>
    </xf>
    <xf numFmtId="0" fontId="12" fillId="0" borderId="8" xfId="0" applyFont="1" applyBorder="1" applyAlignment="1">
      <alignment vertical="center"/>
    </xf>
    <xf numFmtId="0" fontId="12" fillId="0" borderId="14" xfId="0" applyFont="1" applyBorder="1" applyAlignment="1">
      <alignment horizontal="center" vertical="center"/>
    </xf>
    <xf numFmtId="0" fontId="12" fillId="0" borderId="15" xfId="0" applyFont="1" applyBorder="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xf>
    <xf numFmtId="0" fontId="15" fillId="0" borderId="0" xfId="2" applyFont="1" applyAlignment="1">
      <alignment horizontal="center" vertical="center"/>
    </xf>
    <xf numFmtId="0" fontId="10" fillId="0" borderId="0" xfId="0" applyFont="1" applyAlignment="1">
      <alignment horizontal="center" vertical="center"/>
    </xf>
    <xf numFmtId="0" fontId="12" fillId="0" borderId="0" xfId="2" applyFont="1" applyAlignment="1">
      <alignment horizontal="left" vertical="center" wrapText="1"/>
    </xf>
    <xf numFmtId="0" fontId="16" fillId="0" borderId="0" xfId="2" applyFont="1" applyAlignment="1">
      <alignment horizontal="center" vertical="center"/>
    </xf>
    <xf numFmtId="0" fontId="13" fillId="0" borderId="0" xfId="2" applyFont="1" applyAlignment="1">
      <alignment horizontal="left" vertical="center" wrapText="1"/>
    </xf>
    <xf numFmtId="0" fontId="11" fillId="0" borderId="0" xfId="0" applyFont="1" applyAlignment="1">
      <alignment horizontal="center" vertical="center" wrapText="1"/>
    </xf>
    <xf numFmtId="0" fontId="11" fillId="0" borderId="0" xfId="0" applyFont="1" applyAlignment="1">
      <alignment horizontal="justify" vertical="center"/>
    </xf>
    <xf numFmtId="0" fontId="11" fillId="0" borderId="0" xfId="2" applyFont="1" applyAlignment="1">
      <alignment horizontal="right" vertical="center"/>
    </xf>
    <xf numFmtId="0" fontId="12" fillId="0" borderId="0" xfId="2" applyFont="1" applyAlignment="1">
      <alignment horizontal="left" vertical="center"/>
    </xf>
    <xf numFmtId="0" fontId="12" fillId="0" borderId="0" xfId="2" applyFont="1" applyAlignment="1">
      <alignment horizontal="right" vertical="center"/>
    </xf>
    <xf numFmtId="0" fontId="13" fillId="0" borderId="14" xfId="0" applyFont="1" applyBorder="1" applyAlignment="1">
      <alignment vertical="center" wrapText="1"/>
    </xf>
    <xf numFmtId="0" fontId="13" fillId="0" borderId="14" xfId="0" applyFont="1" applyBorder="1" applyAlignment="1">
      <alignment vertical="center"/>
    </xf>
    <xf numFmtId="0" fontId="13" fillId="0" borderId="14" xfId="0" applyFont="1" applyBorder="1" applyAlignment="1">
      <alignment horizontal="center" vertical="center"/>
    </xf>
    <xf numFmtId="0" fontId="13" fillId="0" borderId="0" xfId="0" applyFont="1" applyAlignment="1">
      <alignment horizontal="right" vertical="center"/>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xf numFmtId="0" fontId="13" fillId="0" borderId="9" xfId="0" applyFont="1" applyBorder="1" applyAlignment="1">
      <alignment horizontal="left" vertical="center" wrapText="1"/>
    </xf>
    <xf numFmtId="0" fontId="2" fillId="0" borderId="17" xfId="0" applyFont="1" applyBorder="1" applyAlignment="1">
      <alignment horizontal="center" vertical="center"/>
    </xf>
    <xf numFmtId="0" fontId="12" fillId="0" borderId="17" xfId="0" applyFont="1" applyBorder="1" applyAlignment="1">
      <alignment horizontal="center" vertical="center"/>
    </xf>
    <xf numFmtId="0" fontId="3" fillId="0" borderId="18" xfId="0" applyFont="1" applyBorder="1" applyAlignment="1">
      <alignment horizontal="center" vertical="center"/>
    </xf>
    <xf numFmtId="0" fontId="17" fillId="0" borderId="18" xfId="0" applyFont="1" applyBorder="1" applyAlignment="1">
      <alignment horizontal="center" vertical="center"/>
    </xf>
    <xf numFmtId="0" fontId="2" fillId="0" borderId="18" xfId="0" applyFont="1" applyBorder="1" applyAlignment="1">
      <alignment horizontal="center" vertical="center"/>
    </xf>
    <xf numFmtId="0" fontId="2" fillId="2" borderId="18" xfId="0" applyFont="1" applyFill="1" applyBorder="1" applyAlignment="1">
      <alignment horizontal="center" vertical="center"/>
    </xf>
    <xf numFmtId="0" fontId="12" fillId="0" borderId="9" xfId="0" applyFont="1" applyBorder="1" applyAlignment="1">
      <alignment horizontal="center" vertical="center" wrapText="1"/>
    </xf>
    <xf numFmtId="1" fontId="2" fillId="0" borderId="18" xfId="0" applyNumberFormat="1" applyFont="1" applyBorder="1" applyAlignment="1">
      <alignment horizontal="center" vertical="center"/>
    </xf>
    <xf numFmtId="0" fontId="12" fillId="0" borderId="15" xfId="0" applyFont="1" applyBorder="1" applyAlignment="1">
      <alignment horizontal="center" vertical="center" wrapText="1"/>
    </xf>
    <xf numFmtId="0" fontId="3" fillId="0" borderId="19" xfId="0" applyFont="1" applyBorder="1" applyAlignment="1">
      <alignment horizontal="center" vertical="center"/>
    </xf>
    <xf numFmtId="0" fontId="3" fillId="0" borderId="0" xfId="0" applyFont="1"/>
    <xf numFmtId="0" fontId="11" fillId="0" borderId="0" xfId="0" applyFont="1" applyAlignment="1">
      <alignment vertical="center" wrapText="1"/>
    </xf>
    <xf numFmtId="0" fontId="11" fillId="0" borderId="0" xfId="2" applyFont="1" applyAlignment="1">
      <alignment horizontal="center" vertical="center"/>
    </xf>
    <xf numFmtId="0" fontId="11" fillId="0" borderId="0" xfId="2" applyFont="1" applyAlignment="1">
      <alignment horizontal="left" vertical="center"/>
    </xf>
    <xf numFmtId="0" fontId="10" fillId="0" borderId="0" xfId="2" applyFont="1" applyAlignment="1">
      <alignment horizontal="left" vertical="center"/>
    </xf>
    <xf numFmtId="0" fontId="10" fillId="0" borderId="0" xfId="2" applyFont="1" applyAlignment="1">
      <alignment horizontal="center" vertical="center"/>
    </xf>
    <xf numFmtId="0" fontId="14" fillId="0" borderId="0" xfId="0" applyFont="1" applyAlignment="1">
      <alignment vertical="center" wrapText="1"/>
    </xf>
    <xf numFmtId="0" fontId="13" fillId="0" borderId="0" xfId="0" applyFont="1" applyAlignment="1">
      <alignment vertical="center" wrapText="1"/>
    </xf>
    <xf numFmtId="0" fontId="18" fillId="0" borderId="17" xfId="0" applyFont="1" applyBorder="1" applyAlignment="1">
      <alignment horizontal="center" vertical="center"/>
    </xf>
    <xf numFmtId="0" fontId="18" fillId="0" borderId="4" xfId="0" applyFont="1" applyBorder="1" applyAlignment="1">
      <alignment horizontal="center" vertical="center"/>
    </xf>
    <xf numFmtId="0" fontId="19" fillId="0" borderId="9" xfId="0" applyFont="1" applyBorder="1" applyAlignment="1">
      <alignment vertical="center"/>
    </xf>
    <xf numFmtId="0" fontId="19" fillId="0" borderId="10" xfId="0" applyFont="1" applyBorder="1" applyAlignment="1">
      <alignment horizontal="center" vertical="center"/>
    </xf>
    <xf numFmtId="0" fontId="13" fillId="0" borderId="9" xfId="0" applyFont="1" applyBorder="1" applyAlignment="1">
      <alignment horizontal="center" vertical="center" wrapText="1"/>
    </xf>
    <xf numFmtId="0" fontId="3" fillId="0" borderId="2" xfId="0" applyFont="1" applyBorder="1" applyAlignment="1">
      <alignment horizontal="center" vertical="center"/>
    </xf>
    <xf numFmtId="0" fontId="3" fillId="0" borderId="20" xfId="0" applyFont="1" applyBorder="1" applyAlignment="1">
      <alignment horizontal="center" vertical="center"/>
    </xf>
    <xf numFmtId="0" fontId="2" fillId="0" borderId="18" xfId="0" applyFont="1" applyBorder="1" applyAlignment="1">
      <alignment horizontal="center" vertical="center" wrapText="1"/>
    </xf>
    <xf numFmtId="0" fontId="13" fillId="0" borderId="21" xfId="0" applyFont="1" applyBorder="1" applyAlignment="1">
      <alignment horizontal="center" vertical="center" wrapText="1"/>
    </xf>
    <xf numFmtId="0" fontId="12" fillId="0" borderId="22" xfId="0" applyFont="1" applyBorder="1" applyAlignment="1">
      <alignment horizontal="justify" vertical="center" wrapText="1"/>
    </xf>
    <xf numFmtId="0" fontId="13" fillId="0" borderId="13"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9" xfId="0" applyFont="1" applyBorder="1" applyAlignment="1">
      <alignment horizontal="justify" vertical="center" wrapText="1"/>
    </xf>
    <xf numFmtId="0" fontId="20" fillId="0" borderId="0" xfId="0" applyFont="1" applyAlignment="1">
      <alignment horizontal="center" vertical="center" wrapText="1"/>
    </xf>
    <xf numFmtId="0" fontId="18" fillId="0" borderId="0" xfId="0" applyFont="1" applyAlignment="1">
      <alignment horizontal="justify" vertical="center" wrapText="1"/>
    </xf>
    <xf numFmtId="0" fontId="19" fillId="0" borderId="0" xfId="0" applyFont="1" applyAlignment="1">
      <alignment horizontal="center" vertical="center" wrapText="1"/>
    </xf>
    <xf numFmtId="0" fontId="21" fillId="0" borderId="6" xfId="0" applyFont="1" applyBorder="1" applyAlignment="1">
      <alignment horizontal="center" vertical="center" wrapText="1"/>
    </xf>
    <xf numFmtId="0" fontId="21" fillId="0" borderId="22" xfId="0" applyFont="1" applyBorder="1" applyAlignment="1">
      <alignment horizontal="center" vertical="center" wrapText="1"/>
    </xf>
    <xf numFmtId="0" fontId="21" fillId="0" borderId="15" xfId="0" applyFont="1" applyBorder="1" applyAlignment="1">
      <alignment horizontal="center" vertical="center" wrapText="1"/>
    </xf>
    <xf numFmtId="0" fontId="3" fillId="0" borderId="9" xfId="0" applyFont="1" applyBorder="1" applyAlignment="1">
      <alignment vertical="center" wrapText="1"/>
    </xf>
    <xf numFmtId="0" fontId="22" fillId="0" borderId="15" xfId="0" applyFont="1" applyBorder="1" applyAlignment="1">
      <alignment horizontal="center" vertical="center" wrapText="1"/>
    </xf>
    <xf numFmtId="0" fontId="23" fillId="0" borderId="15" xfId="0" applyFont="1" applyBorder="1" applyAlignment="1">
      <alignment horizontal="center" vertical="center" wrapText="1"/>
    </xf>
    <xf numFmtId="0" fontId="21" fillId="0" borderId="9" xfId="0" applyFont="1" applyBorder="1" applyAlignment="1">
      <alignment horizontal="justify" vertical="center" wrapText="1"/>
    </xf>
    <xf numFmtId="0" fontId="21" fillId="0" borderId="9" xfId="0" applyFont="1" applyBorder="1" applyAlignment="1">
      <alignment horizontal="center" vertical="center" wrapText="1"/>
    </xf>
    <xf numFmtId="0" fontId="23" fillId="0" borderId="5" xfId="0" applyFont="1" applyBorder="1" applyAlignment="1">
      <alignment horizontal="center" vertical="center" wrapText="1"/>
    </xf>
    <xf numFmtId="0" fontId="23" fillId="0" borderId="0" xfId="0" applyFont="1" applyAlignment="1">
      <alignment horizontal="center" vertical="center" wrapText="1"/>
    </xf>
    <xf numFmtId="0" fontId="23" fillId="0" borderId="13" xfId="0" applyFont="1" applyBorder="1" applyAlignment="1">
      <alignment horizontal="center" vertical="center" wrapText="1"/>
    </xf>
    <xf numFmtId="0" fontId="23" fillId="0" borderId="8" xfId="0" applyFont="1" applyBorder="1" applyAlignment="1">
      <alignment horizontal="center" vertical="center" wrapText="1"/>
    </xf>
    <xf numFmtId="0" fontId="23" fillId="0" borderId="14" xfId="0" applyFont="1" applyBorder="1" applyAlignment="1">
      <alignment horizontal="center" vertical="center" wrapText="1"/>
    </xf>
    <xf numFmtId="0" fontId="11" fillId="0" borderId="0" xfId="0" applyFont="1" applyAlignment="1">
      <alignment horizontal="left" vertical="center"/>
    </xf>
    <xf numFmtId="0" fontId="11" fillId="0" borderId="0" xfId="0" applyFont="1" applyAlignment="1">
      <alignment vertical="center"/>
    </xf>
    <xf numFmtId="0" fontId="13" fillId="0" borderId="0" xfId="0" applyFont="1" applyAlignment="1">
      <alignment horizontal="justify" vertical="center"/>
    </xf>
    <xf numFmtId="0" fontId="13" fillId="0" borderId="23" xfId="0" applyFont="1" applyBorder="1" applyAlignment="1">
      <alignment horizontal="center" vertical="center"/>
    </xf>
    <xf numFmtId="0" fontId="13" fillId="0" borderId="7" xfId="0" applyFont="1" applyBorder="1" applyAlignment="1">
      <alignment horizontal="center" vertical="center" wrapText="1"/>
    </xf>
    <xf numFmtId="0" fontId="13" fillId="0" borderId="24" xfId="0" applyFont="1" applyBorder="1" applyAlignment="1">
      <alignment horizontal="center" vertical="center"/>
    </xf>
    <xf numFmtId="0" fontId="13" fillId="0" borderId="25" xfId="0" applyFont="1" applyBorder="1" applyAlignment="1">
      <alignment horizontal="center" vertical="center" wrapText="1"/>
    </xf>
    <xf numFmtId="0" fontId="13" fillId="0" borderId="26" xfId="0" applyFont="1" applyBorder="1" applyAlignment="1">
      <alignment horizontal="center" vertical="center"/>
    </xf>
    <xf numFmtId="0" fontId="13" fillId="0" borderId="10" xfId="0" applyFont="1" applyBorder="1" applyAlignment="1">
      <alignment horizontal="center" vertical="center" wrapText="1"/>
    </xf>
    <xf numFmtId="0" fontId="12" fillId="0" borderId="22" xfId="0" applyFont="1" applyBorder="1" applyAlignment="1">
      <alignment vertical="center"/>
    </xf>
    <xf numFmtId="0" fontId="12" fillId="0" borderId="13" xfId="0" applyFont="1" applyBorder="1" applyAlignment="1">
      <alignment horizontal="center" vertical="center"/>
    </xf>
    <xf numFmtId="0" fontId="12" fillId="0" borderId="9" xfId="0" applyFont="1" applyBorder="1" applyAlignment="1">
      <alignment vertical="center"/>
    </xf>
    <xf numFmtId="0" fontId="12" fillId="0" borderId="15" xfId="0" applyFont="1" applyBorder="1" applyAlignment="1">
      <alignment horizontal="center" vertical="center"/>
    </xf>
    <xf numFmtId="0" fontId="13" fillId="0" borderId="0" xfId="0" applyFont="1" applyAlignment="1">
      <alignment horizontal="left" vertical="center"/>
    </xf>
    <xf numFmtId="0" fontId="11" fillId="0" borderId="0" xfId="0" applyFont="1" applyAlignment="1">
      <alignment horizontal="center"/>
    </xf>
    <xf numFmtId="0" fontId="10" fillId="0" borderId="0" xfId="0" applyFont="1" applyAlignment="1">
      <alignment horizontal="justify" vertical="center"/>
    </xf>
    <xf numFmtId="0" fontId="10" fillId="0" borderId="0" xfId="0" applyFont="1" applyAlignment="1">
      <alignment horizontal="center"/>
    </xf>
    <xf numFmtId="0" fontId="13" fillId="0" borderId="0" xfId="0" applyFont="1" applyAlignment="1">
      <alignment horizontal="center"/>
    </xf>
    <xf numFmtId="0" fontId="24" fillId="0" borderId="0" xfId="0" applyFont="1" applyAlignment="1">
      <alignment horizontal="center" vertical="center"/>
    </xf>
    <xf numFmtId="0" fontId="1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horizontal="center" vertical="center" wrapText="1"/>
    </xf>
    <xf numFmtId="0" fontId="14" fillId="0" borderId="0" xfId="0" applyFont="1" applyAlignment="1">
      <alignment horizontal="left" vertical="center" wrapText="1"/>
    </xf>
    <xf numFmtId="0" fontId="26" fillId="0" borderId="0" xfId="0" applyFont="1" applyAlignment="1">
      <alignment horizontal="center" vertical="center"/>
    </xf>
    <xf numFmtId="0" fontId="25" fillId="0" borderId="0" xfId="0" applyFont="1" applyAlignment="1">
      <alignment horizontal="center" vertical="center" wrapText="1"/>
    </xf>
    <xf numFmtId="0" fontId="14" fillId="0" borderId="0" xfId="0" applyFont="1" applyAlignment="1">
      <alignment horizontal="left" vertical="center"/>
    </xf>
    <xf numFmtId="0" fontId="24" fillId="0" borderId="0" xfId="0" applyFont="1" applyAlignment="1">
      <alignment horizontal="left" vertical="center" wrapText="1"/>
    </xf>
    <xf numFmtId="0" fontId="27" fillId="0" borderId="0" xfId="0" applyFont="1" applyAlignment="1">
      <alignment horizontal="left" vertical="center" wrapText="1"/>
    </xf>
    <xf numFmtId="0" fontId="24"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horizontal="center" vertical="center"/>
    </xf>
    <xf numFmtId="0" fontId="12" fillId="0" borderId="0" xfId="0" applyFont="1" applyAlignment="1">
      <alignment horizontal="center" wrapText="1"/>
    </xf>
    <xf numFmtId="16" fontId="26" fillId="0" borderId="0" xfId="0" applyNumberFormat="1" applyFont="1" applyAlignment="1">
      <alignment horizontal="center" vertical="center"/>
    </xf>
    <xf numFmtId="0" fontId="23" fillId="0" borderId="0" xfId="0" applyFont="1" applyAlignment="1">
      <alignment horizontal="left" vertical="center" wrapText="1"/>
    </xf>
    <xf numFmtId="0" fontId="28" fillId="0" borderId="0" xfId="0" applyFont="1" applyAlignment="1">
      <alignment horizontal="center" vertical="center"/>
    </xf>
    <xf numFmtId="0" fontId="30" fillId="0" borderId="0" xfId="0" applyFont="1" applyAlignment="1">
      <alignment horizontal="center" vertical="center"/>
    </xf>
    <xf numFmtId="0" fontId="31" fillId="0" borderId="0" xfId="0" applyFont="1"/>
    <xf numFmtId="0" fontId="32" fillId="0" borderId="0" xfId="1" applyFont="1" applyAlignment="1">
      <alignment horizontal="left" vertical="top" wrapText="1"/>
    </xf>
    <xf numFmtId="0" fontId="32" fillId="0" borderId="0" xfId="1" applyFont="1" applyAlignment="1">
      <alignment horizontal="center" vertical="center" wrapText="1"/>
    </xf>
    <xf numFmtId="0" fontId="32" fillId="0" borderId="27" xfId="1" applyFont="1" applyBorder="1" applyAlignment="1">
      <alignment horizontal="center" vertical="center" wrapText="1"/>
    </xf>
    <xf numFmtId="0" fontId="31" fillId="0" borderId="20" xfId="0" applyFont="1" applyBorder="1" applyAlignment="1">
      <alignment horizontal="center" vertical="center"/>
    </xf>
    <xf numFmtId="0" fontId="33" fillId="0" borderId="18" xfId="0" applyFont="1" applyBorder="1" applyAlignment="1">
      <alignment horizontal="center" vertical="center"/>
    </xf>
    <xf numFmtId="0" fontId="32" fillId="0" borderId="19" xfId="0" applyFont="1" applyBorder="1" applyAlignment="1">
      <alignment horizontal="center" vertical="center"/>
    </xf>
    <xf numFmtId="0" fontId="30" fillId="0" borderId="27" xfId="1" applyFont="1" applyBorder="1" applyAlignment="1">
      <alignment horizontal="center" vertical="center"/>
    </xf>
    <xf numFmtId="0" fontId="30" fillId="0" borderId="28" xfId="1" applyFont="1" applyBorder="1" applyAlignment="1">
      <alignment horizontal="left" vertical="center"/>
    </xf>
    <xf numFmtId="0" fontId="30" fillId="0" borderId="30" xfId="1" applyFont="1" applyBorder="1" applyAlignment="1">
      <alignment horizontal="left" vertical="center"/>
    </xf>
    <xf numFmtId="0" fontId="30" fillId="0" borderId="31" xfId="1" applyFont="1" applyBorder="1" applyAlignment="1">
      <alignment horizontal="left" vertical="center"/>
    </xf>
    <xf numFmtId="0" fontId="30" fillId="0" borderId="18" xfId="1" applyFont="1" applyBorder="1" applyAlignment="1">
      <alignment horizontal="left" vertical="center"/>
    </xf>
    <xf numFmtId="49" fontId="30" fillId="0" borderId="32" xfId="1" applyNumberFormat="1" applyFont="1" applyBorder="1" applyAlignment="1">
      <alignment horizontal="center" vertical="center"/>
    </xf>
    <xf numFmtId="0" fontId="30" fillId="0" borderId="32" xfId="1" applyFont="1" applyBorder="1" applyAlignment="1">
      <alignment horizontal="left" vertical="center"/>
    </xf>
    <xf numFmtId="49" fontId="30" fillId="0" borderId="27" xfId="1" applyNumberFormat="1" applyFont="1" applyBorder="1" applyAlignment="1">
      <alignment horizontal="center" vertical="center"/>
    </xf>
    <xf numFmtId="0" fontId="30" fillId="0" borderId="33" xfId="1" applyFont="1" applyBorder="1" applyAlignment="1">
      <alignment horizontal="left" vertical="center"/>
    </xf>
    <xf numFmtId="49" fontId="30" fillId="0" borderId="34" xfId="1" applyNumberFormat="1" applyFont="1" applyBorder="1" applyAlignment="1">
      <alignment horizontal="center" vertical="center"/>
    </xf>
    <xf numFmtId="0" fontId="31" fillId="0" borderId="18" xfId="0" applyFont="1" applyBorder="1" applyAlignment="1">
      <alignment horizontal="center" vertical="center"/>
    </xf>
    <xf numFmtId="0" fontId="31" fillId="0" borderId="18" xfId="0" applyFont="1" applyBorder="1" applyAlignment="1">
      <alignment horizontal="center" vertical="center" wrapText="1"/>
    </xf>
    <xf numFmtId="0" fontId="0" fillId="0" borderId="18" xfId="0" applyBorder="1" applyAlignment="1">
      <alignment horizontal="center" vertical="center"/>
    </xf>
    <xf numFmtId="0" fontId="32" fillId="0" borderId="0" xfId="1" applyFont="1" applyAlignment="1">
      <alignment horizontal="left" vertical="center" wrapText="1"/>
    </xf>
    <xf numFmtId="0" fontId="32" fillId="0" borderId="18" xfId="0" applyFont="1" applyBorder="1" applyAlignment="1">
      <alignment horizontal="center" vertical="center"/>
    </xf>
    <xf numFmtId="49" fontId="30" fillId="0" borderId="35" xfId="1" applyNumberFormat="1" applyFont="1" applyBorder="1" applyAlignment="1">
      <alignment horizontal="center" vertical="center"/>
    </xf>
    <xf numFmtId="49" fontId="30" fillId="0" borderId="27" xfId="1" applyNumberFormat="1" applyFont="1" applyBorder="1" applyAlignment="1">
      <alignment horizontal="center" vertical="center" wrapText="1"/>
    </xf>
    <xf numFmtId="0" fontId="30" fillId="0" borderId="27" xfId="1" applyFont="1" applyBorder="1" applyAlignment="1">
      <alignment horizontal="center" vertical="center" wrapText="1"/>
    </xf>
    <xf numFmtId="49" fontId="30" fillId="0" borderId="34" xfId="1" applyNumberFormat="1" applyFont="1" applyBorder="1" applyAlignment="1">
      <alignment horizontal="center" vertical="center" wrapText="1"/>
    </xf>
    <xf numFmtId="0" fontId="30" fillId="0" borderId="34" xfId="1" applyFont="1" applyBorder="1" applyAlignment="1">
      <alignment horizontal="center" vertical="center" wrapText="1"/>
    </xf>
    <xf numFmtId="0" fontId="34" fillId="0" borderId="0" xfId="1"/>
    <xf numFmtId="0" fontId="33" fillId="0" borderId="0" xfId="0" applyFont="1"/>
    <xf numFmtId="0" fontId="35" fillId="0" borderId="0" xfId="0" applyFont="1" applyAlignment="1">
      <alignment horizontal="center" vertical="center" wrapText="1"/>
    </xf>
    <xf numFmtId="0" fontId="35" fillId="0" borderId="27" xfId="0" applyFont="1" applyBorder="1" applyAlignment="1">
      <alignment horizontal="center" vertical="center" wrapText="1"/>
    </xf>
    <xf numFmtId="0" fontId="36" fillId="0" borderId="27" xfId="0" applyFont="1" applyBorder="1" applyAlignment="1">
      <alignment horizontal="center" vertical="center"/>
    </xf>
    <xf numFmtId="0" fontId="36" fillId="0" borderId="28" xfId="0" applyFont="1" applyBorder="1" applyAlignment="1">
      <alignment horizontal="left" vertical="center"/>
    </xf>
    <xf numFmtId="0" fontId="36" fillId="0" borderId="30" xfId="0" applyFont="1" applyBorder="1" applyAlignment="1">
      <alignment horizontal="left" vertical="center"/>
    </xf>
    <xf numFmtId="49" fontId="36" fillId="0" borderId="27" xfId="0" applyNumberFormat="1" applyFont="1" applyBorder="1" applyAlignment="1">
      <alignment horizontal="center" vertical="center"/>
    </xf>
    <xf numFmtId="49" fontId="36" fillId="0" borderId="27" xfId="0" applyNumberFormat="1" applyFont="1" applyBorder="1" applyAlignment="1">
      <alignment horizontal="center" vertical="center" wrapText="1"/>
    </xf>
    <xf numFmtId="0" fontId="36" fillId="0" borderId="27" xfId="0" applyFont="1" applyBorder="1" applyAlignment="1">
      <alignment horizontal="center" vertical="center" wrapText="1"/>
    </xf>
    <xf numFmtId="0" fontId="36" fillId="0" borderId="0" xfId="0" applyFont="1" applyAlignment="1">
      <alignment wrapText="1"/>
    </xf>
    <xf numFmtId="0" fontId="36" fillId="0" borderId="0" xfId="0" applyFont="1" applyAlignment="1">
      <alignment horizontal="center" vertical="top" wrapText="1"/>
    </xf>
    <xf numFmtId="0" fontId="35" fillId="0" borderId="0" xfId="0" applyFont="1" applyAlignment="1">
      <alignment horizontal="left" vertical="center" wrapText="1"/>
    </xf>
    <xf numFmtId="0" fontId="36" fillId="0" borderId="27" xfId="0" applyFont="1" applyBorder="1" applyAlignment="1">
      <alignment horizontal="left" vertical="center" wrapText="1"/>
    </xf>
    <xf numFmtId="0" fontId="36" fillId="0" borderId="0" xfId="0" applyFont="1" applyAlignment="1">
      <alignment horizontal="left" vertical="top" wrapText="1"/>
    </xf>
    <xf numFmtId="0" fontId="38" fillId="0" borderId="0" xfId="0" applyFont="1" applyAlignment="1">
      <alignment horizontal="center" vertical="center"/>
    </xf>
    <xf numFmtId="0" fontId="23" fillId="0" borderId="0" xfId="0" applyFont="1"/>
    <xf numFmtId="0" fontId="39" fillId="0" borderId="0" xfId="0" applyFont="1" applyAlignment="1">
      <alignment vertical="center"/>
    </xf>
    <xf numFmtId="0" fontId="38" fillId="0" borderId="0" xfId="0" applyFont="1"/>
    <xf numFmtId="0" fontId="23" fillId="0" borderId="0" xfId="0" applyFont="1" applyAlignment="1">
      <alignment horizontal="center" vertical="center"/>
    </xf>
    <xf numFmtId="0" fontId="38" fillId="0" borderId="0" xfId="0" applyFont="1" applyAlignment="1">
      <alignment horizontal="center"/>
    </xf>
    <xf numFmtId="0" fontId="40"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41" fillId="0" borderId="0" xfId="0" applyFont="1" applyAlignment="1">
      <alignment horizontal="center" vertical="center"/>
    </xf>
    <xf numFmtId="0" fontId="38" fillId="0" borderId="0" xfId="0" applyFont="1" applyAlignment="1">
      <alignment vertical="center"/>
    </xf>
    <xf numFmtId="0" fontId="38" fillId="0" borderId="0" xfId="0" applyFont="1" applyAlignment="1">
      <alignment horizontal="left" vertical="center"/>
    </xf>
    <xf numFmtId="0" fontId="23" fillId="0" borderId="0" xfId="0" applyFont="1" applyAlignment="1">
      <alignment vertical="center"/>
    </xf>
    <xf numFmtId="0" fontId="42" fillId="0" borderId="0" xfId="0" applyFont="1" applyAlignment="1">
      <alignment horizontal="left" vertical="center"/>
    </xf>
    <xf numFmtId="0" fontId="21" fillId="0" borderId="0" xfId="0" applyFont="1" applyAlignment="1">
      <alignment vertical="center"/>
    </xf>
    <xf numFmtId="0" fontId="23" fillId="0" borderId="0" xfId="0" applyFont="1" applyAlignment="1">
      <alignment vertical="center" wrapText="1"/>
    </xf>
    <xf numFmtId="0" fontId="38" fillId="0" borderId="0" xfId="0" applyFont="1" applyAlignment="1">
      <alignment vertical="center" wrapText="1"/>
    </xf>
    <xf numFmtId="0" fontId="3" fillId="0" borderId="0" xfId="0" applyFont="1" applyAlignment="1">
      <alignment vertical="center" wrapText="1"/>
    </xf>
    <xf numFmtId="0" fontId="41" fillId="0" borderId="0" xfId="0" applyFont="1" applyAlignment="1">
      <alignment vertical="center"/>
    </xf>
    <xf numFmtId="0" fontId="41" fillId="3" borderId="0" xfId="0" applyFont="1" applyFill="1" applyAlignment="1">
      <alignment horizontal="center" vertical="center"/>
    </xf>
    <xf numFmtId="0" fontId="23" fillId="3" borderId="0" xfId="0" applyFont="1" applyFill="1" applyAlignment="1">
      <alignment horizontal="center" vertical="center"/>
    </xf>
    <xf numFmtId="0" fontId="43" fillId="0" borderId="0" xfId="0" applyFont="1" applyAlignment="1">
      <alignment horizontal="left" vertical="center"/>
    </xf>
    <xf numFmtId="9" fontId="23" fillId="0" borderId="0" xfId="0" applyNumberFormat="1" applyFont="1" applyAlignment="1">
      <alignment horizontal="center" vertical="center"/>
    </xf>
    <xf numFmtId="10" fontId="23" fillId="0" borderId="0" xfId="0" applyNumberFormat="1" applyFont="1" applyAlignment="1">
      <alignment horizontal="center" vertical="center"/>
    </xf>
    <xf numFmtId="0" fontId="44" fillId="0" borderId="0" xfId="0" applyFont="1" applyAlignment="1">
      <alignment horizontal="center" vertical="center"/>
    </xf>
    <xf numFmtId="0" fontId="23" fillId="3" borderId="0" xfId="0" applyFont="1" applyFill="1" applyAlignment="1">
      <alignment horizontal="center" vertical="center" wrapText="1"/>
    </xf>
    <xf numFmtId="9" fontId="23" fillId="3" borderId="0" xfId="0" applyNumberFormat="1" applyFont="1" applyFill="1" applyAlignment="1">
      <alignment horizontal="center" vertical="center"/>
    </xf>
    <xf numFmtId="0" fontId="45" fillId="0" borderId="0" xfId="0" applyFont="1" applyAlignment="1">
      <alignment horizontal="center" vertical="center"/>
    </xf>
    <xf numFmtId="0" fontId="83" fillId="0" borderId="0" xfId="0" applyFont="1" applyAlignment="1">
      <alignment horizontal="center" vertical="center" wrapText="1"/>
    </xf>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3" fillId="0" borderId="0" xfId="0" applyFont="1" applyAlignment="1">
      <alignment horizontal="left" vertical="center"/>
    </xf>
    <xf numFmtId="0" fontId="83" fillId="0" borderId="0" xfId="0" applyFont="1" applyAlignment="1">
      <alignment horizontal="center"/>
    </xf>
    <xf numFmtId="0" fontId="83" fillId="0" borderId="0" xfId="0" applyFont="1" applyAlignment="1">
      <alignment horizontal="center" vertical="center"/>
    </xf>
    <xf numFmtId="0" fontId="83" fillId="0" borderId="0" xfId="0" applyFont="1"/>
    <xf numFmtId="0" fontId="84" fillId="0" borderId="0" xfId="0" applyFont="1" applyAlignment="1">
      <alignment horizontal="center" vertical="center" wrapText="1"/>
    </xf>
    <xf numFmtId="0" fontId="86" fillId="0" borderId="0" xfId="0" applyFont="1" applyAlignment="1">
      <alignment horizontal="left" vertical="center"/>
    </xf>
    <xf numFmtId="0" fontId="86" fillId="0" borderId="0" xfId="0" applyFont="1" applyAlignment="1">
      <alignment horizontal="center" vertical="center"/>
    </xf>
    <xf numFmtId="0" fontId="84" fillId="0" borderId="0" xfId="0" applyFont="1" applyAlignment="1">
      <alignment vertical="center" wrapText="1"/>
    </xf>
    <xf numFmtId="0" fontId="84" fillId="0" borderId="0" xfId="0" applyFont="1" applyAlignment="1">
      <alignment horizontal="left" vertical="center" wrapText="1"/>
    </xf>
    <xf numFmtId="0" fontId="84" fillId="0" borderId="0" xfId="0" applyFont="1" applyAlignment="1">
      <alignment horizontal="justify" vertical="center"/>
    </xf>
    <xf numFmtId="0" fontId="84" fillId="0" borderId="0" xfId="2" applyFont="1" applyAlignment="1">
      <alignment horizontal="center" vertical="center"/>
    </xf>
    <xf numFmtId="0" fontId="90" fillId="0" borderId="0" xfId="0" applyFont="1" applyAlignment="1">
      <alignment horizontal="left" vertical="center"/>
    </xf>
    <xf numFmtId="0" fontId="90" fillId="0" borderId="0" xfId="0" applyFont="1" applyAlignment="1">
      <alignment horizontal="center"/>
    </xf>
    <xf numFmtId="0" fontId="90" fillId="0" borderId="0" xfId="0" applyFont="1" applyAlignment="1">
      <alignment horizontal="center" vertical="center"/>
    </xf>
    <xf numFmtId="0" fontId="90" fillId="0" borderId="0" xfId="0" applyFont="1"/>
    <xf numFmtId="0" fontId="83" fillId="0" borderId="0" xfId="0" applyFont="1" applyAlignment="1">
      <alignment vertical="center" wrapText="1"/>
    </xf>
    <xf numFmtId="0" fontId="84" fillId="0" borderId="0" xfId="0" applyFont="1" applyAlignment="1">
      <alignment horizontal="left" wrapText="1"/>
    </xf>
    <xf numFmtId="0" fontId="85" fillId="0" borderId="0" xfId="0" applyFont="1" applyAlignment="1">
      <alignment horizontal="center" vertical="center" wrapText="1"/>
    </xf>
    <xf numFmtId="0" fontId="86" fillId="0" borderId="0" xfId="0" applyFont="1" applyAlignment="1">
      <alignment horizontal="center"/>
    </xf>
    <xf numFmtId="0" fontId="86" fillId="0" borderId="0" xfId="0" applyFont="1"/>
    <xf numFmtId="0" fontId="91" fillId="0" borderId="0" xfId="0"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left" vertical="center" wrapText="1"/>
    </xf>
    <xf numFmtId="0" fontId="92" fillId="0" borderId="0" xfId="0" applyFont="1" applyAlignment="1">
      <alignment horizontal="right" vertical="center" wrapText="1"/>
    </xf>
    <xf numFmtId="0" fontId="92" fillId="0" borderId="0" xfId="0" applyFont="1" applyAlignment="1">
      <alignment horizontal="left" vertical="center" wrapText="1"/>
    </xf>
    <xf numFmtId="0" fontId="92" fillId="0" borderId="0" xfId="0" applyFont="1" applyAlignment="1">
      <alignment horizontal="center" vertical="center" wrapText="1"/>
    </xf>
    <xf numFmtId="0" fontId="93" fillId="0" borderId="0" xfId="0" applyFont="1" applyAlignment="1">
      <alignment horizontal="justify" vertical="center"/>
    </xf>
    <xf numFmtId="0" fontId="92" fillId="0" borderId="0" xfId="0" applyFont="1" applyAlignment="1">
      <alignment horizontal="right" vertical="center"/>
    </xf>
    <xf numFmtId="0" fontId="93" fillId="0" borderId="0" xfId="0" applyFont="1" applyAlignment="1">
      <alignment horizontal="right" vertical="center"/>
    </xf>
    <xf numFmtId="0" fontId="94" fillId="0" borderId="0" xfId="0" applyFont="1" applyAlignment="1">
      <alignment horizontal="left" vertical="center"/>
    </xf>
    <xf numFmtId="0" fontId="94" fillId="0" borderId="0" xfId="0" applyFont="1" applyAlignment="1">
      <alignment horizontal="center" vertical="center"/>
    </xf>
    <xf numFmtId="0" fontId="97" fillId="0" borderId="0" xfId="0" applyFont="1" applyAlignment="1">
      <alignment horizontal="center" vertical="center" wrapText="1"/>
    </xf>
    <xf numFmtId="0" fontId="96" fillId="0" borderId="0" xfId="0" applyFont="1" applyAlignment="1">
      <alignment horizontal="left" vertical="center"/>
    </xf>
    <xf numFmtId="0" fontId="94" fillId="0" borderId="0" xfId="0" applyFont="1"/>
    <xf numFmtId="0" fontId="96" fillId="0" borderId="0" xfId="0" applyFont="1" applyAlignment="1">
      <alignment horizontal="center" vertical="center"/>
    </xf>
    <xf numFmtId="0" fontId="96" fillId="0" borderId="0" xfId="0" applyFont="1" applyAlignment="1">
      <alignment horizontal="left" vertical="center" wrapText="1"/>
    </xf>
    <xf numFmtId="0" fontId="91" fillId="0" borderId="0" xfId="0" applyFont="1"/>
    <xf numFmtId="0" fontId="92" fillId="0" borderId="0" xfId="0" applyFont="1" applyAlignment="1">
      <alignment horizontal="left" vertical="center"/>
    </xf>
    <xf numFmtId="0" fontId="101" fillId="0" borderId="0" xfId="0" applyFont="1" applyAlignment="1">
      <alignment horizontal="justify" vertical="center"/>
    </xf>
    <xf numFmtId="0" fontId="93" fillId="0" borderId="0" xfId="0" applyFont="1" applyAlignment="1">
      <alignment horizontal="center" vertical="center" wrapText="1"/>
    </xf>
    <xf numFmtId="0" fontId="102" fillId="0" borderId="0" xfId="0" applyFont="1" applyAlignment="1">
      <alignment horizontal="center" vertical="center" wrapText="1"/>
    </xf>
    <xf numFmtId="0" fontId="103" fillId="0" borderId="0" xfId="0" applyFont="1" applyAlignment="1">
      <alignment horizontal="right" vertical="center" wrapText="1"/>
    </xf>
    <xf numFmtId="0" fontId="103" fillId="0" borderId="0" xfId="0" applyFont="1" applyAlignment="1">
      <alignment horizontal="justify" vertical="center"/>
    </xf>
    <xf numFmtId="0" fontId="102" fillId="0" borderId="0" xfId="0" applyFont="1" applyAlignment="1">
      <alignment horizontal="justify" vertical="center"/>
    </xf>
    <xf numFmtId="0" fontId="104" fillId="0" borderId="0" xfId="0" applyFont="1" applyAlignment="1">
      <alignment horizontal="center" vertical="center" wrapText="1"/>
    </xf>
    <xf numFmtId="0" fontId="105" fillId="0" borderId="0" xfId="0" applyFont="1" applyAlignment="1">
      <alignment horizontal="center" vertical="center" wrapText="1"/>
    </xf>
    <xf numFmtId="0" fontId="91" fillId="0" borderId="0" xfId="0" applyFont="1" applyAlignment="1">
      <alignment horizontal="center"/>
    </xf>
    <xf numFmtId="0" fontId="107" fillId="0" borderId="0" xfId="0" applyFont="1" applyAlignment="1">
      <alignment horizontal="justify" vertical="center"/>
    </xf>
    <xf numFmtId="0" fontId="91" fillId="0" borderId="0" xfId="0" applyFont="1" applyAlignment="1">
      <alignment horizontal="center" vertical="center" wrapText="1"/>
    </xf>
    <xf numFmtId="0" fontId="92" fillId="0" borderId="0" xfId="0" applyFont="1" applyAlignment="1">
      <alignment horizontal="justify" vertical="center"/>
    </xf>
    <xf numFmtId="0" fontId="91" fillId="0" borderId="0" xfId="0" applyFont="1" applyAlignment="1">
      <alignment horizontal="justify" vertical="center"/>
    </xf>
    <xf numFmtId="0" fontId="94" fillId="0" borderId="0" xfId="0" applyFont="1" applyAlignment="1">
      <alignment horizontal="justify" vertical="center"/>
    </xf>
    <xf numFmtId="0" fontId="94" fillId="0" borderId="0" xfId="0" applyFont="1" applyAlignment="1">
      <alignment horizontal="center" vertical="center" wrapText="1"/>
    </xf>
    <xf numFmtId="0" fontId="96" fillId="0" borderId="0" xfId="0" applyFont="1" applyAlignment="1">
      <alignment horizontal="justify" vertical="center"/>
    </xf>
    <xf numFmtId="0" fontId="96" fillId="0" borderId="0" xfId="0" applyFont="1" applyAlignment="1">
      <alignment horizontal="center" vertical="center" wrapText="1"/>
    </xf>
    <xf numFmtId="0" fontId="96" fillId="0" borderId="0" xfId="0" applyFont="1"/>
    <xf numFmtId="16" fontId="94" fillId="0" borderId="0" xfId="0" applyNumberFormat="1" applyFont="1" applyAlignment="1">
      <alignment horizontal="center" vertical="center" wrapText="1"/>
    </xf>
    <xf numFmtId="0" fontId="97" fillId="0" borderId="0" xfId="0" applyFont="1" applyAlignment="1">
      <alignment horizontal="right" vertical="center" wrapText="1"/>
    </xf>
    <xf numFmtId="0" fontId="96" fillId="0" borderId="0" xfId="0" applyFont="1" applyAlignment="1">
      <alignment horizontal="right" vertical="center" wrapText="1"/>
    </xf>
    <xf numFmtId="0" fontId="96" fillId="0" borderId="0" xfId="0" applyFont="1" applyAlignment="1">
      <alignment horizontal="right"/>
    </xf>
    <xf numFmtId="0" fontId="96" fillId="0" borderId="0" xfId="0" applyFont="1" applyAlignment="1">
      <alignment horizontal="right" vertical="center"/>
    </xf>
    <xf numFmtId="0" fontId="91" fillId="0" borderId="0" xfId="0" applyFont="1" applyAlignment="1">
      <alignment horizontal="right"/>
    </xf>
    <xf numFmtId="0" fontId="91" fillId="0" borderId="0" xfId="0" applyFont="1" applyAlignment="1">
      <alignment horizontal="right" vertical="center"/>
    </xf>
    <xf numFmtId="0" fontId="94" fillId="0" borderId="0" xfId="0" applyFont="1" applyAlignment="1">
      <alignment horizontal="right" vertical="center"/>
    </xf>
    <xf numFmtId="0" fontId="94" fillId="0" borderId="0" xfId="0" applyFont="1" applyAlignment="1">
      <alignment horizontal="right"/>
    </xf>
    <xf numFmtId="0" fontId="93" fillId="0" borderId="0" xfId="0" applyFont="1" applyAlignment="1">
      <alignment horizontal="right"/>
    </xf>
    <xf numFmtId="0" fontId="105" fillId="0" borderId="0" xfId="0" applyFont="1" applyAlignment="1">
      <alignment horizontal="right"/>
    </xf>
    <xf numFmtId="0" fontId="110" fillId="0" borderId="0" xfId="0" applyFont="1"/>
    <xf numFmtId="0" fontId="111" fillId="0" borderId="0" xfId="0" applyFont="1" applyAlignment="1">
      <alignment horizontal="center" vertical="center"/>
    </xf>
    <xf numFmtId="0" fontId="110" fillId="0" borderId="0" xfId="0" applyFont="1" applyAlignment="1">
      <alignment horizontal="right"/>
    </xf>
    <xf numFmtId="0" fontId="110" fillId="0" borderId="0" xfId="0" applyFont="1" applyAlignment="1">
      <alignment horizontal="center" vertical="center"/>
    </xf>
    <xf numFmtId="0" fontId="112" fillId="0" borderId="0" xfId="0" applyFont="1" applyAlignment="1">
      <alignment horizontal="right"/>
    </xf>
    <xf numFmtId="0" fontId="112" fillId="0" borderId="0" xfId="0" applyFont="1" applyAlignment="1">
      <alignment horizontal="center" vertical="center"/>
    </xf>
    <xf numFmtId="0" fontId="112" fillId="0" borderId="0" xfId="0" applyFont="1"/>
    <xf numFmtId="0" fontId="97" fillId="0" borderId="0" xfId="0" applyFont="1" applyAlignment="1">
      <alignment horizontal="center" vertical="center"/>
    </xf>
    <xf numFmtId="0" fontId="92" fillId="0" borderId="0" xfId="0" applyFont="1" applyAlignment="1">
      <alignment horizontal="right"/>
    </xf>
    <xf numFmtId="0" fontId="92" fillId="0" borderId="0" xfId="0" applyFont="1" applyAlignment="1">
      <alignment horizontal="center" vertical="center"/>
    </xf>
    <xf numFmtId="0" fontId="92" fillId="0" borderId="0" xfId="0" applyFont="1"/>
    <xf numFmtId="0" fontId="107" fillId="0" borderId="0" xfId="0" applyFont="1" applyAlignment="1">
      <alignment horizontal="center" vertical="center"/>
    </xf>
    <xf numFmtId="0" fontId="103" fillId="0" borderId="0" xfId="0" applyFont="1" applyAlignment="1">
      <alignment horizontal="left" vertical="center" wrapText="1"/>
    </xf>
    <xf numFmtId="0" fontId="93" fillId="0" borderId="0" xfId="0" applyFont="1" applyAlignment="1">
      <alignment horizontal="left" vertical="center" wrapText="1"/>
    </xf>
    <xf numFmtId="0" fontId="101" fillId="0" borderId="0" xfId="0" applyFont="1" applyAlignment="1">
      <alignment horizontal="left" vertical="center" wrapText="1"/>
    </xf>
    <xf numFmtId="0" fontId="91" fillId="0" borderId="0" xfId="0" applyFont="1" applyAlignment="1">
      <alignment horizontal="right" vertical="center" wrapText="1"/>
    </xf>
    <xf numFmtId="0" fontId="107" fillId="0" borderId="0" xfId="0" applyFont="1" applyAlignment="1">
      <alignment horizontal="right" vertical="center"/>
    </xf>
    <xf numFmtId="0" fontId="97" fillId="0" borderId="0" xfId="0" applyFont="1" applyAlignment="1">
      <alignment horizontal="left" vertical="center" wrapText="1"/>
    </xf>
    <xf numFmtId="0" fontId="96" fillId="0" borderId="0" xfId="0" applyFont="1" applyAlignment="1">
      <alignment horizontal="center"/>
    </xf>
    <xf numFmtId="0" fontId="101" fillId="0" borderId="0" xfId="0" applyFont="1" applyAlignment="1">
      <alignment horizontal="center" vertical="center"/>
    </xf>
    <xf numFmtId="0" fontId="93" fillId="0" borderId="0" xfId="0" applyFont="1"/>
    <xf numFmtId="0" fontId="97" fillId="0" borderId="0" xfId="0" applyFont="1" applyAlignment="1">
      <alignment horizontal="justify" vertical="center"/>
    </xf>
    <xf numFmtId="0" fontId="103" fillId="0" borderId="0" xfId="0" applyFont="1" applyAlignment="1">
      <alignment horizontal="center" vertical="center"/>
    </xf>
    <xf numFmtId="0" fontId="102" fillId="0" borderId="0" xfId="0" applyFont="1" applyAlignment="1">
      <alignment horizontal="left" vertical="center" wrapText="1"/>
    </xf>
    <xf numFmtId="0" fontId="102" fillId="0" borderId="0" xfId="0" applyFont="1"/>
    <xf numFmtId="0" fontId="97" fillId="0" borderId="0" xfId="0" applyFont="1" applyAlignment="1">
      <alignment horizontal="right"/>
    </xf>
    <xf numFmtId="0" fontId="92" fillId="0" borderId="0" xfId="0" applyFont="1" applyAlignment="1">
      <alignment horizontal="center"/>
    </xf>
    <xf numFmtId="0" fontId="93" fillId="0" borderId="0" xfId="0" applyFont="1" applyAlignment="1">
      <alignment horizontal="center" vertical="center"/>
    </xf>
    <xf numFmtId="0" fontId="102" fillId="0" borderId="0" xfId="0" applyFont="1" applyAlignment="1">
      <alignment horizontal="center" vertical="center"/>
    </xf>
    <xf numFmtId="0" fontId="102" fillId="0" borderId="0" xfId="0" applyFont="1" applyAlignment="1">
      <alignment horizontal="right" vertical="center"/>
    </xf>
    <xf numFmtId="0" fontId="97" fillId="0" borderId="0" xfId="0" applyFont="1" applyAlignment="1">
      <alignment horizontal="right" vertical="center"/>
    </xf>
    <xf numFmtId="0" fontId="92" fillId="0" borderId="0" xfId="0" applyFont="1" applyAlignment="1">
      <alignment horizontal="left" wrapText="1"/>
    </xf>
    <xf numFmtId="17" fontId="96" fillId="0" borderId="0" xfId="0" applyNumberFormat="1" applyFont="1" applyAlignment="1">
      <alignment horizontal="center" vertical="center" wrapText="1"/>
    </xf>
    <xf numFmtId="0" fontId="104" fillId="0" borderId="0" xfId="0" applyFont="1"/>
    <xf numFmtId="0" fontId="93" fillId="0" borderId="0" xfId="0" applyFont="1" applyAlignment="1">
      <alignment horizontal="left" vertical="center"/>
    </xf>
    <xf numFmtId="0" fontId="103" fillId="0" borderId="0" xfId="0" applyFont="1" applyAlignment="1">
      <alignment horizontal="center" vertical="center" wrapText="1"/>
    </xf>
    <xf numFmtId="0" fontId="94" fillId="0" borderId="0" xfId="0" applyFont="1" applyAlignment="1">
      <alignment horizontal="left" vertical="center" wrapText="1"/>
    </xf>
    <xf numFmtId="0" fontId="101" fillId="0" borderId="0" xfId="0" applyFont="1" applyAlignment="1">
      <alignment horizontal="center" vertical="center" wrapText="1"/>
    </xf>
    <xf numFmtId="0" fontId="114" fillId="0" borderId="0" xfId="0" applyFont="1" applyAlignment="1">
      <alignment horizontal="center" vertical="center" wrapText="1"/>
    </xf>
    <xf numFmtId="1" fontId="94" fillId="0" borderId="0" xfId="0" applyNumberFormat="1" applyFont="1" applyAlignment="1">
      <alignment horizontal="center" vertical="center" wrapText="1"/>
    </xf>
    <xf numFmtId="0" fontId="38" fillId="0" borderId="0" xfId="0" applyFont="1" applyAlignment="1">
      <alignment horizontal="left" vertical="center"/>
    </xf>
    <xf numFmtId="0" fontId="40" fillId="0" borderId="0" xfId="0" applyFont="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38" fillId="0" borderId="0" xfId="0" applyFont="1" applyAlignment="1">
      <alignment horizontal="center" vertical="center" wrapText="1"/>
    </xf>
    <xf numFmtId="0" fontId="38" fillId="0" borderId="0" xfId="0" applyFont="1" applyAlignment="1">
      <alignment horizontal="center" vertical="center"/>
    </xf>
    <xf numFmtId="0" fontId="39" fillId="0" borderId="0" xfId="0" applyFont="1" applyAlignment="1">
      <alignment horizontal="center"/>
    </xf>
    <xf numFmtId="0" fontId="38" fillId="0" borderId="0" xfId="0" applyFont="1" applyAlignment="1">
      <alignment horizontal="center"/>
    </xf>
    <xf numFmtId="0" fontId="40" fillId="0" borderId="0" xfId="0" applyFont="1" applyAlignment="1">
      <alignment horizontal="center"/>
    </xf>
    <xf numFmtId="0" fontId="36" fillId="0" borderId="0" xfId="0" applyFont="1" applyAlignment="1">
      <alignment horizontal="left" vertical="top" wrapText="1"/>
    </xf>
    <xf numFmtId="0" fontId="36" fillId="0" borderId="0" xfId="0" applyFont="1" applyAlignment="1">
      <alignment horizontal="center" vertical="top" wrapText="1"/>
    </xf>
    <xf numFmtId="0" fontId="37" fillId="0" borderId="0" xfId="0" applyFont="1" applyAlignment="1">
      <alignment horizontal="center" vertical="top" wrapText="1"/>
    </xf>
    <xf numFmtId="0" fontId="37" fillId="0" borderId="0" xfId="0" applyFont="1" applyAlignment="1">
      <alignment horizontal="left" vertical="top" wrapText="1"/>
    </xf>
    <xf numFmtId="0" fontId="36" fillId="0" borderId="0" xfId="0" applyFont="1" applyAlignment="1">
      <alignment horizontal="left" wrapText="1"/>
    </xf>
    <xf numFmtId="0" fontId="36" fillId="0" borderId="0" xfId="0" applyFont="1" applyAlignment="1">
      <alignment horizontal="center" wrapText="1"/>
    </xf>
    <xf numFmtId="0" fontId="35" fillId="0" borderId="0" xfId="0" applyFont="1" applyAlignment="1">
      <alignment horizontal="center" wrapText="1"/>
    </xf>
    <xf numFmtId="0" fontId="37" fillId="0" borderId="0" xfId="0" applyFont="1" applyAlignment="1">
      <alignment horizontal="right" vertical="center" wrapText="1"/>
    </xf>
    <xf numFmtId="0" fontId="35" fillId="0" borderId="28" xfId="0" applyFont="1" applyBorder="1" applyAlignment="1">
      <alignment horizontal="center" vertical="center" wrapText="1"/>
    </xf>
    <xf numFmtId="0" fontId="35" fillId="0" borderId="30" xfId="0" applyFont="1" applyBorder="1" applyAlignment="1">
      <alignment horizontal="center" vertical="center" wrapText="1"/>
    </xf>
    <xf numFmtId="0" fontId="37" fillId="0" borderId="36" xfId="0" applyFont="1" applyBorder="1" applyAlignment="1">
      <alignment horizontal="left" wrapText="1"/>
    </xf>
    <xf numFmtId="0" fontId="35" fillId="0" borderId="36" xfId="0" applyFont="1" applyBorder="1" applyAlignment="1">
      <alignment horizontal="center" wrapText="1"/>
    </xf>
    <xf numFmtId="0" fontId="35" fillId="0" borderId="0" xfId="0" applyFont="1" applyAlignment="1">
      <alignment horizontal="left" vertical="top" wrapText="1"/>
    </xf>
    <xf numFmtId="0" fontId="35" fillId="0" borderId="0" xfId="0" applyFont="1" applyAlignment="1">
      <alignment horizontal="center" vertical="center" wrapText="1"/>
    </xf>
    <xf numFmtId="0" fontId="36" fillId="0" borderId="0" xfId="0" applyFont="1" applyAlignment="1">
      <alignment horizontal="left" vertical="center" wrapText="1"/>
    </xf>
    <xf numFmtId="0" fontId="36" fillId="0" borderId="0" xfId="0" applyFont="1" applyAlignment="1">
      <alignment horizontal="left" vertical="center"/>
    </xf>
    <xf numFmtId="0" fontId="32" fillId="0" borderId="0" xfId="1" applyFont="1" applyAlignment="1">
      <alignment horizontal="left" vertical="top" wrapText="1"/>
    </xf>
    <xf numFmtId="0" fontId="32" fillId="0" borderId="0" xfId="1" applyFont="1" applyAlignment="1">
      <alignment horizontal="center" vertical="center" wrapText="1"/>
    </xf>
    <xf numFmtId="0" fontId="30" fillId="0" borderId="0" xfId="1" applyFont="1" applyAlignment="1">
      <alignment horizontal="left" vertical="center" wrapText="1"/>
    </xf>
    <xf numFmtId="0" fontId="32" fillId="0" borderId="28" xfId="1" applyFont="1" applyBorder="1" applyAlignment="1">
      <alignment horizontal="center" vertical="center" wrapText="1"/>
    </xf>
    <xf numFmtId="0" fontId="32" fillId="0" borderId="29" xfId="1" applyFont="1" applyBorder="1" applyAlignment="1">
      <alignment horizontal="center" vertical="center" wrapText="1"/>
    </xf>
    <xf numFmtId="0" fontId="12" fillId="0" borderId="0" xfId="0" applyFont="1" applyAlignment="1">
      <alignment horizontal="left" vertical="center"/>
    </xf>
    <xf numFmtId="0" fontId="13" fillId="0" borderId="11" xfId="0" applyFont="1" applyBorder="1" applyAlignment="1">
      <alignment horizontal="center" vertical="center" wrapText="1"/>
    </xf>
    <xf numFmtId="0" fontId="13" fillId="0" borderId="14" xfId="0" applyFont="1" applyBorder="1" applyAlignment="1">
      <alignment horizontal="center" vertical="center" wrapText="1"/>
    </xf>
    <xf numFmtId="0" fontId="21" fillId="0" borderId="6" xfId="0" applyFont="1" applyBorder="1" applyAlignment="1">
      <alignment horizontal="justify" vertical="center" wrapText="1"/>
    </xf>
    <xf numFmtId="0" fontId="21" fillId="0" borderId="9" xfId="0" applyFont="1" applyBorder="1" applyAlignment="1">
      <alignment horizontal="justify" vertical="center" wrapText="1"/>
    </xf>
    <xf numFmtId="0" fontId="21" fillId="0" borderId="6"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1"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16" xfId="0" applyFont="1" applyBorder="1" applyAlignment="1">
      <alignment horizontal="center" vertical="center" wrapText="1"/>
    </xf>
  </cellXfs>
  <cellStyles count="3">
    <cellStyle name="Bình thường 2" xfId="1" xr:uid="{00000000-0005-0000-0000-000000000000}"/>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17.jpeg"/><Relationship Id="rId13" Type="http://schemas.openxmlformats.org/officeDocument/2006/relationships/image" Target="../media/image22.png"/><Relationship Id="rId18" Type="http://schemas.openxmlformats.org/officeDocument/2006/relationships/image" Target="../media/image27.png"/><Relationship Id="rId26" Type="http://schemas.openxmlformats.org/officeDocument/2006/relationships/image" Target="../media/image35.png"/><Relationship Id="rId3" Type="http://schemas.openxmlformats.org/officeDocument/2006/relationships/image" Target="../media/image12.jpeg"/><Relationship Id="rId21" Type="http://schemas.openxmlformats.org/officeDocument/2006/relationships/image" Target="../media/image30.png"/><Relationship Id="rId7" Type="http://schemas.openxmlformats.org/officeDocument/2006/relationships/image" Target="../media/image16.jpeg"/><Relationship Id="rId12" Type="http://schemas.openxmlformats.org/officeDocument/2006/relationships/image" Target="../media/image21.jpeg"/><Relationship Id="rId17" Type="http://schemas.openxmlformats.org/officeDocument/2006/relationships/image" Target="../media/image26.png"/><Relationship Id="rId25" Type="http://schemas.openxmlformats.org/officeDocument/2006/relationships/image" Target="../media/image34.jpeg"/><Relationship Id="rId2" Type="http://schemas.openxmlformats.org/officeDocument/2006/relationships/image" Target="../media/image11.jpeg"/><Relationship Id="rId16" Type="http://schemas.openxmlformats.org/officeDocument/2006/relationships/image" Target="../media/image25.jpeg"/><Relationship Id="rId20" Type="http://schemas.openxmlformats.org/officeDocument/2006/relationships/image" Target="../media/image29.png"/><Relationship Id="rId29" Type="http://schemas.openxmlformats.org/officeDocument/2006/relationships/image" Target="../media/image38.jpeg"/><Relationship Id="rId1" Type="http://schemas.openxmlformats.org/officeDocument/2006/relationships/image" Target="../media/image10.jpeg"/><Relationship Id="rId6" Type="http://schemas.openxmlformats.org/officeDocument/2006/relationships/image" Target="../media/image15.jpeg"/><Relationship Id="rId11" Type="http://schemas.openxmlformats.org/officeDocument/2006/relationships/image" Target="../media/image20.jpeg"/><Relationship Id="rId24" Type="http://schemas.openxmlformats.org/officeDocument/2006/relationships/image" Target="../media/image33.png"/><Relationship Id="rId5" Type="http://schemas.openxmlformats.org/officeDocument/2006/relationships/image" Target="../media/image14.jpeg"/><Relationship Id="rId15" Type="http://schemas.openxmlformats.org/officeDocument/2006/relationships/image" Target="../media/image24.jpeg"/><Relationship Id="rId23" Type="http://schemas.openxmlformats.org/officeDocument/2006/relationships/image" Target="../media/image32.png"/><Relationship Id="rId28" Type="http://schemas.openxmlformats.org/officeDocument/2006/relationships/image" Target="../media/image37.png"/><Relationship Id="rId10" Type="http://schemas.openxmlformats.org/officeDocument/2006/relationships/image" Target="../media/image19.jpeg"/><Relationship Id="rId19" Type="http://schemas.openxmlformats.org/officeDocument/2006/relationships/image" Target="../media/image28.png"/><Relationship Id="rId4" Type="http://schemas.openxmlformats.org/officeDocument/2006/relationships/image" Target="../media/image13.jpeg"/><Relationship Id="rId9" Type="http://schemas.openxmlformats.org/officeDocument/2006/relationships/image" Target="../media/image18.jpeg"/><Relationship Id="rId14" Type="http://schemas.openxmlformats.org/officeDocument/2006/relationships/image" Target="../media/image23.jpeg"/><Relationship Id="rId22" Type="http://schemas.openxmlformats.org/officeDocument/2006/relationships/image" Target="../media/image31.jpeg"/><Relationship Id="rId27" Type="http://schemas.openxmlformats.org/officeDocument/2006/relationships/image" Target="../media/image36.png"/><Relationship Id="rId30"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1</xdr:row>
      <xdr:rowOff>0</xdr:rowOff>
    </xdr:from>
    <xdr:to>
      <xdr:col>2</xdr:col>
      <xdr:colOff>43295</xdr:colOff>
      <xdr:row>6</xdr:row>
      <xdr:rowOff>138545</xdr:rowOff>
    </xdr:to>
    <xdr:pic>
      <xdr:nvPicPr>
        <xdr:cNvPr id="2" name="Picture 1">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674370" y="182880"/>
          <a:ext cx="603250" cy="1052830"/>
        </a:xfrm>
        <a:prstGeom prst="rect">
          <a:avLst/>
        </a:prstGeom>
        <a:noFill/>
        <a:ln>
          <a:noFill/>
        </a:ln>
      </xdr:spPr>
    </xdr:pic>
    <xdr:clientData/>
  </xdr:twoCellAnchor>
  <xdr:twoCellAnchor editAs="oneCell">
    <xdr:from>
      <xdr:col>10</xdr:col>
      <xdr:colOff>10886</xdr:colOff>
      <xdr:row>0</xdr:row>
      <xdr:rowOff>1</xdr:rowOff>
    </xdr:from>
    <xdr:to>
      <xdr:col>13</xdr:col>
      <xdr:colOff>246017</xdr:colOff>
      <xdr:row>4</xdr:row>
      <xdr:rowOff>174517</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182995" y="0"/>
          <a:ext cx="2086610" cy="9055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218038</xdr:colOff>
      <xdr:row>21</xdr:row>
      <xdr:rowOff>0</xdr:rowOff>
    </xdr:from>
    <xdr:to>
      <xdr:col>7</xdr:col>
      <xdr:colOff>530458</xdr:colOff>
      <xdr:row>27</xdr:row>
      <xdr:rowOff>167579</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21125" y="3840480"/>
          <a:ext cx="929640" cy="12642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346710</xdr:colOff>
      <xdr:row>36</xdr:row>
      <xdr:rowOff>0</xdr:rowOff>
    </xdr:from>
    <xdr:to>
      <xdr:col>8</xdr:col>
      <xdr:colOff>49530</xdr:colOff>
      <xdr:row>42</xdr:row>
      <xdr:rowOff>170382</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050030" y="658368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741998</xdr:colOff>
      <xdr:row>50</xdr:row>
      <xdr:rowOff>157681</xdr:rowOff>
    </xdr:from>
    <xdr:to>
      <xdr:col>7</xdr:col>
      <xdr:colOff>315278</xdr:colOff>
      <xdr:row>57</xdr:row>
      <xdr:rowOff>141403</xdr:rowOff>
    </xdr:to>
    <xdr:pic>
      <xdr:nvPicPr>
        <xdr:cNvPr id="4" name="Picture 3" descr="https://4.bp.blogspot.com/-Sl99pYV2oDI/U-SOBBPxK5I/AAAAAAAABRI/okGDKVaOCcY/s1600/Prona+Passenger+DLX+15+seat+AC+SHEROS_Toyota+Dyna+110BCL.jpg">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3703320" y="9301480"/>
          <a:ext cx="932180" cy="126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978131</xdr:colOff>
      <xdr:row>66</xdr:row>
      <xdr:rowOff>0</xdr:rowOff>
    </xdr:from>
    <xdr:to>
      <xdr:col>7</xdr:col>
      <xdr:colOff>315191</xdr:colOff>
      <xdr:row>72</xdr:row>
      <xdr:rowOff>168842</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3703320" y="12070080"/>
          <a:ext cx="932180" cy="1265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124694</xdr:colOff>
      <xdr:row>21</xdr:row>
      <xdr:rowOff>0</xdr:rowOff>
    </xdr:from>
    <xdr:to>
      <xdr:col>8</xdr:col>
      <xdr:colOff>429494</xdr:colOff>
      <xdr:row>27</xdr:row>
      <xdr:rowOff>169824</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4445000" y="3840480"/>
          <a:ext cx="92202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226004</xdr:colOff>
      <xdr:row>36</xdr:row>
      <xdr:rowOff>13857</xdr:rowOff>
    </xdr:from>
    <xdr:to>
      <xdr:col>8</xdr:col>
      <xdr:colOff>539117</xdr:colOff>
      <xdr:row>42</xdr:row>
      <xdr:rowOff>179183</xdr:rowOff>
    </xdr:to>
    <xdr:pic>
      <xdr:nvPicPr>
        <xdr:cNvPr id="7" name="Picture 6">
          <a:extLst>
            <a:ext uri="{FF2B5EF4-FFF2-40B4-BE49-F238E27FC236}">
              <a16:creationId xmlns:a16="http://schemas.microsoft.com/office/drawing/2014/main" id="{00000000-0008-0000-0700-000007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4545965" y="6597015"/>
          <a:ext cx="930910" cy="126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484911</xdr:colOff>
      <xdr:row>50</xdr:row>
      <xdr:rowOff>138545</xdr:rowOff>
    </xdr:from>
    <xdr:to>
      <xdr:col>8</xdr:col>
      <xdr:colOff>187731</xdr:colOff>
      <xdr:row>57</xdr:row>
      <xdr:rowOff>126137</xdr:rowOff>
    </xdr:to>
    <xdr:pic>
      <xdr:nvPicPr>
        <xdr:cNvPr id="8" name="Picture 7">
          <a:extLst>
            <a:ext uri="{FF2B5EF4-FFF2-40B4-BE49-F238E27FC236}">
              <a16:creationId xmlns:a16="http://schemas.microsoft.com/office/drawing/2014/main" id="{00000000-0008-0000-0700-000008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4187825" y="9282430"/>
          <a:ext cx="937260" cy="1267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720436</xdr:colOff>
      <xdr:row>66</xdr:row>
      <xdr:rowOff>2</xdr:rowOff>
    </xdr:from>
    <xdr:to>
      <xdr:col>8</xdr:col>
      <xdr:colOff>308956</xdr:colOff>
      <xdr:row>72</xdr:row>
      <xdr:rowOff>169728</xdr:rowOff>
    </xdr:to>
    <xdr:pic>
      <xdr:nvPicPr>
        <xdr:cNvPr id="9" name="Picture 8">
          <a:extLst>
            <a:ext uri="{FF2B5EF4-FFF2-40B4-BE49-F238E27FC236}">
              <a16:creationId xmlns:a16="http://schemas.microsoft.com/office/drawing/2014/main" id="{00000000-0008-0000-0700-000009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a:xfrm>
          <a:off x="4320540" y="12070080"/>
          <a:ext cx="925830"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547433</xdr:colOff>
      <xdr:row>21</xdr:row>
      <xdr:rowOff>0</xdr:rowOff>
    </xdr:from>
    <xdr:to>
      <xdr:col>6</xdr:col>
      <xdr:colOff>250253</xdr:colOff>
      <xdr:row>28</xdr:row>
      <xdr:rowOff>26345</xdr:rowOff>
    </xdr:to>
    <xdr:pic>
      <xdr:nvPicPr>
        <xdr:cNvPr id="10" name="Picture 9">
          <a:extLst>
            <a:ext uri="{FF2B5EF4-FFF2-40B4-BE49-F238E27FC236}">
              <a16:creationId xmlns:a16="http://schemas.microsoft.com/office/drawing/2014/main" id="{00000000-0008-0000-0700-00000A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a:xfrm>
          <a:off x="3016250" y="3840480"/>
          <a:ext cx="937260" cy="13061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731001</xdr:colOff>
      <xdr:row>36</xdr:row>
      <xdr:rowOff>9525</xdr:rowOff>
    </xdr:from>
    <xdr:to>
      <xdr:col>6</xdr:col>
      <xdr:colOff>311901</xdr:colOff>
      <xdr:row>42</xdr:row>
      <xdr:rowOff>166394</xdr:rowOff>
    </xdr:to>
    <xdr:pic>
      <xdr:nvPicPr>
        <xdr:cNvPr id="11" name="Picture 10">
          <a:extLst>
            <a:ext uri="{FF2B5EF4-FFF2-40B4-BE49-F238E27FC236}">
              <a16:creationId xmlns:a16="http://schemas.microsoft.com/office/drawing/2014/main" id="{00000000-0008-0000-0700-00000B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a:xfrm>
          <a:off x="3086100" y="6593205"/>
          <a:ext cx="929005" cy="1254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980901</xdr:colOff>
      <xdr:row>50</xdr:row>
      <xdr:rowOff>150323</xdr:rowOff>
    </xdr:from>
    <xdr:to>
      <xdr:col>5</xdr:col>
      <xdr:colOff>270472</xdr:colOff>
      <xdr:row>57</xdr:row>
      <xdr:rowOff>91442</xdr:rowOff>
    </xdr:to>
    <xdr:pic>
      <xdr:nvPicPr>
        <xdr:cNvPr id="12" name="Picture 11">
          <a:extLst>
            <a:ext uri="{FF2B5EF4-FFF2-40B4-BE49-F238E27FC236}">
              <a16:creationId xmlns:a16="http://schemas.microsoft.com/office/drawing/2014/main" id="{00000000-0008-0000-0700-00000C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a:xfrm>
          <a:off x="2468880" y="9293860"/>
          <a:ext cx="887095" cy="1221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129540</xdr:colOff>
      <xdr:row>66</xdr:row>
      <xdr:rowOff>7621</xdr:rowOff>
    </xdr:from>
    <xdr:to>
      <xdr:col>5</xdr:col>
      <xdr:colOff>434340</xdr:colOff>
      <xdr:row>72</xdr:row>
      <xdr:rowOff>169820</xdr:rowOff>
    </xdr:to>
    <xdr:pic>
      <xdr:nvPicPr>
        <xdr:cNvPr id="13" name="Picture 12">
          <a:extLst>
            <a:ext uri="{FF2B5EF4-FFF2-40B4-BE49-F238E27FC236}">
              <a16:creationId xmlns:a16="http://schemas.microsoft.com/office/drawing/2014/main" id="{00000000-0008-0000-0700-00000D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a:xfrm>
          <a:off x="2598420" y="12077700"/>
          <a:ext cx="922020"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455295</xdr:colOff>
      <xdr:row>21</xdr:row>
      <xdr:rowOff>0</xdr:rowOff>
    </xdr:from>
    <xdr:to>
      <xdr:col>7</xdr:col>
      <xdr:colOff>158115</xdr:colOff>
      <xdr:row>27</xdr:row>
      <xdr:rowOff>183605</xdr:rowOff>
    </xdr:to>
    <xdr:pic>
      <xdr:nvPicPr>
        <xdr:cNvPr id="14" name="Picture 13">
          <a:extLst>
            <a:ext uri="{FF2B5EF4-FFF2-40B4-BE49-F238E27FC236}">
              <a16:creationId xmlns:a16="http://schemas.microsoft.com/office/drawing/2014/main" id="{00000000-0008-0000-0700-00000E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a:xfrm>
          <a:off x="3541395" y="3840480"/>
          <a:ext cx="937260" cy="12807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619125</xdr:colOff>
      <xdr:row>36</xdr:row>
      <xdr:rowOff>0</xdr:rowOff>
    </xdr:from>
    <xdr:to>
      <xdr:col>7</xdr:col>
      <xdr:colOff>314325</xdr:colOff>
      <xdr:row>42</xdr:row>
      <xdr:rowOff>162520</xdr:rowOff>
    </xdr:to>
    <xdr:pic>
      <xdr:nvPicPr>
        <xdr:cNvPr id="15" name="Picture 14" descr="https://2.bp.blogspot.com/-iiUPFtPoJQs/U-SBdusaoVI/AAAAAAAABPA/Qme2HuMRyhQ/s1600/Prona+Standard+Mitsubishi+FE+71.jpg">
          <a:extLst>
            <a:ext uri="{FF2B5EF4-FFF2-40B4-BE49-F238E27FC236}">
              <a16:creationId xmlns:a16="http://schemas.microsoft.com/office/drawing/2014/main" id="{00000000-0008-0000-0700-00000F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a:xfrm>
          <a:off x="3703320" y="6583680"/>
          <a:ext cx="931545" cy="1259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843915</xdr:colOff>
      <xdr:row>50</xdr:row>
      <xdr:rowOff>152401</xdr:rowOff>
    </xdr:from>
    <xdr:to>
      <xdr:col>6</xdr:col>
      <xdr:colOff>310515</xdr:colOff>
      <xdr:row>57</xdr:row>
      <xdr:rowOff>134023</xdr:rowOff>
    </xdr:to>
    <xdr:pic>
      <xdr:nvPicPr>
        <xdr:cNvPr id="16" name="Picture 15" descr="https://3.bp.blogspot.com/-wiYSaLw3KiU/U-SBgg5j4YI/AAAAAAAABPY/PjLmaoC3WvE/s1600/Prona+Standard+toyota+Dyna+110+ST.jpg">
          <a:extLst>
            <a:ext uri="{FF2B5EF4-FFF2-40B4-BE49-F238E27FC236}">
              <a16:creationId xmlns:a16="http://schemas.microsoft.com/office/drawing/2014/main" id="{00000000-0008-0000-0700-000010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a:xfrm>
          <a:off x="3086100" y="9296400"/>
          <a:ext cx="927735" cy="1261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21474</xdr:colOff>
      <xdr:row>66</xdr:row>
      <xdr:rowOff>9700</xdr:rowOff>
    </xdr:from>
    <xdr:to>
      <xdr:col>6</xdr:col>
      <xdr:colOff>326274</xdr:colOff>
      <xdr:row>72</xdr:row>
      <xdr:rowOff>169169</xdr:rowOff>
    </xdr:to>
    <xdr:pic>
      <xdr:nvPicPr>
        <xdr:cNvPr id="17" name="Picture 16">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a:xfrm>
          <a:off x="3107055" y="12079605"/>
          <a:ext cx="922020" cy="12566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136636</xdr:colOff>
      <xdr:row>86</xdr:row>
      <xdr:rowOff>141891</xdr:rowOff>
    </xdr:from>
    <xdr:to>
      <xdr:col>3</xdr:col>
      <xdr:colOff>14716</xdr:colOff>
      <xdr:row>90</xdr:row>
      <xdr:rowOff>179484</xdr:rowOff>
    </xdr:to>
    <xdr:pic>
      <xdr:nvPicPr>
        <xdr:cNvPr id="18" name="Picture 17">
          <a:extLst>
            <a:ext uri="{FF2B5EF4-FFF2-40B4-BE49-F238E27FC236}">
              <a16:creationId xmlns:a16="http://schemas.microsoft.com/office/drawing/2014/main" id="{00000000-0008-0000-0700-00001200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a:xfrm>
          <a:off x="753745" y="15869285"/>
          <a:ext cx="1112520"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131379</xdr:colOff>
      <xdr:row>86</xdr:row>
      <xdr:rowOff>147144</xdr:rowOff>
    </xdr:from>
    <xdr:to>
      <xdr:col>4</xdr:col>
      <xdr:colOff>9459</xdr:colOff>
      <xdr:row>90</xdr:row>
      <xdr:rowOff>183602</xdr:rowOff>
    </xdr:to>
    <xdr:pic>
      <xdr:nvPicPr>
        <xdr:cNvPr id="19" name="Picture 18">
          <a:extLst>
            <a:ext uri="{FF2B5EF4-FFF2-40B4-BE49-F238E27FC236}">
              <a16:creationId xmlns:a16="http://schemas.microsoft.com/office/drawing/2014/main" id="{00000000-0008-0000-0700-000013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a:xfrm>
          <a:off x="1365250" y="15874365"/>
          <a:ext cx="1112520" cy="768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68318</xdr:colOff>
      <xdr:row>86</xdr:row>
      <xdr:rowOff>152401</xdr:rowOff>
    </xdr:from>
    <xdr:to>
      <xdr:col>4</xdr:col>
      <xdr:colOff>555998</xdr:colOff>
      <xdr:row>91</xdr:row>
      <xdr:rowOff>5979</xdr:rowOff>
    </xdr:to>
    <xdr:pic>
      <xdr:nvPicPr>
        <xdr:cNvPr id="20" name="Picture 19">
          <a:extLst>
            <a:ext uri="{FF2B5EF4-FFF2-40B4-BE49-F238E27FC236}">
              <a16:creationId xmlns:a16="http://schemas.microsoft.com/office/drawing/2014/main" id="{00000000-0008-0000-0700-000014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a:xfrm>
          <a:off x="1919605" y="15880080"/>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1361090</xdr:colOff>
      <xdr:row>86</xdr:row>
      <xdr:rowOff>152403</xdr:rowOff>
    </xdr:from>
    <xdr:to>
      <xdr:col>5</xdr:col>
      <xdr:colOff>492410</xdr:colOff>
      <xdr:row>91</xdr:row>
      <xdr:rowOff>5981</xdr:rowOff>
    </xdr:to>
    <xdr:pic>
      <xdr:nvPicPr>
        <xdr:cNvPr id="21" name="Picture 20">
          <a:extLst>
            <a:ext uri="{FF2B5EF4-FFF2-40B4-BE49-F238E27FC236}">
              <a16:creationId xmlns:a16="http://schemas.microsoft.com/office/drawing/2014/main" id="{00000000-0008-0000-0700-000015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a:xfrm>
          <a:off x="2468880" y="15880080"/>
          <a:ext cx="1109345"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241738</xdr:colOff>
      <xdr:row>37</xdr:row>
      <xdr:rowOff>1</xdr:rowOff>
    </xdr:from>
    <xdr:to>
      <xdr:col>2</xdr:col>
      <xdr:colOff>113775</xdr:colOff>
      <xdr:row>41</xdr:row>
      <xdr:rowOff>37510</xdr:rowOff>
    </xdr:to>
    <xdr:pic>
      <xdr:nvPicPr>
        <xdr:cNvPr id="22" name="Picture 21">
          <a:extLst>
            <a:ext uri="{FF2B5EF4-FFF2-40B4-BE49-F238E27FC236}">
              <a16:creationId xmlns:a16="http://schemas.microsoft.com/office/drawing/2014/main" id="{00000000-0008-0000-0700-000016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a:xfrm>
          <a:off x="241300" y="6766560"/>
          <a:ext cx="1106805" cy="7689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68317</xdr:colOff>
      <xdr:row>86</xdr:row>
      <xdr:rowOff>147145</xdr:rowOff>
    </xdr:from>
    <xdr:to>
      <xdr:col>6</xdr:col>
      <xdr:colOff>555997</xdr:colOff>
      <xdr:row>91</xdr:row>
      <xdr:rowOff>524</xdr:rowOff>
    </xdr:to>
    <xdr:pic>
      <xdr:nvPicPr>
        <xdr:cNvPr id="23" name="Picture 22" descr="https://1.bp.blogspot.com/-3l9oxjDidf4/U-OrAtmZy4I/AAAAAAAABMI/k1IHptCS_7Y/s1600/HINO+R.260-NEW+ARISTO.jpg">
          <a:extLst>
            <a:ext uri="{FF2B5EF4-FFF2-40B4-BE49-F238E27FC236}">
              <a16:creationId xmlns:a16="http://schemas.microsoft.com/office/drawing/2014/main" id="{00000000-0008-0000-0700-000017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a:xfrm>
          <a:off x="3154045" y="15874365"/>
          <a:ext cx="1104900" cy="767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4300</xdr:colOff>
      <xdr:row>82</xdr:row>
      <xdr:rowOff>68318</xdr:rowOff>
    </xdr:from>
    <xdr:to>
      <xdr:col>7</xdr:col>
      <xdr:colOff>499600</xdr:colOff>
      <xdr:row>90</xdr:row>
      <xdr:rowOff>171780</xdr:rowOff>
    </xdr:to>
    <xdr:pic>
      <xdr:nvPicPr>
        <xdr:cNvPr id="24" name="Picture 23">
          <a:extLst>
            <a:ext uri="{FF2B5EF4-FFF2-40B4-BE49-F238E27FC236}">
              <a16:creationId xmlns:a16="http://schemas.microsoft.com/office/drawing/2014/main" id="{00000000-0008-0000-0700-000018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a:xfrm>
          <a:off x="3707130" y="15064105"/>
          <a:ext cx="1112520" cy="15665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90054</xdr:colOff>
      <xdr:row>82</xdr:row>
      <xdr:rowOff>62344</xdr:rowOff>
    </xdr:from>
    <xdr:to>
      <xdr:col>8</xdr:col>
      <xdr:colOff>586047</xdr:colOff>
      <xdr:row>90</xdr:row>
      <xdr:rowOff>164500</xdr:rowOff>
    </xdr:to>
    <xdr:pic>
      <xdr:nvPicPr>
        <xdr:cNvPr id="25" name="Picture 24">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a:xfrm>
          <a:off x="4410075" y="15058390"/>
          <a:ext cx="1113155"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145474</xdr:colOff>
      <xdr:row>82</xdr:row>
      <xdr:rowOff>69273</xdr:rowOff>
    </xdr:from>
    <xdr:to>
      <xdr:col>10</xdr:col>
      <xdr:colOff>13856</xdr:colOff>
      <xdr:row>90</xdr:row>
      <xdr:rowOff>171429</xdr:rowOff>
    </xdr:to>
    <xdr:pic>
      <xdr:nvPicPr>
        <xdr:cNvPr id="26" name="Picture 25">
          <a:extLst>
            <a:ext uri="{FF2B5EF4-FFF2-40B4-BE49-F238E27FC236}">
              <a16:creationId xmlns:a16="http://schemas.microsoft.com/office/drawing/2014/main" id="{00000000-0008-0000-0700-00001A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a:xfrm>
          <a:off x="5083175" y="15065375"/>
          <a:ext cx="110236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55419</xdr:colOff>
      <xdr:row>82</xdr:row>
      <xdr:rowOff>62345</xdr:rowOff>
    </xdr:from>
    <xdr:to>
      <xdr:col>10</xdr:col>
      <xdr:colOff>543099</xdr:colOff>
      <xdr:row>90</xdr:row>
      <xdr:rowOff>164501</xdr:rowOff>
    </xdr:to>
    <xdr:pic>
      <xdr:nvPicPr>
        <xdr:cNvPr id="27" name="Picture 26">
          <a:extLst>
            <a:ext uri="{FF2B5EF4-FFF2-40B4-BE49-F238E27FC236}">
              <a16:creationId xmlns:a16="http://schemas.microsoft.com/office/drawing/2014/main" id="{00000000-0008-0000-0700-00001B00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a:xfrm>
          <a:off x="5610225" y="15058390"/>
          <a:ext cx="110490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1184564</xdr:colOff>
      <xdr:row>82</xdr:row>
      <xdr:rowOff>69272</xdr:rowOff>
    </xdr:from>
    <xdr:to>
      <xdr:col>11</xdr:col>
      <xdr:colOff>494607</xdr:colOff>
      <xdr:row>90</xdr:row>
      <xdr:rowOff>171428</xdr:rowOff>
    </xdr:to>
    <xdr:pic>
      <xdr:nvPicPr>
        <xdr:cNvPr id="28" name="Picture 27">
          <a:extLst>
            <a:ext uri="{FF2B5EF4-FFF2-40B4-BE49-F238E27FC236}">
              <a16:creationId xmlns:a16="http://schemas.microsoft.com/office/drawing/2014/main" id="{00000000-0008-0000-0700-00001C00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a:xfrm>
          <a:off x="6172200" y="15065375"/>
          <a:ext cx="111125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103910</xdr:colOff>
      <xdr:row>82</xdr:row>
      <xdr:rowOff>69272</xdr:rowOff>
    </xdr:from>
    <xdr:to>
      <xdr:col>12</xdr:col>
      <xdr:colOff>599210</xdr:colOff>
      <xdr:row>90</xdr:row>
      <xdr:rowOff>171428</xdr:rowOff>
    </xdr:to>
    <xdr:pic>
      <xdr:nvPicPr>
        <xdr:cNvPr id="29" name="Picture 28">
          <a:extLst>
            <a:ext uri="{FF2B5EF4-FFF2-40B4-BE49-F238E27FC236}">
              <a16:creationId xmlns:a16="http://schemas.microsoft.com/office/drawing/2014/main" id="{00000000-0008-0000-0700-00001D00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a:xfrm>
          <a:off x="6892925" y="15065375"/>
          <a:ext cx="1112520" cy="1564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1011382</xdr:colOff>
      <xdr:row>82</xdr:row>
      <xdr:rowOff>124691</xdr:rowOff>
    </xdr:from>
    <xdr:to>
      <xdr:col>13</xdr:col>
      <xdr:colOff>493222</xdr:colOff>
      <xdr:row>91</xdr:row>
      <xdr:rowOff>11752</xdr:rowOff>
    </xdr:to>
    <xdr:pic>
      <xdr:nvPicPr>
        <xdr:cNvPr id="30" name="Picture 29">
          <a:extLst>
            <a:ext uri="{FF2B5EF4-FFF2-40B4-BE49-F238E27FC236}">
              <a16:creationId xmlns:a16="http://schemas.microsoft.com/office/drawing/2014/main" id="{00000000-0008-0000-0700-00001E00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a:xfrm>
          <a:off x="7406640" y="15120620"/>
          <a:ext cx="1109980" cy="15328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872837</xdr:colOff>
      <xdr:row>82</xdr:row>
      <xdr:rowOff>55418</xdr:rowOff>
    </xdr:from>
    <xdr:to>
      <xdr:col>14</xdr:col>
      <xdr:colOff>491837</xdr:colOff>
      <xdr:row>90</xdr:row>
      <xdr:rowOff>157574</xdr:rowOff>
    </xdr:to>
    <xdr:pic>
      <xdr:nvPicPr>
        <xdr:cNvPr id="31" name="Picture 30">
          <a:extLst>
            <a:ext uri="{FF2B5EF4-FFF2-40B4-BE49-F238E27FC236}">
              <a16:creationId xmlns:a16="http://schemas.microsoft.com/office/drawing/2014/main" id="{00000000-0008-0000-0700-00001F00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a:xfrm>
          <a:off x="8023860" y="15051405"/>
          <a:ext cx="1108710" cy="156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karoserinewarmada.blogspot.com/20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56" zoomScale="99" zoomScaleNormal="99" workbookViewId="0">
      <selection activeCell="Z58" sqref="Z58"/>
    </sheetView>
  </sheetViews>
  <sheetFormatPr defaultColWidth="9.09765625" defaultRowHeight="16.8"/>
  <cols>
    <col min="1" max="1" width="6.69921875" style="211" customWidth="1"/>
    <col min="2" max="2" width="6.69921875" style="212" customWidth="1"/>
    <col min="3" max="3" width="19.8984375" style="212" customWidth="1"/>
    <col min="4" max="4" width="28.3984375" style="212" customWidth="1"/>
    <col min="5" max="6" width="28.3984375" style="209" customWidth="1"/>
    <col min="7" max="8" width="28.3984375" style="213" customWidth="1"/>
    <col min="9" max="10" width="28.3984375" style="209" customWidth="1"/>
    <col min="11" max="11" width="26.8984375" style="213" customWidth="1"/>
    <col min="12" max="12" width="27.3984375" style="213" customWidth="1"/>
    <col min="13" max="13" width="26.8984375" style="213" customWidth="1"/>
    <col min="14" max="15" width="26.8984375" style="209" customWidth="1"/>
    <col min="16" max="16" width="26.8984375" style="213" customWidth="1"/>
    <col min="17" max="20" width="26.8984375" style="209" customWidth="1"/>
    <col min="21" max="22" width="26.8984375" style="213" customWidth="1"/>
    <col min="23" max="25" width="26.8984375" style="209" customWidth="1"/>
    <col min="26" max="29" width="26.8984375" style="213" customWidth="1"/>
    <col min="30" max="38" width="9.09765625" style="212"/>
    <col min="39" max="39" width="9.09765625" style="212" customWidth="1"/>
    <col min="40" max="16384" width="9.09765625" style="212"/>
  </cols>
  <sheetData>
    <row r="1" spans="1:29" ht="20.399999999999999">
      <c r="A1" s="357" t="s">
        <v>0</v>
      </c>
      <c r="B1" s="356"/>
      <c r="C1" s="356"/>
      <c r="D1" s="356"/>
      <c r="E1" s="356"/>
      <c r="F1" s="356"/>
    </row>
    <row r="2" spans="1:29">
      <c r="A2" s="350">
        <v>1</v>
      </c>
      <c r="B2" s="351" t="s">
        <v>1</v>
      </c>
      <c r="C2" s="352"/>
      <c r="D2" s="355" t="s">
        <v>2</v>
      </c>
      <c r="E2" s="355"/>
      <c r="F2" s="214"/>
    </row>
    <row r="3" spans="1:29" ht="33.6">
      <c r="A3" s="350"/>
      <c r="B3" s="352"/>
      <c r="C3" s="352"/>
      <c r="D3" s="216" t="s">
        <v>3</v>
      </c>
      <c r="E3" s="216" t="s">
        <v>4</v>
      </c>
      <c r="F3" s="214"/>
    </row>
    <row r="4" spans="1:29" ht="20.399999999999999">
      <c r="A4" s="215"/>
      <c r="B4" s="209"/>
      <c r="C4" s="209">
        <v>1</v>
      </c>
      <c r="D4" s="218">
        <v>1.2E-2</v>
      </c>
      <c r="E4" s="218">
        <v>0.3</v>
      </c>
    </row>
    <row r="5" spans="1:29" ht="20.399999999999999">
      <c r="A5" s="215"/>
      <c r="B5" s="209"/>
      <c r="C5" s="209">
        <v>2</v>
      </c>
      <c r="D5" s="218">
        <v>1.4E-2</v>
      </c>
      <c r="E5" s="218">
        <v>0.5</v>
      </c>
    </row>
    <row r="6" spans="1:29" ht="20.399999999999999">
      <c r="A6" s="215"/>
      <c r="B6" s="209"/>
      <c r="C6" s="209">
        <v>3</v>
      </c>
      <c r="D6" s="218">
        <v>1.6E-2</v>
      </c>
      <c r="E6" s="218">
        <v>0.7</v>
      </c>
    </row>
    <row r="7" spans="1:29" ht="20.399999999999999">
      <c r="A7" s="215"/>
      <c r="B7" s="219"/>
      <c r="C7" s="209">
        <v>4</v>
      </c>
      <c r="D7" s="218">
        <v>1.7999999999999999E-2</v>
      </c>
      <c r="E7" s="218">
        <v>0.9</v>
      </c>
    </row>
    <row r="8" spans="1:29" ht="20.399999999999999">
      <c r="A8" s="215"/>
      <c r="B8" s="219"/>
      <c r="C8" s="209"/>
      <c r="D8" s="209"/>
    </row>
    <row r="9" spans="1:29">
      <c r="A9" s="217">
        <v>2</v>
      </c>
      <c r="B9" s="212" t="s">
        <v>5</v>
      </c>
      <c r="K9" s="224"/>
      <c r="L9" s="224"/>
      <c r="M9" s="224"/>
      <c r="N9" s="225"/>
    </row>
    <row r="10" spans="1:29">
      <c r="B10" s="209">
        <v>1</v>
      </c>
      <c r="C10" s="349" t="s">
        <v>6</v>
      </c>
      <c r="D10" s="349"/>
      <c r="E10" s="209">
        <v>5</v>
      </c>
      <c r="F10" s="220" t="s">
        <v>7</v>
      </c>
      <c r="K10" s="226"/>
      <c r="L10" s="226"/>
      <c r="M10" s="226"/>
    </row>
    <row r="11" spans="1:29">
      <c r="B11" s="209">
        <v>2</v>
      </c>
      <c r="C11" s="354" t="s">
        <v>8</v>
      </c>
      <c r="D11" s="354"/>
      <c r="F11" s="220" t="s">
        <v>9</v>
      </c>
      <c r="K11" s="226"/>
      <c r="L11" s="226"/>
      <c r="M11" s="226"/>
    </row>
    <row r="12" spans="1:29">
      <c r="B12" s="209">
        <v>3</v>
      </c>
      <c r="C12" s="349" t="s">
        <v>10</v>
      </c>
      <c r="D12" s="349"/>
      <c r="F12" s="220" t="s">
        <v>11</v>
      </c>
      <c r="K12" s="226"/>
      <c r="L12" s="226"/>
      <c r="M12" s="226"/>
    </row>
    <row r="13" spans="1:29" s="209" customFormat="1">
      <c r="A13" s="217"/>
      <c r="B13" s="209">
        <v>4</v>
      </c>
      <c r="C13" s="349" t="s">
        <v>12</v>
      </c>
      <c r="D13" s="349"/>
      <c r="E13" s="354" t="s">
        <v>13</v>
      </c>
      <c r="F13" s="354"/>
      <c r="G13" s="213"/>
      <c r="H13" s="213"/>
      <c r="K13" s="213"/>
      <c r="L13" s="213"/>
      <c r="M13" s="213"/>
      <c r="P13" s="213"/>
      <c r="U13" s="213"/>
      <c r="V13" s="213"/>
      <c r="Z13" s="213"/>
      <c r="AA13" s="213"/>
      <c r="AB13" s="213"/>
      <c r="AC13" s="213"/>
    </row>
    <row r="15" spans="1:29">
      <c r="A15" s="355" t="s">
        <v>14</v>
      </c>
      <c r="B15" s="356"/>
      <c r="C15" s="356"/>
      <c r="D15" s="356"/>
      <c r="E15" s="356"/>
      <c r="F15" s="356"/>
    </row>
    <row r="16" spans="1:29">
      <c r="A16" s="217"/>
      <c r="B16" s="349" t="s">
        <v>15</v>
      </c>
      <c r="C16" s="349"/>
      <c r="D16" s="349"/>
      <c r="E16" s="349"/>
      <c r="F16" s="349"/>
    </row>
    <row r="17" spans="1:38">
      <c r="A17" s="217"/>
      <c r="B17" s="349" t="s">
        <v>16</v>
      </c>
      <c r="C17" s="349"/>
      <c r="D17" s="349"/>
      <c r="E17" s="349"/>
      <c r="F17" s="349"/>
    </row>
    <row r="18" spans="1:38">
      <c r="A18" s="217"/>
      <c r="B18" s="214"/>
      <c r="C18" s="349" t="s">
        <v>17</v>
      </c>
      <c r="D18" s="349"/>
      <c r="E18" s="349"/>
      <c r="F18" s="349"/>
    </row>
    <row r="19" spans="1:38">
      <c r="A19" s="217"/>
      <c r="B19" s="214"/>
      <c r="C19" s="349" t="s">
        <v>18</v>
      </c>
      <c r="D19" s="349"/>
      <c r="E19" s="349"/>
      <c r="F19" s="349"/>
    </row>
    <row r="20" spans="1:38">
      <c r="A20" s="217"/>
      <c r="B20" s="214"/>
      <c r="C20" s="349" t="s">
        <v>19</v>
      </c>
      <c r="D20" s="349"/>
      <c r="E20" s="349"/>
      <c r="F20" s="349"/>
    </row>
    <row r="21" spans="1:38">
      <c r="A21" s="217"/>
      <c r="B21" s="214"/>
      <c r="C21" s="349" t="s">
        <v>20</v>
      </c>
      <c r="D21" s="349"/>
      <c r="E21" s="349"/>
      <c r="F21" s="349"/>
    </row>
    <row r="22" spans="1:38">
      <c r="A22" s="217"/>
      <c r="B22" s="349" t="s">
        <v>21</v>
      </c>
      <c r="C22" s="349"/>
      <c r="D22" s="349"/>
      <c r="E22" s="349"/>
      <c r="F22" s="349"/>
    </row>
    <row r="23" spans="1:38">
      <c r="A23" s="217"/>
      <c r="B23" s="349" t="s">
        <v>22</v>
      </c>
      <c r="C23" s="349"/>
      <c r="D23" s="349"/>
      <c r="E23" s="349"/>
      <c r="F23" s="349"/>
    </row>
    <row r="24" spans="1:38">
      <c r="A24" s="217"/>
      <c r="B24" s="349" t="s">
        <v>23</v>
      </c>
      <c r="C24" s="349"/>
      <c r="D24" s="349"/>
      <c r="E24" s="349"/>
      <c r="F24" s="349"/>
    </row>
    <row r="25" spans="1:38">
      <c r="A25" s="217"/>
      <c r="B25" s="349" t="s">
        <v>24</v>
      </c>
      <c r="C25" s="349"/>
      <c r="D25" s="349"/>
      <c r="E25" s="349"/>
      <c r="F25" s="349"/>
    </row>
    <row r="26" spans="1:38">
      <c r="A26" s="217"/>
      <c r="B26" s="349" t="s">
        <v>25</v>
      </c>
      <c r="C26" s="349"/>
      <c r="D26" s="349"/>
      <c r="E26" s="349"/>
      <c r="F26" s="349"/>
    </row>
    <row r="27" spans="1:38" ht="51" customHeight="1">
      <c r="A27" s="217"/>
      <c r="B27" s="214"/>
      <c r="C27" s="353" t="s">
        <v>26</v>
      </c>
      <c r="D27" s="354"/>
      <c r="E27" s="354"/>
      <c r="F27" s="354"/>
    </row>
    <row r="28" spans="1:38">
      <c r="A28" s="217"/>
      <c r="B28" s="349" t="s">
        <v>27</v>
      </c>
      <c r="C28" s="349"/>
      <c r="D28" s="349"/>
      <c r="E28" s="349"/>
      <c r="F28" s="349"/>
    </row>
    <row r="29" spans="1:38">
      <c r="A29" s="217"/>
      <c r="B29" s="214"/>
      <c r="C29" s="220"/>
      <c r="D29" s="220"/>
      <c r="E29" s="220"/>
      <c r="F29" s="220"/>
    </row>
    <row r="31" spans="1:38">
      <c r="A31" s="352" t="s">
        <v>28</v>
      </c>
      <c r="B31" s="352"/>
      <c r="C31" s="352"/>
      <c r="D31" s="352"/>
      <c r="E31" s="352"/>
      <c r="F31" s="352"/>
    </row>
    <row r="32" spans="1:38">
      <c r="A32" s="211" t="s">
        <v>29</v>
      </c>
      <c r="B32" s="212" t="s">
        <v>30</v>
      </c>
      <c r="C32" s="349" t="s">
        <v>31</v>
      </c>
      <c r="D32" s="349"/>
      <c r="E32" s="349"/>
      <c r="F32" s="349"/>
      <c r="G32" s="221"/>
      <c r="H32" s="221"/>
      <c r="I32" s="219"/>
      <c r="J32" s="219"/>
      <c r="K32" s="221"/>
      <c r="L32" s="221"/>
      <c r="M32" s="221"/>
      <c r="N32" s="219"/>
      <c r="O32" s="219"/>
      <c r="P32" s="221"/>
      <c r="Q32" s="219"/>
      <c r="R32" s="219"/>
      <c r="S32" s="219"/>
      <c r="T32" s="219"/>
      <c r="U32" s="221"/>
      <c r="V32" s="221"/>
      <c r="W32" s="219"/>
      <c r="X32" s="219"/>
      <c r="Y32" s="219"/>
      <c r="Z32" s="221"/>
      <c r="AD32" s="219"/>
      <c r="AE32" s="219"/>
      <c r="AF32" s="219"/>
      <c r="AG32" s="219"/>
      <c r="AH32" s="219"/>
      <c r="AI32" s="219"/>
      <c r="AJ32" s="219"/>
      <c r="AK32" s="219"/>
      <c r="AL32" s="219"/>
    </row>
    <row r="33" spans="1:38">
      <c r="A33" s="211" t="s">
        <v>29</v>
      </c>
      <c r="B33" s="212" t="s">
        <v>32</v>
      </c>
      <c r="C33" s="349" t="s">
        <v>33</v>
      </c>
      <c r="D33" s="349"/>
      <c r="E33" s="349"/>
      <c r="F33" s="349"/>
      <c r="G33" s="221"/>
      <c r="H33" s="221"/>
      <c r="I33" s="219"/>
      <c r="J33" s="219"/>
      <c r="K33" s="221"/>
      <c r="L33" s="221"/>
      <c r="M33" s="221"/>
      <c r="N33" s="219"/>
      <c r="O33" s="219"/>
      <c r="P33" s="221"/>
      <c r="Q33" s="219"/>
      <c r="R33" s="219"/>
      <c r="S33" s="219"/>
      <c r="T33" s="219"/>
      <c r="U33" s="221"/>
      <c r="V33" s="221"/>
      <c r="W33" s="219"/>
      <c r="X33" s="219"/>
      <c r="Y33" s="219"/>
      <c r="Z33" s="221"/>
      <c r="AD33" s="219"/>
      <c r="AE33" s="219"/>
      <c r="AF33" s="219"/>
      <c r="AG33" s="219"/>
      <c r="AH33" s="219"/>
      <c r="AI33" s="219"/>
      <c r="AJ33" s="219"/>
      <c r="AK33" s="219"/>
      <c r="AL33" s="219"/>
    </row>
    <row r="34" spans="1:38">
      <c r="A34" s="211" t="s">
        <v>29</v>
      </c>
      <c r="B34" s="212" t="s">
        <v>34</v>
      </c>
      <c r="C34" s="349" t="s">
        <v>35</v>
      </c>
      <c r="D34" s="349"/>
      <c r="E34" s="349"/>
      <c r="F34" s="349"/>
      <c r="G34" s="210"/>
      <c r="H34" s="210"/>
      <c r="I34" s="212"/>
      <c r="J34" s="212"/>
      <c r="K34" s="210"/>
      <c r="L34" s="210"/>
      <c r="M34" s="210"/>
      <c r="N34" s="212"/>
      <c r="O34" s="212"/>
      <c r="P34" s="210"/>
      <c r="Q34" s="212"/>
      <c r="R34" s="212"/>
      <c r="S34" s="212"/>
      <c r="T34" s="212"/>
      <c r="U34" s="210"/>
      <c r="V34" s="210"/>
      <c r="W34" s="212"/>
      <c r="X34" s="212"/>
      <c r="Y34" s="212"/>
      <c r="Z34" s="210"/>
      <c r="AA34" s="210"/>
      <c r="AB34" s="210"/>
    </row>
    <row r="35" spans="1:38">
      <c r="A35" s="211" t="s">
        <v>29</v>
      </c>
      <c r="B35" s="212" t="s">
        <v>36</v>
      </c>
      <c r="C35" s="349" t="s">
        <v>37</v>
      </c>
      <c r="D35" s="349"/>
      <c r="E35" s="349"/>
      <c r="F35" s="349"/>
      <c r="G35" s="221"/>
      <c r="H35" s="221"/>
      <c r="I35" s="219"/>
      <c r="J35" s="219"/>
      <c r="K35" s="221"/>
      <c r="L35" s="221"/>
      <c r="M35" s="221"/>
      <c r="N35" s="219"/>
      <c r="O35" s="219"/>
      <c r="P35" s="221"/>
      <c r="Q35" s="219"/>
      <c r="R35" s="219"/>
      <c r="S35" s="219"/>
      <c r="T35" s="219"/>
      <c r="U35" s="221"/>
      <c r="V35" s="221"/>
      <c r="W35" s="219"/>
      <c r="X35" s="219"/>
      <c r="Y35" s="219"/>
      <c r="Z35" s="221"/>
      <c r="AA35" s="221"/>
      <c r="AB35" s="221"/>
    </row>
    <row r="36" spans="1:38">
      <c r="A36" s="211" t="s">
        <v>29</v>
      </c>
      <c r="B36" s="212" t="s">
        <v>38</v>
      </c>
      <c r="C36" s="349" t="s">
        <v>39</v>
      </c>
      <c r="D36" s="349"/>
      <c r="E36" s="349"/>
      <c r="F36" s="349"/>
      <c r="G36" s="221"/>
      <c r="H36" s="221"/>
      <c r="I36" s="219"/>
      <c r="J36" s="219"/>
      <c r="K36" s="221"/>
      <c r="L36" s="221"/>
      <c r="M36" s="221"/>
      <c r="N36" s="219"/>
      <c r="O36" s="219"/>
      <c r="P36" s="221"/>
      <c r="Q36" s="219"/>
      <c r="R36" s="219"/>
      <c r="S36" s="219"/>
      <c r="T36" s="219"/>
      <c r="U36" s="221"/>
      <c r="V36" s="221"/>
      <c r="W36" s="219"/>
      <c r="X36" s="219"/>
      <c r="Y36" s="219"/>
      <c r="Z36" s="221"/>
      <c r="AA36" s="221"/>
      <c r="AB36" s="221"/>
    </row>
    <row r="37" spans="1:38">
      <c r="A37" s="211" t="s">
        <v>29</v>
      </c>
      <c r="C37" s="220"/>
      <c r="D37" s="220" t="s">
        <v>40</v>
      </c>
      <c r="E37" s="220"/>
      <c r="F37" s="220"/>
      <c r="G37" s="221"/>
      <c r="H37" s="221"/>
      <c r="I37" s="219"/>
      <c r="J37" s="219"/>
      <c r="K37" s="221"/>
      <c r="L37" s="221"/>
      <c r="M37" s="221"/>
      <c r="N37" s="219"/>
      <c r="O37" s="219"/>
      <c r="P37" s="221"/>
      <c r="Q37" s="219"/>
      <c r="R37" s="219"/>
      <c r="S37" s="219"/>
      <c r="T37" s="219"/>
      <c r="U37" s="221"/>
      <c r="V37" s="221"/>
      <c r="W37" s="219"/>
      <c r="X37" s="219"/>
      <c r="Y37" s="219"/>
      <c r="Z37" s="221"/>
      <c r="AA37" s="221"/>
      <c r="AB37" s="221"/>
    </row>
    <row r="38" spans="1:38">
      <c r="A38" s="211" t="s">
        <v>29</v>
      </c>
      <c r="C38" s="220"/>
      <c r="D38" s="349" t="s">
        <v>41</v>
      </c>
      <c r="E38" s="349"/>
      <c r="F38" s="349"/>
      <c r="G38" s="221"/>
      <c r="H38" s="221"/>
      <c r="I38" s="219"/>
      <c r="J38" s="219"/>
      <c r="K38" s="221"/>
      <c r="L38" s="221"/>
      <c r="M38" s="221"/>
      <c r="N38" s="219"/>
      <c r="O38" s="219"/>
      <c r="P38" s="221"/>
      <c r="Q38" s="219"/>
      <c r="R38" s="219"/>
      <c r="S38" s="219"/>
      <c r="T38" s="219"/>
      <c r="U38" s="221"/>
      <c r="V38" s="221"/>
      <c r="W38" s="219"/>
      <c r="X38" s="219"/>
      <c r="Y38" s="219"/>
      <c r="Z38" s="221"/>
      <c r="AA38" s="221"/>
      <c r="AB38" s="221"/>
    </row>
    <row r="39" spans="1:38">
      <c r="A39" s="211" t="s">
        <v>29</v>
      </c>
      <c r="C39" s="220"/>
      <c r="D39" s="349" t="s">
        <v>42</v>
      </c>
      <c r="E39" s="349"/>
      <c r="F39" s="349"/>
      <c r="G39" s="221"/>
      <c r="H39" s="221"/>
      <c r="I39" s="219"/>
      <c r="J39" s="219"/>
      <c r="K39" s="221"/>
      <c r="L39" s="221"/>
      <c r="M39" s="221"/>
      <c r="N39" s="219"/>
      <c r="O39" s="219"/>
      <c r="P39" s="221"/>
      <c r="Q39" s="219"/>
      <c r="R39" s="219"/>
      <c r="S39" s="219"/>
      <c r="T39" s="219"/>
      <c r="U39" s="221"/>
      <c r="V39" s="221"/>
      <c r="W39" s="219"/>
      <c r="X39" s="219"/>
      <c r="Y39" s="219"/>
      <c r="Z39" s="221"/>
      <c r="AA39" s="221"/>
      <c r="AB39" s="221"/>
    </row>
    <row r="40" spans="1:38">
      <c r="A40" s="211" t="s">
        <v>29</v>
      </c>
      <c r="B40" s="212" t="s">
        <v>43</v>
      </c>
      <c r="C40" s="349" t="s">
        <v>44</v>
      </c>
      <c r="D40" s="349"/>
      <c r="E40" s="349"/>
      <c r="F40" s="349"/>
      <c r="G40" s="221"/>
      <c r="H40" s="221"/>
      <c r="I40" s="219"/>
      <c r="J40" s="219"/>
      <c r="K40" s="221"/>
      <c r="L40" s="221"/>
      <c r="M40" s="221"/>
      <c r="N40" s="219"/>
      <c r="O40" s="219"/>
      <c r="P40" s="221"/>
      <c r="Q40" s="219"/>
      <c r="R40" s="219"/>
      <c r="S40" s="219"/>
      <c r="T40" s="219"/>
      <c r="U40" s="221"/>
      <c r="V40" s="221"/>
      <c r="W40" s="219"/>
      <c r="X40" s="219"/>
      <c r="Y40" s="219"/>
      <c r="Z40" s="221"/>
      <c r="AA40" s="221"/>
      <c r="AB40" s="221"/>
    </row>
    <row r="41" spans="1:38">
      <c r="A41" s="211" t="s">
        <v>29</v>
      </c>
      <c r="C41" s="220"/>
      <c r="D41" s="220" t="s">
        <v>40</v>
      </c>
      <c r="E41" s="220"/>
      <c r="F41" s="220"/>
      <c r="G41" s="221"/>
      <c r="H41" s="221"/>
      <c r="I41" s="219"/>
      <c r="J41" s="219"/>
      <c r="K41" s="221"/>
      <c r="L41" s="221"/>
      <c r="M41" s="221"/>
      <c r="N41" s="219"/>
      <c r="O41" s="219"/>
      <c r="P41" s="221"/>
      <c r="Q41" s="219"/>
      <c r="R41" s="219"/>
      <c r="S41" s="219"/>
      <c r="T41" s="219"/>
      <c r="U41" s="221"/>
      <c r="V41" s="221"/>
      <c r="W41" s="219"/>
      <c r="X41" s="219"/>
      <c r="Y41" s="219"/>
      <c r="Z41" s="221"/>
      <c r="AA41" s="221"/>
      <c r="AB41" s="221"/>
    </row>
    <row r="42" spans="1:38">
      <c r="A42" s="211" t="s">
        <v>29</v>
      </c>
      <c r="C42" s="220"/>
      <c r="D42" s="349" t="s">
        <v>45</v>
      </c>
      <c r="E42" s="349"/>
      <c r="F42" s="349"/>
      <c r="G42" s="221"/>
      <c r="H42" s="221"/>
      <c r="I42" s="219"/>
      <c r="J42" s="219"/>
      <c r="K42" s="221"/>
      <c r="L42" s="221"/>
      <c r="M42" s="221"/>
      <c r="N42" s="219"/>
      <c r="O42" s="219"/>
      <c r="P42" s="221"/>
      <c r="Q42" s="219"/>
      <c r="R42" s="219"/>
      <c r="S42" s="219"/>
      <c r="T42" s="219"/>
      <c r="U42" s="221"/>
      <c r="V42" s="221"/>
      <c r="W42" s="219"/>
      <c r="X42" s="219"/>
      <c r="Y42" s="219"/>
      <c r="Z42" s="221"/>
      <c r="AA42" s="221"/>
      <c r="AB42" s="221"/>
    </row>
    <row r="43" spans="1:38">
      <c r="A43" s="211" t="s">
        <v>29</v>
      </c>
      <c r="C43" s="220"/>
      <c r="D43" s="349" t="s">
        <v>46</v>
      </c>
      <c r="E43" s="349"/>
      <c r="F43" s="349"/>
      <c r="G43" s="221"/>
      <c r="H43" s="221"/>
      <c r="I43" s="219"/>
      <c r="J43" s="219"/>
      <c r="K43" s="221"/>
      <c r="L43" s="221"/>
      <c r="M43" s="221"/>
      <c r="N43" s="219"/>
      <c r="O43" s="219"/>
      <c r="P43" s="221"/>
      <c r="Q43" s="219"/>
      <c r="R43" s="219"/>
      <c r="S43" s="219"/>
      <c r="T43" s="219"/>
      <c r="U43" s="221"/>
      <c r="V43" s="221"/>
      <c r="W43" s="219"/>
      <c r="X43" s="219"/>
      <c r="Y43" s="219"/>
      <c r="Z43" s="221"/>
      <c r="AA43" s="221"/>
      <c r="AB43" s="221"/>
    </row>
    <row r="44" spans="1:38">
      <c r="A44" s="211" t="s">
        <v>29</v>
      </c>
      <c r="B44" s="212" t="s">
        <v>47</v>
      </c>
      <c r="C44" s="349" t="s">
        <v>48</v>
      </c>
      <c r="D44" s="349"/>
      <c r="E44" s="349"/>
      <c r="F44" s="349"/>
      <c r="G44" s="221"/>
      <c r="H44" s="221"/>
      <c r="I44" s="219"/>
      <c r="J44" s="219"/>
      <c r="K44" s="221"/>
      <c r="L44" s="221"/>
      <c r="M44" s="221"/>
      <c r="N44" s="219"/>
      <c r="O44" s="219"/>
      <c r="P44" s="221"/>
      <c r="Q44" s="219"/>
      <c r="R44" s="219"/>
      <c r="S44" s="219"/>
      <c r="T44" s="219"/>
      <c r="U44" s="221"/>
      <c r="V44" s="221"/>
      <c r="W44" s="219"/>
      <c r="X44" s="219"/>
      <c r="Y44" s="219"/>
      <c r="Z44" s="221"/>
      <c r="AA44" s="221"/>
      <c r="AB44" s="221"/>
    </row>
    <row r="45" spans="1:38">
      <c r="A45" s="211" t="s">
        <v>29</v>
      </c>
      <c r="B45" s="212" t="s">
        <v>49</v>
      </c>
      <c r="C45" s="349" t="s">
        <v>50</v>
      </c>
      <c r="D45" s="349"/>
      <c r="E45" s="349"/>
      <c r="F45" s="349"/>
      <c r="G45" s="221"/>
      <c r="H45" s="221"/>
      <c r="I45" s="219"/>
      <c r="J45" s="219"/>
      <c r="K45" s="221"/>
      <c r="L45" s="221"/>
      <c r="M45" s="221"/>
      <c r="N45" s="219"/>
      <c r="O45" s="219"/>
      <c r="P45" s="221"/>
      <c r="Q45" s="219"/>
      <c r="R45" s="219"/>
      <c r="S45" s="219"/>
      <c r="T45" s="219"/>
      <c r="U45" s="221"/>
      <c r="V45" s="221"/>
      <c r="W45" s="219"/>
      <c r="X45" s="219"/>
      <c r="Y45" s="219"/>
      <c r="Z45" s="221"/>
      <c r="AA45" s="221"/>
      <c r="AB45" s="221"/>
    </row>
    <row r="46" spans="1:38">
      <c r="A46" s="211" t="s">
        <v>29</v>
      </c>
      <c r="B46" s="212" t="s">
        <v>51</v>
      </c>
      <c r="C46" s="349" t="s">
        <v>52</v>
      </c>
      <c r="D46" s="349"/>
      <c r="E46" s="349"/>
      <c r="F46" s="349"/>
      <c r="G46" s="221"/>
      <c r="H46" s="221"/>
      <c r="I46" s="219"/>
      <c r="J46" s="219"/>
      <c r="K46" s="221"/>
      <c r="L46" s="221"/>
      <c r="M46" s="221"/>
      <c r="N46" s="219"/>
      <c r="O46" s="219"/>
      <c r="P46" s="221"/>
      <c r="Q46" s="219"/>
      <c r="R46" s="219"/>
      <c r="S46" s="219"/>
      <c r="T46" s="219"/>
      <c r="U46" s="221"/>
      <c r="V46" s="221"/>
      <c r="W46" s="219"/>
      <c r="X46" s="219"/>
      <c r="Y46" s="219"/>
      <c r="Z46" s="221"/>
      <c r="AA46" s="221"/>
      <c r="AB46" s="221"/>
    </row>
    <row r="47" spans="1:38">
      <c r="A47" s="211" t="s">
        <v>29</v>
      </c>
      <c r="B47" s="212" t="s">
        <v>53</v>
      </c>
      <c r="C47" s="349" t="s">
        <v>54</v>
      </c>
      <c r="D47" s="349"/>
      <c r="E47" s="349"/>
      <c r="F47" s="349"/>
      <c r="G47" s="221"/>
      <c r="H47" s="221"/>
      <c r="I47" s="219"/>
      <c r="J47" s="219"/>
      <c r="K47" s="221"/>
      <c r="L47" s="221"/>
      <c r="M47" s="221"/>
      <c r="N47" s="219"/>
      <c r="O47" s="219"/>
      <c r="P47" s="221"/>
      <c r="Q47" s="219"/>
      <c r="R47" s="219"/>
      <c r="S47" s="219"/>
      <c r="T47" s="219"/>
      <c r="U47" s="221"/>
      <c r="V47" s="221"/>
      <c r="W47" s="219"/>
      <c r="X47" s="219"/>
      <c r="Y47" s="219"/>
      <c r="Z47" s="221"/>
      <c r="AA47" s="221"/>
      <c r="AB47" s="221"/>
    </row>
    <row r="48" spans="1:38">
      <c r="A48" s="211" t="s">
        <v>29</v>
      </c>
      <c r="B48" s="212" t="s">
        <v>55</v>
      </c>
      <c r="C48" s="349" t="s">
        <v>56</v>
      </c>
      <c r="D48" s="349"/>
      <c r="E48" s="349"/>
      <c r="F48" s="349"/>
      <c r="G48" s="221"/>
      <c r="H48" s="221"/>
      <c r="I48" s="219"/>
      <c r="J48" s="219"/>
      <c r="K48" s="221"/>
      <c r="L48" s="221"/>
      <c r="M48" s="221"/>
      <c r="N48" s="219"/>
      <c r="O48" s="219"/>
      <c r="P48" s="221"/>
      <c r="Q48" s="219"/>
      <c r="R48" s="219"/>
      <c r="S48" s="219"/>
      <c r="T48" s="219"/>
      <c r="U48" s="221"/>
      <c r="V48" s="221"/>
      <c r="W48" s="219"/>
      <c r="X48" s="219"/>
      <c r="Y48" s="219"/>
      <c r="Z48" s="221"/>
      <c r="AA48" s="221"/>
      <c r="AB48" s="221"/>
    </row>
    <row r="49" spans="1:29">
      <c r="A49" s="211" t="s">
        <v>29</v>
      </c>
      <c r="B49" s="212" t="s">
        <v>57</v>
      </c>
      <c r="C49" s="349" t="s">
        <v>58</v>
      </c>
      <c r="D49" s="349"/>
      <c r="E49" s="349"/>
      <c r="F49" s="349"/>
      <c r="G49" s="221"/>
      <c r="H49" s="221"/>
      <c r="I49" s="219"/>
      <c r="J49" s="219"/>
      <c r="K49" s="221"/>
      <c r="L49" s="221"/>
      <c r="M49" s="221"/>
      <c r="N49" s="219"/>
      <c r="O49" s="219"/>
      <c r="P49" s="221"/>
      <c r="Q49" s="219"/>
      <c r="R49" s="219"/>
      <c r="S49" s="219"/>
      <c r="T49" s="219"/>
      <c r="U49" s="221"/>
      <c r="V49" s="221"/>
      <c r="W49" s="219"/>
      <c r="X49" s="219"/>
      <c r="Y49" s="219"/>
      <c r="Z49" s="221"/>
      <c r="AA49" s="221"/>
      <c r="AB49" s="221"/>
    </row>
    <row r="50" spans="1:29">
      <c r="A50" s="211" t="s">
        <v>29</v>
      </c>
      <c r="B50" s="212" t="s">
        <v>59</v>
      </c>
      <c r="C50" s="349" t="s">
        <v>60</v>
      </c>
      <c r="D50" s="349"/>
      <c r="E50" s="349"/>
      <c r="F50" s="349"/>
      <c r="G50" s="221"/>
      <c r="H50" s="221"/>
      <c r="I50" s="219"/>
      <c r="J50" s="219"/>
      <c r="K50" s="221"/>
      <c r="L50" s="221"/>
      <c r="M50" s="221"/>
      <c r="N50" s="219"/>
      <c r="O50" s="219"/>
      <c r="P50" s="221"/>
      <c r="Q50" s="219"/>
      <c r="R50" s="219"/>
      <c r="S50" s="219"/>
      <c r="T50" s="219"/>
      <c r="U50" s="221"/>
      <c r="V50" s="221"/>
      <c r="W50" s="219"/>
      <c r="X50" s="219"/>
      <c r="Y50" s="219"/>
      <c r="Z50" s="221"/>
      <c r="AA50" s="221"/>
      <c r="AB50" s="221"/>
    </row>
    <row r="51" spans="1:29">
      <c r="A51" s="211" t="s">
        <v>29</v>
      </c>
      <c r="B51" s="212" t="s">
        <v>61</v>
      </c>
      <c r="C51" s="349" t="s">
        <v>62</v>
      </c>
      <c r="D51" s="349"/>
      <c r="E51" s="349"/>
      <c r="F51" s="349"/>
      <c r="G51" s="221"/>
      <c r="H51" s="221"/>
      <c r="I51" s="219"/>
      <c r="J51" s="219"/>
      <c r="K51" s="221"/>
      <c r="L51" s="221"/>
      <c r="M51" s="221"/>
      <c r="N51" s="219"/>
      <c r="O51" s="219"/>
      <c r="P51" s="221"/>
      <c r="Q51" s="219"/>
      <c r="R51" s="219"/>
      <c r="S51" s="219"/>
      <c r="T51" s="219"/>
      <c r="U51" s="221"/>
      <c r="V51" s="221"/>
      <c r="W51" s="219"/>
      <c r="X51" s="219"/>
      <c r="Y51" s="219"/>
      <c r="Z51" s="221"/>
      <c r="AA51" s="221"/>
      <c r="AB51" s="221"/>
    </row>
    <row r="52" spans="1:29">
      <c r="A52" s="211" t="s">
        <v>29</v>
      </c>
      <c r="B52" s="212" t="s">
        <v>63</v>
      </c>
      <c r="C52" s="349" t="s">
        <v>64</v>
      </c>
      <c r="D52" s="349"/>
      <c r="E52" s="349"/>
      <c r="F52" s="349"/>
      <c r="G52" s="221"/>
      <c r="H52" s="221"/>
      <c r="I52" s="219"/>
      <c r="J52" s="219"/>
      <c r="K52" s="221"/>
      <c r="L52" s="221"/>
      <c r="M52" s="221"/>
      <c r="N52" s="219"/>
      <c r="O52" s="219"/>
      <c r="P52" s="221"/>
      <c r="Q52" s="219"/>
      <c r="R52" s="219"/>
      <c r="S52" s="219"/>
      <c r="T52" s="219"/>
      <c r="U52" s="221"/>
      <c r="V52" s="221"/>
      <c r="W52" s="219"/>
      <c r="X52" s="219"/>
      <c r="Y52" s="219"/>
      <c r="Z52" s="221"/>
      <c r="AA52" s="221"/>
      <c r="AB52" s="221"/>
    </row>
    <row r="53" spans="1:29">
      <c r="A53" s="211" t="s">
        <v>29</v>
      </c>
      <c r="B53" s="212" t="s">
        <v>65</v>
      </c>
      <c r="C53" s="349" t="s">
        <v>66</v>
      </c>
      <c r="D53" s="349"/>
      <c r="E53" s="349"/>
      <c r="F53" s="349"/>
      <c r="G53" s="221"/>
      <c r="H53" s="221"/>
      <c r="I53" s="219"/>
      <c r="J53" s="219"/>
      <c r="K53" s="221"/>
      <c r="L53" s="221"/>
      <c r="M53" s="227"/>
      <c r="N53" s="219"/>
      <c r="O53" s="219"/>
      <c r="P53" s="221"/>
      <c r="Q53" s="219"/>
      <c r="R53" s="219"/>
      <c r="S53" s="219"/>
      <c r="T53" s="219"/>
      <c r="U53" s="221"/>
      <c r="V53" s="221"/>
      <c r="W53" s="219"/>
      <c r="X53" s="219"/>
      <c r="Y53" s="219"/>
      <c r="Z53" s="221"/>
      <c r="AA53" s="221"/>
      <c r="AB53" s="221"/>
    </row>
    <row r="54" spans="1:29">
      <c r="A54" s="211" t="s">
        <v>29</v>
      </c>
      <c r="B54" s="212" t="s">
        <v>67</v>
      </c>
      <c r="C54" s="349" t="s">
        <v>68</v>
      </c>
      <c r="D54" s="349"/>
      <c r="E54" s="349"/>
      <c r="F54" s="349"/>
      <c r="G54" s="221"/>
      <c r="H54" s="221"/>
      <c r="I54" s="219"/>
      <c r="J54" s="219"/>
      <c r="K54" s="221"/>
      <c r="L54" s="221"/>
      <c r="M54" s="221"/>
      <c r="N54" s="219"/>
      <c r="O54" s="219"/>
      <c r="P54" s="221"/>
      <c r="Q54" s="219"/>
      <c r="R54" s="219"/>
      <c r="S54" s="219"/>
      <c r="T54" s="219"/>
      <c r="U54" s="221"/>
      <c r="V54" s="221"/>
      <c r="W54" s="219"/>
      <c r="X54" s="219"/>
      <c r="Y54" s="219"/>
      <c r="Z54" s="221"/>
      <c r="AA54" s="221"/>
      <c r="AB54" s="221"/>
    </row>
    <row r="55" spans="1:29">
      <c r="A55" s="211" t="s">
        <v>29</v>
      </c>
      <c r="B55" s="212" t="s">
        <v>69</v>
      </c>
      <c r="C55" s="349" t="s">
        <v>70</v>
      </c>
      <c r="D55" s="349"/>
      <c r="E55" s="349"/>
      <c r="F55" s="349"/>
      <c r="G55" s="221"/>
      <c r="H55" s="221"/>
      <c r="I55" s="219"/>
      <c r="J55" s="219"/>
      <c r="K55" s="221"/>
      <c r="L55" s="221"/>
      <c r="M55" s="221"/>
      <c r="N55" s="219"/>
      <c r="O55" s="219"/>
      <c r="P55" s="221"/>
      <c r="Q55" s="219"/>
      <c r="R55" s="219"/>
      <c r="S55" s="219"/>
      <c r="T55" s="219"/>
      <c r="U55" s="221"/>
      <c r="V55" s="221"/>
      <c r="W55" s="219"/>
      <c r="X55" s="219"/>
      <c r="Y55" s="219"/>
      <c r="Z55" s="221"/>
      <c r="AA55" s="221"/>
      <c r="AB55" s="221"/>
    </row>
    <row r="56" spans="1:29" ht="20.399999999999999">
      <c r="A56" s="211" t="s">
        <v>29</v>
      </c>
      <c r="B56" s="219" t="s">
        <v>71</v>
      </c>
      <c r="C56" s="349" t="s">
        <v>72</v>
      </c>
      <c r="D56" s="349"/>
      <c r="E56" s="349"/>
      <c r="F56" s="349"/>
      <c r="G56" s="221"/>
      <c r="H56" s="221"/>
      <c r="I56" s="219"/>
      <c r="J56" s="219"/>
      <c r="K56" s="221"/>
      <c r="L56" s="221"/>
      <c r="M56" s="221"/>
      <c r="N56" s="219"/>
      <c r="O56" s="219"/>
      <c r="P56" s="221"/>
      <c r="Q56" s="219"/>
      <c r="R56" s="219"/>
      <c r="S56" s="219"/>
      <c r="T56" s="219"/>
      <c r="U56" s="221"/>
      <c r="V56" s="221"/>
      <c r="W56" s="219"/>
      <c r="X56" s="219"/>
      <c r="Y56" s="219"/>
      <c r="Z56" s="221"/>
      <c r="AA56" s="221"/>
      <c r="AB56" s="221"/>
    </row>
    <row r="57" spans="1:29">
      <c r="A57" s="211" t="s">
        <v>29</v>
      </c>
      <c r="B57" s="212" t="s">
        <v>73</v>
      </c>
      <c r="C57" s="349" t="s">
        <v>74</v>
      </c>
      <c r="D57" s="349"/>
      <c r="E57" s="349"/>
      <c r="F57" s="349"/>
      <c r="G57" s="221"/>
      <c r="H57" s="221"/>
      <c r="I57" s="219"/>
      <c r="J57" s="219"/>
      <c r="K57" s="221"/>
      <c r="L57" s="221"/>
      <c r="M57" s="221"/>
      <c r="N57" s="219"/>
      <c r="O57" s="219"/>
      <c r="P57" s="221"/>
      <c r="Q57" s="219"/>
      <c r="R57" s="219"/>
      <c r="S57" s="219"/>
      <c r="T57" s="219"/>
      <c r="U57" s="221"/>
      <c r="V57" s="221"/>
      <c r="W57" s="219"/>
      <c r="X57" s="219"/>
      <c r="Y57" s="219"/>
      <c r="Z57" s="221"/>
      <c r="AA57" s="221"/>
      <c r="AB57" s="221"/>
    </row>
    <row r="58" spans="1:29">
      <c r="A58" s="211" t="s">
        <v>29</v>
      </c>
      <c r="C58" s="349" t="s">
        <v>75</v>
      </c>
      <c r="D58" s="349"/>
      <c r="E58" s="349"/>
      <c r="F58" s="349"/>
    </row>
    <row r="59" spans="1:29" ht="17.399999999999999">
      <c r="A59" s="211" t="s">
        <v>29</v>
      </c>
      <c r="B59" s="222" t="s">
        <v>76</v>
      </c>
      <c r="C59" s="349" t="s">
        <v>77</v>
      </c>
      <c r="D59" s="349"/>
      <c r="E59" s="349"/>
      <c r="F59" s="349"/>
      <c r="G59" s="210"/>
      <c r="H59" s="210"/>
      <c r="I59" s="212"/>
      <c r="J59" s="212"/>
      <c r="K59" s="210"/>
      <c r="L59" s="210"/>
      <c r="M59" s="210"/>
      <c r="N59" s="212"/>
      <c r="O59" s="212"/>
      <c r="P59" s="210"/>
      <c r="Q59" s="212"/>
      <c r="R59" s="212"/>
      <c r="S59" s="212"/>
      <c r="T59" s="212"/>
      <c r="U59" s="210"/>
      <c r="V59" s="210"/>
      <c r="W59" s="212"/>
      <c r="X59" s="212"/>
      <c r="Y59" s="212"/>
      <c r="Z59" s="210"/>
      <c r="AA59" s="210"/>
      <c r="AB59" s="210"/>
    </row>
    <row r="61" spans="1:29" s="210" customFormat="1">
      <c r="A61" s="223"/>
      <c r="C61" s="210" t="s">
        <v>78</v>
      </c>
      <c r="D61" s="210" t="s">
        <v>7</v>
      </c>
      <c r="E61" s="218">
        <v>5</v>
      </c>
      <c r="F61" s="218">
        <v>5</v>
      </c>
      <c r="G61" s="218">
        <v>5</v>
      </c>
      <c r="H61" s="213">
        <v>5</v>
      </c>
      <c r="I61" s="218">
        <v>7</v>
      </c>
      <c r="J61" s="218">
        <v>7</v>
      </c>
      <c r="K61" s="213">
        <v>16</v>
      </c>
      <c r="L61" s="213">
        <v>16</v>
      </c>
      <c r="M61" s="218">
        <v>16</v>
      </c>
      <c r="N61" s="218">
        <v>16</v>
      </c>
      <c r="O61" s="218">
        <v>16</v>
      </c>
      <c r="P61" s="213">
        <v>29</v>
      </c>
      <c r="Q61" s="218">
        <v>29</v>
      </c>
      <c r="R61" s="218">
        <v>29</v>
      </c>
      <c r="S61" s="218">
        <v>47</v>
      </c>
      <c r="T61" s="218">
        <v>47</v>
      </c>
      <c r="U61" s="213">
        <v>47</v>
      </c>
      <c r="V61" s="213">
        <v>47</v>
      </c>
      <c r="W61" s="228">
        <v>3</v>
      </c>
      <c r="X61" s="218">
        <v>3</v>
      </c>
      <c r="Y61" s="218">
        <v>3</v>
      </c>
      <c r="Z61" s="213">
        <v>3</v>
      </c>
      <c r="AA61" s="213">
        <v>3</v>
      </c>
      <c r="AB61" s="213">
        <v>3</v>
      </c>
      <c r="AC61" s="213">
        <v>3</v>
      </c>
    </row>
    <row r="62" spans="1:29" s="210" customFormat="1">
      <c r="A62" s="223"/>
      <c r="C62" s="210" t="s">
        <v>79</v>
      </c>
      <c r="D62" s="210" t="s">
        <v>80</v>
      </c>
      <c r="E62" s="218">
        <v>160</v>
      </c>
      <c r="F62" s="218">
        <v>165</v>
      </c>
      <c r="G62" s="218">
        <v>170</v>
      </c>
      <c r="H62" s="213">
        <v>175</v>
      </c>
      <c r="I62" s="218">
        <v>170</v>
      </c>
      <c r="J62" s="218">
        <v>160</v>
      </c>
      <c r="K62" s="213">
        <v>140</v>
      </c>
      <c r="L62" s="213">
        <v>160</v>
      </c>
      <c r="M62" s="218">
        <v>150</v>
      </c>
      <c r="N62" s="218">
        <v>170</v>
      </c>
      <c r="O62" s="218">
        <v>180</v>
      </c>
      <c r="P62" s="213">
        <v>100</v>
      </c>
      <c r="Q62" s="218">
        <v>115</v>
      </c>
      <c r="R62" s="218">
        <v>118</v>
      </c>
      <c r="S62" s="218">
        <v>115</v>
      </c>
      <c r="T62" s="218">
        <v>120</v>
      </c>
      <c r="U62" s="213">
        <v>120</v>
      </c>
      <c r="V62" s="213">
        <v>125</v>
      </c>
      <c r="W62" s="228">
        <v>105</v>
      </c>
      <c r="X62" s="218">
        <v>110</v>
      </c>
      <c r="Y62" s="218">
        <v>115</v>
      </c>
      <c r="Z62" s="213">
        <v>120</v>
      </c>
      <c r="AA62" s="213">
        <v>125</v>
      </c>
      <c r="AB62" s="213">
        <v>130</v>
      </c>
      <c r="AC62" s="213">
        <v>135</v>
      </c>
    </row>
    <row r="63" spans="1:29" s="210" customFormat="1">
      <c r="A63" s="223"/>
      <c r="C63" s="210" t="s">
        <v>81</v>
      </c>
      <c r="E63" s="213" t="s">
        <v>82</v>
      </c>
      <c r="F63" s="213" t="s">
        <v>82</v>
      </c>
      <c r="G63" s="213" t="s">
        <v>82</v>
      </c>
      <c r="H63" s="213" t="s">
        <v>82</v>
      </c>
      <c r="I63" s="213" t="s">
        <v>82</v>
      </c>
      <c r="J63" s="213" t="s">
        <v>82</v>
      </c>
      <c r="K63" s="213" t="s">
        <v>82</v>
      </c>
      <c r="L63" s="213" t="s">
        <v>82</v>
      </c>
      <c r="M63" s="213" t="s">
        <v>82</v>
      </c>
      <c r="N63" s="213" t="s">
        <v>82</v>
      </c>
      <c r="O63" s="213" t="s">
        <v>82</v>
      </c>
      <c r="P63" s="213" t="s">
        <v>82</v>
      </c>
      <c r="Q63" s="213" t="s">
        <v>82</v>
      </c>
      <c r="R63" s="213" t="s">
        <v>82</v>
      </c>
      <c r="S63" s="213" t="s">
        <v>82</v>
      </c>
      <c r="T63" s="213" t="s">
        <v>82</v>
      </c>
      <c r="U63" s="213" t="s">
        <v>82</v>
      </c>
      <c r="V63" s="213" t="s">
        <v>82</v>
      </c>
      <c r="W63" s="229" t="s">
        <v>82</v>
      </c>
      <c r="X63" s="213" t="s">
        <v>82</v>
      </c>
      <c r="Y63" s="213" t="s">
        <v>82</v>
      </c>
      <c r="Z63" s="213" t="s">
        <v>82</v>
      </c>
      <c r="AA63" s="213" t="s">
        <v>82</v>
      </c>
      <c r="AB63" s="213" t="s">
        <v>82</v>
      </c>
      <c r="AC63" s="213" t="s">
        <v>82</v>
      </c>
    </row>
    <row r="64" spans="1:29" s="210" customFormat="1">
      <c r="A64" s="223"/>
      <c r="C64" s="210" t="s">
        <v>83</v>
      </c>
      <c r="E64" s="213" t="s">
        <v>84</v>
      </c>
      <c r="F64" s="213" t="s">
        <v>84</v>
      </c>
      <c r="G64" s="213" t="s">
        <v>84</v>
      </c>
      <c r="H64" s="213" t="s">
        <v>84</v>
      </c>
      <c r="I64" s="213" t="s">
        <v>84</v>
      </c>
      <c r="J64" s="213" t="s">
        <v>84</v>
      </c>
      <c r="K64" s="213" t="s">
        <v>84</v>
      </c>
      <c r="L64" s="213" t="s">
        <v>84</v>
      </c>
      <c r="M64" s="213" t="s">
        <v>84</v>
      </c>
      <c r="N64" s="213" t="s">
        <v>84</v>
      </c>
      <c r="O64" s="213" t="s">
        <v>84</v>
      </c>
      <c r="P64" s="213"/>
      <c r="Q64" s="213"/>
      <c r="R64" s="213"/>
      <c r="S64" s="213"/>
      <c r="T64" s="213"/>
      <c r="U64" s="213"/>
      <c r="V64" s="213"/>
      <c r="W64" s="229" t="s">
        <v>84</v>
      </c>
      <c r="X64" s="213" t="s">
        <v>84</v>
      </c>
      <c r="Y64" s="213" t="s">
        <v>84</v>
      </c>
      <c r="Z64" s="213" t="s">
        <v>84</v>
      </c>
      <c r="AA64" s="213" t="s">
        <v>84</v>
      </c>
      <c r="AB64" s="213" t="s">
        <v>84</v>
      </c>
      <c r="AC64" s="213" t="s">
        <v>84</v>
      </c>
    </row>
    <row r="65" spans="1:29" s="210" customFormat="1">
      <c r="A65" s="223"/>
      <c r="C65" s="210" t="s">
        <v>85</v>
      </c>
      <c r="D65" s="210" t="s">
        <v>86</v>
      </c>
      <c r="E65" s="213" t="s">
        <v>84</v>
      </c>
      <c r="F65" s="213" t="s">
        <v>84</v>
      </c>
      <c r="G65" s="213" t="s">
        <v>84</v>
      </c>
      <c r="H65" s="213" t="s">
        <v>84</v>
      </c>
      <c r="I65" s="213" t="s">
        <v>84</v>
      </c>
      <c r="J65" s="213" t="s">
        <v>84</v>
      </c>
      <c r="K65" s="213" t="s">
        <v>84</v>
      </c>
      <c r="L65" s="213" t="s">
        <v>84</v>
      </c>
      <c r="M65" s="213" t="s">
        <v>84</v>
      </c>
      <c r="N65" s="213" t="s">
        <v>84</v>
      </c>
      <c r="O65" s="213" t="s">
        <v>84</v>
      </c>
      <c r="P65" s="213"/>
      <c r="Q65" s="213"/>
      <c r="R65" s="213"/>
      <c r="S65" s="213"/>
      <c r="T65" s="213"/>
      <c r="U65" s="213"/>
      <c r="V65" s="213"/>
      <c r="W65" s="229" t="s">
        <v>84</v>
      </c>
      <c r="X65" s="213" t="s">
        <v>84</v>
      </c>
      <c r="Y65" s="213" t="s">
        <v>84</v>
      </c>
      <c r="Z65" s="213" t="s">
        <v>84</v>
      </c>
      <c r="AA65" s="213" t="s">
        <v>84</v>
      </c>
      <c r="AB65" s="213" t="s">
        <v>84</v>
      </c>
      <c r="AC65" s="213" t="s">
        <v>84</v>
      </c>
    </row>
    <row r="66" spans="1:29" s="210" customFormat="1" ht="17.399999999999999">
      <c r="A66" s="223"/>
      <c r="C66" s="230" t="s">
        <v>76</v>
      </c>
      <c r="E66" s="213">
        <v>0.75</v>
      </c>
      <c r="F66" s="213">
        <v>0.75</v>
      </c>
      <c r="G66" s="213">
        <v>0.75</v>
      </c>
      <c r="H66" s="213">
        <v>0.75</v>
      </c>
      <c r="I66" s="213">
        <v>0.75</v>
      </c>
      <c r="J66" s="213">
        <v>0.75</v>
      </c>
      <c r="K66" s="213">
        <v>0.75</v>
      </c>
      <c r="L66" s="213">
        <v>0.75</v>
      </c>
      <c r="M66" s="213">
        <v>0.75</v>
      </c>
      <c r="N66" s="213">
        <v>0.75</v>
      </c>
      <c r="O66" s="213">
        <v>0.75</v>
      </c>
      <c r="P66" s="213">
        <v>0.75</v>
      </c>
      <c r="Q66" s="213">
        <v>0.75</v>
      </c>
      <c r="R66" s="213">
        <v>0.75</v>
      </c>
      <c r="S66" s="213">
        <v>0.75</v>
      </c>
      <c r="T66" s="213">
        <v>0.75</v>
      </c>
      <c r="U66" s="213">
        <v>0.75</v>
      </c>
      <c r="V66" s="213">
        <v>0.75</v>
      </c>
      <c r="W66" s="229">
        <v>0.75</v>
      </c>
      <c r="X66" s="213">
        <v>0.75</v>
      </c>
      <c r="Y66" s="213">
        <v>0.75</v>
      </c>
      <c r="Z66" s="213">
        <v>0.75</v>
      </c>
      <c r="AA66" s="213">
        <v>0.75</v>
      </c>
      <c r="AB66" s="213">
        <v>0.75</v>
      </c>
      <c r="AC66" s="213">
        <v>0.75</v>
      </c>
    </row>
    <row r="67" spans="1:29" s="210" customFormat="1">
      <c r="A67" s="223"/>
      <c r="C67" s="210" t="s">
        <v>87</v>
      </c>
      <c r="D67" s="210" t="s">
        <v>9</v>
      </c>
      <c r="E67" s="213">
        <v>1075</v>
      </c>
      <c r="F67" s="213">
        <v>1090</v>
      </c>
      <c r="G67" s="213">
        <v>1060</v>
      </c>
      <c r="H67" s="213">
        <v>1030</v>
      </c>
      <c r="I67" s="213">
        <v>1880</v>
      </c>
      <c r="J67" s="213">
        <v>1985</v>
      </c>
      <c r="K67" s="127" t="s">
        <v>88</v>
      </c>
      <c r="L67" s="127">
        <v>2445</v>
      </c>
      <c r="M67" s="127" t="s">
        <v>89</v>
      </c>
      <c r="N67" s="127">
        <v>2455</v>
      </c>
      <c r="O67" s="213">
        <v>2720</v>
      </c>
      <c r="P67" s="213">
        <v>4300</v>
      </c>
      <c r="Q67" s="213">
        <v>4600</v>
      </c>
      <c r="R67" s="213">
        <v>8960</v>
      </c>
      <c r="S67" s="213">
        <v>12050</v>
      </c>
      <c r="T67" s="213">
        <v>13800</v>
      </c>
      <c r="U67" s="213">
        <v>12320</v>
      </c>
      <c r="V67" s="213">
        <v>12395</v>
      </c>
      <c r="W67" s="234">
        <v>1800</v>
      </c>
      <c r="X67" s="127">
        <v>1850</v>
      </c>
      <c r="Y67" s="213">
        <v>2350</v>
      </c>
      <c r="Z67" s="213">
        <v>2645</v>
      </c>
      <c r="AA67" s="213">
        <v>2730</v>
      </c>
      <c r="AB67" s="213">
        <v>4810</v>
      </c>
      <c r="AC67" s="213">
        <v>5375</v>
      </c>
    </row>
    <row r="68" spans="1:29" s="210" customFormat="1">
      <c r="A68" s="223"/>
      <c r="C68" s="210" t="s">
        <v>90</v>
      </c>
      <c r="D68" s="210" t="s">
        <v>9</v>
      </c>
      <c r="E68" s="231">
        <v>0.52</v>
      </c>
      <c r="F68" s="231">
        <v>0.53</v>
      </c>
      <c r="G68" s="231">
        <v>0.54</v>
      </c>
      <c r="H68" s="231">
        <v>0.55000000000000004</v>
      </c>
      <c r="I68" s="232">
        <v>0.52129999999999999</v>
      </c>
      <c r="J68" s="232">
        <v>0.54410000000000003</v>
      </c>
      <c r="K68" s="231">
        <v>0.55000000000000004</v>
      </c>
      <c r="L68" s="231">
        <v>0.56000000000000005</v>
      </c>
      <c r="M68" s="231">
        <v>0.55000000000000004</v>
      </c>
      <c r="N68" s="231">
        <v>0.56000000000000005</v>
      </c>
      <c r="O68" s="231">
        <v>0.55000000000000004</v>
      </c>
      <c r="P68" s="231">
        <v>0.46</v>
      </c>
      <c r="Q68" s="231" t="s">
        <v>91</v>
      </c>
      <c r="R68" s="231">
        <v>0.47</v>
      </c>
      <c r="S68" s="231">
        <v>0.27</v>
      </c>
      <c r="T68" s="231">
        <v>0.28000000000000003</v>
      </c>
      <c r="U68" s="231">
        <v>0.28999999999999998</v>
      </c>
      <c r="V68" s="231">
        <v>0.3</v>
      </c>
      <c r="W68" s="235">
        <v>0.6</v>
      </c>
      <c r="X68" s="231">
        <v>0.62</v>
      </c>
      <c r="Y68" s="231">
        <v>0.64259999999999995</v>
      </c>
      <c r="Z68" s="231">
        <v>0.59</v>
      </c>
      <c r="AA68" s="231">
        <v>0.57999999999999996</v>
      </c>
      <c r="AB68" s="231">
        <v>0.59</v>
      </c>
      <c r="AC68" s="231">
        <v>0.57999999999999996</v>
      </c>
    </row>
    <row r="69" spans="1:29" s="210" customFormat="1">
      <c r="A69" s="223"/>
      <c r="C69" s="210" t="s">
        <v>92</v>
      </c>
      <c r="D69" s="210" t="s">
        <v>9</v>
      </c>
      <c r="E69" s="231">
        <v>0.48</v>
      </c>
      <c r="F69" s="231">
        <v>0.47</v>
      </c>
      <c r="G69" s="231">
        <v>0.46</v>
      </c>
      <c r="H69" s="231">
        <v>0.45</v>
      </c>
      <c r="I69" s="232">
        <v>0.47870000000000001</v>
      </c>
      <c r="J69" s="232">
        <v>0.45590000000000003</v>
      </c>
      <c r="K69" s="231">
        <v>0.45</v>
      </c>
      <c r="L69" s="231">
        <v>0.44</v>
      </c>
      <c r="M69" s="231">
        <v>0.45</v>
      </c>
      <c r="N69" s="231">
        <v>0.44</v>
      </c>
      <c r="O69" s="231">
        <v>0.45</v>
      </c>
      <c r="P69" s="231">
        <v>0.54</v>
      </c>
      <c r="Q69" s="231" t="s">
        <v>93</v>
      </c>
      <c r="R69" s="231">
        <v>0.53</v>
      </c>
      <c r="S69" s="231">
        <v>0.73</v>
      </c>
      <c r="T69" s="231">
        <v>0.72</v>
      </c>
      <c r="U69" s="231">
        <v>0.71</v>
      </c>
      <c r="V69" s="231">
        <v>0.7</v>
      </c>
      <c r="W69" s="235">
        <v>0.4</v>
      </c>
      <c r="X69" s="231">
        <v>0.38</v>
      </c>
      <c r="Y69" s="231">
        <v>0.36</v>
      </c>
      <c r="Z69" s="231">
        <v>0.31</v>
      </c>
      <c r="AA69" s="231">
        <v>0.52</v>
      </c>
      <c r="AB69" s="231">
        <v>0.41</v>
      </c>
      <c r="AC69" s="231">
        <v>0.42</v>
      </c>
    </row>
    <row r="70" spans="1:29" s="210" customFormat="1">
      <c r="A70" s="223"/>
      <c r="C70" s="221" t="s">
        <v>94</v>
      </c>
      <c r="D70" s="210" t="s">
        <v>9</v>
      </c>
      <c r="E70" s="213"/>
      <c r="F70" s="213"/>
      <c r="G70" s="213"/>
      <c r="H70" s="213"/>
      <c r="I70" s="213"/>
      <c r="J70" s="213"/>
      <c r="K70" s="213" t="s">
        <v>95</v>
      </c>
      <c r="L70" s="213" t="s">
        <v>95</v>
      </c>
      <c r="M70" s="213" t="s">
        <v>95</v>
      </c>
      <c r="N70" s="213" t="s">
        <v>95</v>
      </c>
      <c r="O70" s="213" t="s">
        <v>95</v>
      </c>
      <c r="P70" s="213"/>
      <c r="Q70" s="213"/>
      <c r="R70" s="213"/>
      <c r="S70" s="213"/>
      <c r="T70" s="213"/>
      <c r="U70" s="213"/>
      <c r="V70" s="213"/>
      <c r="W70" s="229" t="s">
        <v>95</v>
      </c>
      <c r="X70" s="213" t="s">
        <v>95</v>
      </c>
      <c r="Y70" s="213" t="s">
        <v>95</v>
      </c>
      <c r="Z70" s="213" t="s">
        <v>95</v>
      </c>
      <c r="AA70" s="213" t="s">
        <v>95</v>
      </c>
      <c r="AB70" s="213" t="s">
        <v>95</v>
      </c>
      <c r="AC70" s="213" t="s">
        <v>95</v>
      </c>
    </row>
    <row r="71" spans="1:29" s="210" customFormat="1">
      <c r="A71" s="223"/>
      <c r="C71" s="210" t="s">
        <v>96</v>
      </c>
      <c r="D71" s="210" t="s">
        <v>9</v>
      </c>
      <c r="E71" s="213">
        <v>1550</v>
      </c>
      <c r="F71" s="213">
        <v>1540</v>
      </c>
      <c r="G71" s="213">
        <v>1528</v>
      </c>
      <c r="H71" s="213">
        <v>1498</v>
      </c>
      <c r="I71" s="213">
        <v>2510</v>
      </c>
      <c r="J71" s="213">
        <v>2605</v>
      </c>
      <c r="K71" s="127">
        <v>3250</v>
      </c>
      <c r="L71" s="127">
        <v>3500</v>
      </c>
      <c r="M71" s="127">
        <v>3300</v>
      </c>
      <c r="N71" s="127">
        <v>3730</v>
      </c>
      <c r="O71" s="213">
        <v>4000</v>
      </c>
      <c r="P71" s="213"/>
      <c r="Q71" s="213"/>
      <c r="R71" s="213"/>
      <c r="S71" s="213"/>
      <c r="T71" s="213"/>
      <c r="U71" s="213"/>
      <c r="V71" s="213"/>
      <c r="W71" s="229">
        <v>3550</v>
      </c>
      <c r="X71" s="213">
        <v>4750</v>
      </c>
      <c r="Y71" s="127">
        <v>7000</v>
      </c>
      <c r="Z71" s="213">
        <v>8850</v>
      </c>
      <c r="AA71" s="213">
        <v>9500</v>
      </c>
      <c r="AB71" s="213">
        <v>15100</v>
      </c>
      <c r="AC71" s="213">
        <v>15100</v>
      </c>
    </row>
    <row r="72" spans="1:29" s="210" customFormat="1">
      <c r="A72" s="223"/>
      <c r="C72" s="210" t="s">
        <v>97</v>
      </c>
      <c r="D72" s="210" t="s">
        <v>9</v>
      </c>
      <c r="E72" s="231">
        <v>0.52</v>
      </c>
      <c r="F72" s="231">
        <v>0.53</v>
      </c>
      <c r="G72" s="231">
        <v>0.54</v>
      </c>
      <c r="H72" s="231">
        <v>0.55000000000000004</v>
      </c>
      <c r="I72" s="232">
        <v>0.52129999999999999</v>
      </c>
      <c r="J72" s="232">
        <v>0.54410000000000003</v>
      </c>
      <c r="K72" s="231">
        <v>0.55000000000000004</v>
      </c>
      <c r="L72" s="231">
        <v>0.56000000000000005</v>
      </c>
      <c r="M72" s="231">
        <v>0.55000000000000004</v>
      </c>
      <c r="N72" s="231">
        <v>0.56000000000000005</v>
      </c>
      <c r="O72" s="231">
        <v>0.55000000000000004</v>
      </c>
      <c r="P72" s="231" t="s">
        <v>98</v>
      </c>
      <c r="Q72" s="231" t="s">
        <v>99</v>
      </c>
      <c r="R72" s="231" t="s">
        <v>100</v>
      </c>
      <c r="S72" s="231">
        <v>0.31</v>
      </c>
      <c r="T72" s="231">
        <v>0.32</v>
      </c>
      <c r="U72" s="231">
        <v>0.32</v>
      </c>
      <c r="V72" s="231">
        <v>0.31</v>
      </c>
      <c r="W72" s="235">
        <v>0.28000000000000003</v>
      </c>
      <c r="X72" s="231">
        <v>0.28999999999999998</v>
      </c>
      <c r="Y72" s="231">
        <v>0.3</v>
      </c>
      <c r="Z72" s="231">
        <v>0.28000000000000003</v>
      </c>
      <c r="AA72" s="231">
        <v>0.28999999999999998</v>
      </c>
      <c r="AB72" s="231">
        <v>0.3</v>
      </c>
      <c r="AC72" s="231">
        <v>0.32</v>
      </c>
    </row>
    <row r="73" spans="1:29" s="210" customFormat="1">
      <c r="A73" s="223"/>
      <c r="C73" s="210" t="s">
        <v>101</v>
      </c>
      <c r="D73" s="210" t="s">
        <v>9</v>
      </c>
      <c r="E73" s="231">
        <v>0.48</v>
      </c>
      <c r="F73" s="231">
        <v>0.47</v>
      </c>
      <c r="G73" s="231">
        <v>0.46</v>
      </c>
      <c r="H73" s="231">
        <v>0.45</v>
      </c>
      <c r="I73" s="232">
        <v>0.47870000000000001</v>
      </c>
      <c r="J73" s="232">
        <v>0.45590000000000003</v>
      </c>
      <c r="K73" s="231">
        <v>0.45</v>
      </c>
      <c r="L73" s="231">
        <v>0.44</v>
      </c>
      <c r="M73" s="231">
        <v>0.45</v>
      </c>
      <c r="N73" s="231">
        <v>0.44</v>
      </c>
      <c r="O73" s="231">
        <v>0.45</v>
      </c>
      <c r="P73" s="231" t="s">
        <v>102</v>
      </c>
      <c r="Q73" s="231" t="s">
        <v>103</v>
      </c>
      <c r="R73" s="231" t="s">
        <v>104</v>
      </c>
      <c r="S73" s="231">
        <v>0.69</v>
      </c>
      <c r="T73" s="231">
        <v>0.68</v>
      </c>
      <c r="U73" s="231">
        <v>0.68</v>
      </c>
      <c r="V73" s="231">
        <v>0.69</v>
      </c>
      <c r="W73" s="235">
        <v>0.72</v>
      </c>
      <c r="X73" s="231">
        <v>0.71</v>
      </c>
      <c r="Y73" s="231">
        <v>0.7</v>
      </c>
      <c r="Z73" s="231">
        <v>0.72</v>
      </c>
      <c r="AA73" s="231">
        <v>0.77</v>
      </c>
      <c r="AB73" s="231">
        <v>0.7</v>
      </c>
      <c r="AC73" s="231">
        <v>0.68</v>
      </c>
    </row>
    <row r="74" spans="1:29" s="210" customFormat="1">
      <c r="A74" s="223"/>
      <c r="C74" s="210" t="s">
        <v>105</v>
      </c>
      <c r="D74" s="210" t="s">
        <v>106</v>
      </c>
      <c r="E74" s="218" t="s">
        <v>107</v>
      </c>
      <c r="F74" s="218" t="s">
        <v>108</v>
      </c>
      <c r="G74" s="218" t="s">
        <v>109</v>
      </c>
      <c r="H74" s="213" t="s">
        <v>110</v>
      </c>
      <c r="I74" s="218" t="s">
        <v>111</v>
      </c>
      <c r="J74" s="218" t="s">
        <v>111</v>
      </c>
      <c r="K74" s="213" t="s">
        <v>112</v>
      </c>
      <c r="L74" s="213" t="s">
        <v>113</v>
      </c>
      <c r="M74" s="218" t="s">
        <v>114</v>
      </c>
      <c r="N74" s="218" t="s">
        <v>115</v>
      </c>
      <c r="O74" s="218" t="s">
        <v>116</v>
      </c>
      <c r="P74" s="213" t="s">
        <v>117</v>
      </c>
      <c r="Q74" s="218" t="s">
        <v>118</v>
      </c>
      <c r="R74" s="218" t="s">
        <v>119</v>
      </c>
      <c r="S74" s="218" t="s">
        <v>120</v>
      </c>
      <c r="T74" s="218" t="s">
        <v>121</v>
      </c>
      <c r="U74" s="213" t="s">
        <v>122</v>
      </c>
      <c r="V74" s="213" t="s">
        <v>123</v>
      </c>
      <c r="W74" s="228" t="s">
        <v>124</v>
      </c>
      <c r="X74" s="218" t="s">
        <v>125</v>
      </c>
      <c r="Y74" s="218" t="s">
        <v>126</v>
      </c>
      <c r="Z74" s="213" t="s">
        <v>126</v>
      </c>
      <c r="AA74" s="213" t="s">
        <v>127</v>
      </c>
      <c r="AB74" s="213" t="s">
        <v>128</v>
      </c>
      <c r="AC74" s="213" t="s">
        <v>129</v>
      </c>
    </row>
    <row r="75" spans="1:29" s="210" customFormat="1">
      <c r="A75" s="223"/>
      <c r="C75" s="210" t="s">
        <v>130</v>
      </c>
      <c r="D75" s="210" t="s">
        <v>106</v>
      </c>
      <c r="E75" s="213">
        <v>2550</v>
      </c>
      <c r="F75" s="213">
        <v>2600</v>
      </c>
      <c r="G75" s="213">
        <v>2570</v>
      </c>
      <c r="H75" s="213">
        <v>2570</v>
      </c>
      <c r="I75" s="213">
        <v>2745</v>
      </c>
      <c r="J75" s="213">
        <v>2745</v>
      </c>
      <c r="K75" s="213">
        <v>3110</v>
      </c>
      <c r="L75" s="213">
        <v>3550</v>
      </c>
      <c r="M75" s="213"/>
      <c r="N75" s="213">
        <v>3750</v>
      </c>
      <c r="O75" s="213">
        <v>3670</v>
      </c>
      <c r="P75" s="213">
        <v>4085</v>
      </c>
      <c r="Q75" s="213">
        <v>4085</v>
      </c>
      <c r="R75" s="213">
        <v>4300</v>
      </c>
      <c r="S75" s="213">
        <v>6150</v>
      </c>
      <c r="T75" s="213">
        <v>6150</v>
      </c>
      <c r="U75" s="213">
        <v>6120</v>
      </c>
      <c r="V75" s="213">
        <v>6120</v>
      </c>
      <c r="W75" s="229">
        <v>2750</v>
      </c>
      <c r="X75" s="213">
        <v>3360</v>
      </c>
      <c r="Y75" s="213">
        <v>3845</v>
      </c>
      <c r="Z75" s="213">
        <v>4175</v>
      </c>
      <c r="AA75" s="213">
        <v>4475</v>
      </c>
      <c r="AB75" s="213">
        <v>5550</v>
      </c>
      <c r="AC75" s="213">
        <v>6160</v>
      </c>
    </row>
    <row r="76" spans="1:29" s="210" customFormat="1">
      <c r="A76" s="223"/>
      <c r="C76" s="210" t="s">
        <v>131</v>
      </c>
      <c r="D76" s="210" t="s">
        <v>106</v>
      </c>
      <c r="E76" s="213" t="s">
        <v>132</v>
      </c>
      <c r="F76" s="213" t="s">
        <v>133</v>
      </c>
      <c r="G76" s="213" t="s">
        <v>132</v>
      </c>
      <c r="H76" s="213" t="s">
        <v>133</v>
      </c>
      <c r="I76" s="213" t="s">
        <v>134</v>
      </c>
      <c r="J76" s="213" t="s">
        <v>134</v>
      </c>
      <c r="K76" s="213" t="s">
        <v>135</v>
      </c>
      <c r="L76" s="213" t="s">
        <v>136</v>
      </c>
      <c r="M76" s="213" t="s">
        <v>135</v>
      </c>
      <c r="N76" s="213" t="s">
        <v>137</v>
      </c>
      <c r="O76" s="213" t="s">
        <v>138</v>
      </c>
      <c r="P76" s="213" t="s">
        <v>139</v>
      </c>
      <c r="Q76" s="213" t="s">
        <v>140</v>
      </c>
      <c r="R76" s="213" t="s">
        <v>141</v>
      </c>
      <c r="S76" s="213" t="s">
        <v>142</v>
      </c>
      <c r="T76" s="213" t="s">
        <v>143</v>
      </c>
      <c r="U76" s="213" t="s">
        <v>144</v>
      </c>
      <c r="V76" s="213" t="s">
        <v>145</v>
      </c>
      <c r="W76" s="229" t="s">
        <v>146</v>
      </c>
      <c r="X76" s="213" t="s">
        <v>146</v>
      </c>
      <c r="Y76" s="213" t="s">
        <v>147</v>
      </c>
      <c r="Z76" s="213" t="s">
        <v>148</v>
      </c>
      <c r="AA76" s="213" t="s">
        <v>148</v>
      </c>
      <c r="AB76" s="213" t="s">
        <v>149</v>
      </c>
      <c r="AC76" s="213" t="s">
        <v>150</v>
      </c>
    </row>
    <row r="77" spans="1:29" s="210" customFormat="1">
      <c r="A77" s="223"/>
      <c r="C77" s="210" t="s">
        <v>151</v>
      </c>
      <c r="D77" s="210" t="s">
        <v>152</v>
      </c>
      <c r="E77" s="213" t="s">
        <v>95</v>
      </c>
      <c r="F77" s="213" t="s">
        <v>95</v>
      </c>
      <c r="G77" s="213" t="s">
        <v>95</v>
      </c>
      <c r="H77" s="213" t="s">
        <v>95</v>
      </c>
      <c r="I77" s="213" t="s">
        <v>95</v>
      </c>
      <c r="J77" s="213" t="s">
        <v>95</v>
      </c>
      <c r="K77" s="213" t="s">
        <v>95</v>
      </c>
      <c r="L77" s="213" t="s">
        <v>95</v>
      </c>
      <c r="M77" s="213" t="s">
        <v>95</v>
      </c>
      <c r="N77" s="213" t="s">
        <v>95</v>
      </c>
      <c r="O77" s="213" t="s">
        <v>95</v>
      </c>
      <c r="P77" s="213"/>
      <c r="Q77" s="213"/>
      <c r="R77" s="213"/>
      <c r="S77" s="213"/>
      <c r="T77" s="213"/>
      <c r="U77" s="213"/>
      <c r="V77" s="213"/>
      <c r="W77" s="229" t="s">
        <v>95</v>
      </c>
      <c r="X77" s="213" t="s">
        <v>95</v>
      </c>
      <c r="Y77" s="213" t="s">
        <v>95</v>
      </c>
      <c r="Z77" s="213" t="s">
        <v>95</v>
      </c>
      <c r="AA77" s="213" t="s">
        <v>95</v>
      </c>
      <c r="AB77" s="213" t="s">
        <v>95</v>
      </c>
      <c r="AC77" s="213" t="s">
        <v>95</v>
      </c>
    </row>
    <row r="78" spans="1:29" s="210" customFormat="1">
      <c r="A78" s="223"/>
      <c r="C78" s="210" t="s">
        <v>153</v>
      </c>
      <c r="D78" s="210" t="s">
        <v>154</v>
      </c>
      <c r="E78" s="213" t="s">
        <v>155</v>
      </c>
      <c r="F78" s="213" t="s">
        <v>155</v>
      </c>
      <c r="G78" s="213" t="s">
        <v>155</v>
      </c>
      <c r="H78" s="213" t="s">
        <v>155</v>
      </c>
      <c r="I78" s="213" t="s">
        <v>155</v>
      </c>
      <c r="J78" s="213" t="s">
        <v>155</v>
      </c>
      <c r="K78" s="213" t="s">
        <v>155</v>
      </c>
      <c r="L78" s="213" t="s">
        <v>155</v>
      </c>
      <c r="M78" s="213" t="s">
        <v>155</v>
      </c>
      <c r="N78" s="213" t="s">
        <v>155</v>
      </c>
      <c r="O78" s="213" t="s">
        <v>155</v>
      </c>
      <c r="P78" s="213" t="s">
        <v>156</v>
      </c>
      <c r="Q78" s="213" t="s">
        <v>156</v>
      </c>
      <c r="R78" s="213" t="s">
        <v>156</v>
      </c>
      <c r="S78" s="213" t="s">
        <v>156</v>
      </c>
      <c r="T78" s="213" t="s">
        <v>156</v>
      </c>
      <c r="U78" s="213" t="s">
        <v>156</v>
      </c>
      <c r="V78" s="213" t="s">
        <v>156</v>
      </c>
      <c r="W78" s="229" t="s">
        <v>157</v>
      </c>
      <c r="X78" s="213" t="s">
        <v>157</v>
      </c>
      <c r="Y78" s="213" t="s">
        <v>157</v>
      </c>
      <c r="Z78" s="213" t="s">
        <v>157</v>
      </c>
      <c r="AA78" s="213" t="s">
        <v>157</v>
      </c>
      <c r="AB78" s="213" t="s">
        <v>157</v>
      </c>
      <c r="AC78" s="213" t="s">
        <v>157</v>
      </c>
    </row>
    <row r="79" spans="1:29" s="210" customFormat="1">
      <c r="A79" s="223"/>
      <c r="C79" s="210" t="s">
        <v>158</v>
      </c>
      <c r="E79" s="213">
        <v>0.93</v>
      </c>
      <c r="F79" s="213">
        <v>0.93</v>
      </c>
      <c r="G79" s="213">
        <v>0.93</v>
      </c>
      <c r="H79" s="213">
        <v>0.93</v>
      </c>
      <c r="I79" s="213">
        <v>0.93</v>
      </c>
      <c r="J79" s="213">
        <v>0.93</v>
      </c>
      <c r="K79" s="213">
        <v>0.89</v>
      </c>
      <c r="L79" s="213">
        <v>0.89</v>
      </c>
      <c r="M79" s="213">
        <v>0.89</v>
      </c>
      <c r="N79" s="213">
        <v>0.89</v>
      </c>
      <c r="O79" s="213">
        <v>0.89</v>
      </c>
      <c r="P79" s="213">
        <v>0.89</v>
      </c>
      <c r="Q79" s="213">
        <v>0.89</v>
      </c>
      <c r="R79" s="213">
        <v>0.89</v>
      </c>
      <c r="S79" s="213">
        <v>0.89</v>
      </c>
      <c r="T79" s="213">
        <v>0.89</v>
      </c>
      <c r="U79" s="213">
        <v>0.89</v>
      </c>
      <c r="V79" s="213">
        <v>0.89</v>
      </c>
      <c r="W79" s="229">
        <v>0.89</v>
      </c>
      <c r="X79" s="213">
        <v>0.89</v>
      </c>
      <c r="Y79" s="213">
        <v>0.89</v>
      </c>
      <c r="Z79" s="213">
        <v>0.89</v>
      </c>
      <c r="AA79" s="213">
        <v>0.89</v>
      </c>
      <c r="AB79" s="213">
        <v>0.89</v>
      </c>
      <c r="AC79" s="213">
        <v>0.89</v>
      </c>
    </row>
    <row r="80" spans="1:29" s="210" customFormat="1">
      <c r="A80" s="223"/>
      <c r="C80" s="210" t="s">
        <v>159</v>
      </c>
      <c r="D80" s="210" t="s">
        <v>160</v>
      </c>
      <c r="E80" s="213" t="s">
        <v>95</v>
      </c>
      <c r="F80" s="213" t="s">
        <v>95</v>
      </c>
      <c r="G80" s="213" t="s">
        <v>95</v>
      </c>
      <c r="H80" s="213" t="s">
        <v>95</v>
      </c>
      <c r="I80" s="213" t="s">
        <v>95</v>
      </c>
      <c r="J80" s="213" t="s">
        <v>95</v>
      </c>
      <c r="K80" s="213" t="s">
        <v>95</v>
      </c>
      <c r="L80" s="213" t="s">
        <v>95</v>
      </c>
      <c r="M80" s="213" t="s">
        <v>95</v>
      </c>
      <c r="N80" s="213" t="s">
        <v>95</v>
      </c>
      <c r="O80" s="213" t="s">
        <v>95</v>
      </c>
      <c r="P80" s="213"/>
      <c r="Q80" s="213"/>
      <c r="R80" s="213"/>
      <c r="S80" s="213"/>
      <c r="T80" s="213"/>
      <c r="U80" s="213"/>
      <c r="V80" s="213"/>
      <c r="W80" s="229" t="s">
        <v>95</v>
      </c>
      <c r="X80" s="213" t="s">
        <v>95</v>
      </c>
      <c r="Y80" s="213" t="s">
        <v>95</v>
      </c>
      <c r="Z80" s="213" t="s">
        <v>95</v>
      </c>
      <c r="AA80" s="213" t="s">
        <v>95</v>
      </c>
      <c r="AB80" s="213" t="s">
        <v>95</v>
      </c>
      <c r="AC80" s="213" t="s">
        <v>95</v>
      </c>
    </row>
    <row r="81" spans="1:29" s="210" customFormat="1">
      <c r="A81" s="223"/>
      <c r="C81" s="210" t="s">
        <v>161</v>
      </c>
      <c r="D81" s="210" t="s">
        <v>162</v>
      </c>
      <c r="E81" s="213" t="s">
        <v>95</v>
      </c>
      <c r="F81" s="213" t="s">
        <v>95</v>
      </c>
      <c r="G81" s="213" t="s">
        <v>95</v>
      </c>
      <c r="H81" s="213" t="s">
        <v>95</v>
      </c>
      <c r="I81" s="213" t="s">
        <v>95</v>
      </c>
      <c r="J81" s="213" t="s">
        <v>95</v>
      </c>
      <c r="K81" s="213" t="s">
        <v>95</v>
      </c>
      <c r="L81" s="213" t="s">
        <v>95</v>
      </c>
      <c r="M81" s="213" t="s">
        <v>95</v>
      </c>
      <c r="N81" s="213" t="s">
        <v>95</v>
      </c>
      <c r="O81" s="213" t="s">
        <v>95</v>
      </c>
      <c r="P81" s="213"/>
      <c r="Q81" s="213"/>
      <c r="R81" s="213"/>
      <c r="S81" s="213"/>
      <c r="T81" s="213"/>
      <c r="U81" s="213"/>
      <c r="V81" s="213"/>
      <c r="W81" s="229" t="s">
        <v>95</v>
      </c>
      <c r="X81" s="213" t="s">
        <v>95</v>
      </c>
      <c r="Y81" s="213" t="s">
        <v>95</v>
      </c>
      <c r="Z81" s="213" t="s">
        <v>95</v>
      </c>
      <c r="AA81" s="213" t="s">
        <v>95</v>
      </c>
      <c r="AB81" s="213" t="s">
        <v>95</v>
      </c>
      <c r="AC81" s="213" t="s">
        <v>95</v>
      </c>
    </row>
    <row r="82" spans="1:29" s="210" customFormat="1">
      <c r="A82" s="223"/>
      <c r="C82" s="210" t="s">
        <v>163</v>
      </c>
      <c r="D82" s="213" t="s">
        <v>164</v>
      </c>
      <c r="E82" s="213" t="s">
        <v>165</v>
      </c>
      <c r="F82" s="213" t="s">
        <v>166</v>
      </c>
      <c r="G82" s="213" t="s">
        <v>167</v>
      </c>
      <c r="H82" s="213" t="s">
        <v>167</v>
      </c>
      <c r="I82" s="213" t="s">
        <v>168</v>
      </c>
      <c r="J82" s="213" t="s">
        <v>169</v>
      </c>
      <c r="K82" s="213" t="s">
        <v>170</v>
      </c>
      <c r="L82" s="213" t="s">
        <v>171</v>
      </c>
      <c r="M82" s="213" t="s">
        <v>172</v>
      </c>
      <c r="N82" s="213" t="s">
        <v>173</v>
      </c>
      <c r="O82" s="213" t="s">
        <v>174</v>
      </c>
      <c r="P82" s="213" t="s">
        <v>175</v>
      </c>
      <c r="Q82" s="213" t="s">
        <v>176</v>
      </c>
      <c r="R82" s="213" t="s">
        <v>177</v>
      </c>
      <c r="S82" s="213" t="s">
        <v>178</v>
      </c>
      <c r="T82" s="213" t="s">
        <v>179</v>
      </c>
      <c r="U82" s="213" t="s">
        <v>180</v>
      </c>
      <c r="V82" s="213" t="s">
        <v>181</v>
      </c>
      <c r="W82" s="229" t="s">
        <v>182</v>
      </c>
      <c r="X82" s="213" t="s">
        <v>182</v>
      </c>
      <c r="Y82" s="213" t="s">
        <v>183</v>
      </c>
      <c r="Z82" s="213" t="s">
        <v>184</v>
      </c>
      <c r="AA82" s="213" t="s">
        <v>185</v>
      </c>
      <c r="AB82" s="213" t="s">
        <v>186</v>
      </c>
      <c r="AC82" s="213" t="s">
        <v>187</v>
      </c>
    </row>
    <row r="83" spans="1:29" s="210" customFormat="1">
      <c r="A83" s="223"/>
      <c r="C83" s="210" t="s">
        <v>188</v>
      </c>
      <c r="E83" s="213" t="s">
        <v>189</v>
      </c>
      <c r="F83" s="213" t="s">
        <v>189</v>
      </c>
      <c r="G83" s="213" t="s">
        <v>189</v>
      </c>
      <c r="H83" s="213" t="s">
        <v>189</v>
      </c>
      <c r="I83" s="213" t="s">
        <v>189</v>
      </c>
      <c r="J83" s="213" t="s">
        <v>190</v>
      </c>
      <c r="K83" s="213" t="s">
        <v>190</v>
      </c>
      <c r="L83" s="213" t="s">
        <v>190</v>
      </c>
      <c r="M83" s="213" t="s">
        <v>191</v>
      </c>
      <c r="N83" s="213" t="s">
        <v>190</v>
      </c>
      <c r="O83" s="213" t="s">
        <v>190</v>
      </c>
      <c r="P83" s="213" t="s">
        <v>190</v>
      </c>
      <c r="Q83" s="213"/>
      <c r="R83" s="213" t="s">
        <v>190</v>
      </c>
      <c r="S83" s="213" t="s">
        <v>190</v>
      </c>
      <c r="T83" s="213" t="s">
        <v>190</v>
      </c>
      <c r="U83" s="213" t="s">
        <v>190</v>
      </c>
      <c r="V83" s="213" t="s">
        <v>190</v>
      </c>
      <c r="W83" s="229" t="s">
        <v>190</v>
      </c>
      <c r="X83" s="213" t="s">
        <v>190</v>
      </c>
      <c r="Y83" s="213" t="s">
        <v>190</v>
      </c>
      <c r="Z83" s="213" t="s">
        <v>190</v>
      </c>
      <c r="AA83" s="213" t="s">
        <v>190</v>
      </c>
      <c r="AB83" s="213" t="s">
        <v>190</v>
      </c>
      <c r="AC83" s="213" t="s">
        <v>190</v>
      </c>
    </row>
    <row r="84" spans="1:29" s="210" customFormat="1">
      <c r="A84" s="223"/>
      <c r="C84" s="210" t="s">
        <v>192</v>
      </c>
      <c r="E84" s="213" t="s">
        <v>193</v>
      </c>
      <c r="F84" s="213" t="s">
        <v>193</v>
      </c>
      <c r="G84" s="213" t="s">
        <v>193</v>
      </c>
      <c r="H84" s="213" t="s">
        <v>193</v>
      </c>
      <c r="I84" s="213" t="s">
        <v>193</v>
      </c>
      <c r="J84" s="213" t="s">
        <v>193</v>
      </c>
      <c r="K84" s="213" t="s">
        <v>194</v>
      </c>
      <c r="L84" s="213" t="s">
        <v>194</v>
      </c>
      <c r="M84" s="213" t="s">
        <v>194</v>
      </c>
      <c r="N84" s="213" t="s">
        <v>194</v>
      </c>
      <c r="O84" s="213" t="s">
        <v>194</v>
      </c>
      <c r="P84" s="213" t="s">
        <v>194</v>
      </c>
      <c r="Q84" s="213" t="s">
        <v>194</v>
      </c>
      <c r="R84" s="213" t="s">
        <v>194</v>
      </c>
      <c r="S84" s="213" t="s">
        <v>194</v>
      </c>
      <c r="T84" s="213" t="s">
        <v>194</v>
      </c>
      <c r="U84" s="213" t="s">
        <v>194</v>
      </c>
      <c r="V84" s="213" t="s">
        <v>194</v>
      </c>
      <c r="W84" s="229" t="s">
        <v>194</v>
      </c>
      <c r="X84" s="213" t="s">
        <v>194</v>
      </c>
      <c r="Y84" s="213" t="s">
        <v>194</v>
      </c>
      <c r="Z84" s="213" t="s">
        <v>194</v>
      </c>
      <c r="AA84" s="213" t="s">
        <v>194</v>
      </c>
      <c r="AB84" s="213" t="s">
        <v>194</v>
      </c>
      <c r="AC84" s="213" t="s">
        <v>194</v>
      </c>
    </row>
    <row r="85" spans="1:29" s="210" customFormat="1">
      <c r="A85" s="223"/>
      <c r="C85" s="210" t="s">
        <v>195</v>
      </c>
      <c r="E85" s="213" t="s">
        <v>196</v>
      </c>
      <c r="F85" s="213" t="s">
        <v>196</v>
      </c>
      <c r="G85" s="213" t="s">
        <v>196</v>
      </c>
      <c r="H85" s="213" t="s">
        <v>196</v>
      </c>
      <c r="I85" s="213" t="s">
        <v>196</v>
      </c>
      <c r="J85" s="213" t="s">
        <v>196</v>
      </c>
      <c r="K85" s="213" t="s">
        <v>197</v>
      </c>
      <c r="L85" s="213" t="s">
        <v>197</v>
      </c>
      <c r="M85" s="213" t="s">
        <v>197</v>
      </c>
      <c r="N85" s="213" t="s">
        <v>196</v>
      </c>
      <c r="O85" s="213" t="s">
        <v>198</v>
      </c>
      <c r="P85" s="213" t="s">
        <v>199</v>
      </c>
      <c r="Q85" s="213" t="s">
        <v>197</v>
      </c>
      <c r="R85" s="213" t="s">
        <v>196</v>
      </c>
      <c r="S85" s="213" t="s">
        <v>197</v>
      </c>
      <c r="T85" s="213" t="s">
        <v>196</v>
      </c>
      <c r="U85" s="213" t="s">
        <v>197</v>
      </c>
      <c r="V85" s="213" t="s">
        <v>196</v>
      </c>
      <c r="W85" s="229" t="s">
        <v>197</v>
      </c>
      <c r="X85" s="213" t="s">
        <v>197</v>
      </c>
      <c r="Y85" s="213" t="s">
        <v>197</v>
      </c>
      <c r="Z85" s="213" t="s">
        <v>196</v>
      </c>
      <c r="AA85" s="213" t="s">
        <v>196</v>
      </c>
      <c r="AB85" s="213" t="s">
        <v>200</v>
      </c>
      <c r="AC85" s="213" t="s">
        <v>200</v>
      </c>
    </row>
    <row r="86" spans="1:29" s="210" customFormat="1">
      <c r="A86" s="223"/>
      <c r="C86" s="210" t="s">
        <v>201</v>
      </c>
      <c r="E86" s="213" t="s">
        <v>202</v>
      </c>
      <c r="F86" s="213" t="s">
        <v>203</v>
      </c>
      <c r="G86" s="213" t="s">
        <v>204</v>
      </c>
      <c r="H86" s="213" t="s">
        <v>204</v>
      </c>
      <c r="I86" s="213" t="s">
        <v>205</v>
      </c>
      <c r="J86" s="213" t="s">
        <v>205</v>
      </c>
      <c r="K86" s="213" t="s">
        <v>206</v>
      </c>
      <c r="L86" s="213" t="s">
        <v>207</v>
      </c>
      <c r="M86" s="213" t="s">
        <v>208</v>
      </c>
      <c r="N86" s="213" t="s">
        <v>209</v>
      </c>
      <c r="O86" s="213" t="s">
        <v>210</v>
      </c>
      <c r="P86" s="213" t="s">
        <v>211</v>
      </c>
      <c r="Q86" s="213" t="s">
        <v>212</v>
      </c>
      <c r="R86" s="213" t="s">
        <v>213</v>
      </c>
      <c r="S86" s="213" t="s">
        <v>214</v>
      </c>
      <c r="T86" s="213" t="s">
        <v>214</v>
      </c>
      <c r="U86" s="213" t="s">
        <v>214</v>
      </c>
      <c r="V86" s="213" t="s">
        <v>215</v>
      </c>
      <c r="W86" s="229" t="s">
        <v>216</v>
      </c>
      <c r="X86" s="213" t="s">
        <v>216</v>
      </c>
      <c r="Y86" s="213" t="s">
        <v>217</v>
      </c>
      <c r="Z86" s="213" t="s">
        <v>218</v>
      </c>
      <c r="AA86" s="213" t="s">
        <v>218</v>
      </c>
      <c r="AB86" s="213" t="s">
        <v>219</v>
      </c>
      <c r="AC86" s="213" t="s">
        <v>219</v>
      </c>
    </row>
    <row r="87" spans="1:29" s="210" customFormat="1">
      <c r="A87" s="223"/>
      <c r="C87" s="221" t="s">
        <v>220</v>
      </c>
      <c r="D87" s="221"/>
      <c r="E87" s="213"/>
      <c r="F87" s="213"/>
      <c r="G87" s="213"/>
      <c r="H87" s="213"/>
      <c r="I87" s="233" t="s">
        <v>221</v>
      </c>
      <c r="J87" s="213"/>
      <c r="K87" s="221"/>
      <c r="L87" s="221"/>
      <c r="M87" s="233" t="s">
        <v>222</v>
      </c>
      <c r="N87" s="233" t="s">
        <v>223</v>
      </c>
      <c r="O87" s="213">
        <v>3.9169999999999998</v>
      </c>
      <c r="P87" s="233" t="s">
        <v>224</v>
      </c>
      <c r="Q87" s="233" t="s">
        <v>225</v>
      </c>
      <c r="R87" s="233" t="s">
        <v>226</v>
      </c>
      <c r="S87" s="236" t="s">
        <v>227</v>
      </c>
      <c r="T87" s="236" t="s">
        <v>228</v>
      </c>
      <c r="U87" s="213"/>
      <c r="V87" s="213"/>
      <c r="W87" s="213"/>
      <c r="X87" s="213"/>
      <c r="Y87" s="213"/>
      <c r="Z87" s="213"/>
      <c r="AA87" s="213"/>
      <c r="AB87" s="213"/>
      <c r="AC87" s="213"/>
    </row>
    <row r="88" spans="1:29" s="210" customFormat="1">
      <c r="A88" s="223"/>
      <c r="E88" s="213"/>
      <c r="F88" s="213"/>
      <c r="G88" s="213"/>
      <c r="H88" s="213"/>
      <c r="I88" s="233" t="s">
        <v>229</v>
      </c>
      <c r="J88" s="213"/>
      <c r="K88" s="213"/>
      <c r="L88" s="213"/>
      <c r="M88" s="233" t="s">
        <v>230</v>
      </c>
      <c r="N88" s="233" t="s">
        <v>231</v>
      </c>
      <c r="O88" s="213"/>
      <c r="P88" s="213"/>
      <c r="Q88" s="213"/>
      <c r="R88" s="213"/>
      <c r="S88" s="213"/>
      <c r="T88" s="213"/>
      <c r="U88" s="213"/>
      <c r="V88" s="213"/>
      <c r="W88" s="213"/>
      <c r="X88" s="213"/>
      <c r="Y88" s="213"/>
      <c r="Z88" s="213"/>
      <c r="AA88" s="213"/>
      <c r="AB88" s="213"/>
      <c r="AC88" s="213"/>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370" t="s">
        <v>232</v>
      </c>
      <c r="B1" s="370"/>
      <c r="C1" s="370"/>
      <c r="D1" s="370"/>
      <c r="E1" s="370"/>
      <c r="F1" s="370"/>
      <c r="G1" s="370"/>
      <c r="H1" s="370"/>
      <c r="I1" s="370"/>
      <c r="J1" s="370"/>
      <c r="K1" s="370"/>
      <c r="L1" s="370"/>
      <c r="M1" s="370"/>
    </row>
    <row r="2" spans="1:14">
      <c r="A2" s="196"/>
      <c r="B2" s="371" t="s">
        <v>233</v>
      </c>
      <c r="C2" s="371"/>
      <c r="D2" s="371"/>
      <c r="E2" s="371"/>
      <c r="F2" s="371"/>
      <c r="G2" s="371"/>
      <c r="H2" s="371"/>
      <c r="I2" s="371"/>
      <c r="J2" s="371"/>
      <c r="K2" s="371"/>
      <c r="L2" s="371"/>
      <c r="M2" s="371"/>
    </row>
    <row r="3" spans="1:14">
      <c r="A3" s="196"/>
      <c r="B3" s="371" t="s">
        <v>234</v>
      </c>
      <c r="C3" s="371"/>
      <c r="D3" s="371"/>
      <c r="E3" s="371"/>
      <c r="F3" s="371"/>
      <c r="G3" s="371"/>
      <c r="H3" s="371"/>
      <c r="I3" s="371"/>
      <c r="J3" s="371"/>
      <c r="K3" s="371"/>
      <c r="L3" s="371"/>
      <c r="M3" s="371"/>
    </row>
    <row r="4" spans="1:14">
      <c r="A4" s="372" t="s">
        <v>235</v>
      </c>
      <c r="B4" s="372"/>
      <c r="C4" s="372"/>
      <c r="D4" s="372"/>
      <c r="E4" s="372"/>
      <c r="F4" s="372"/>
      <c r="G4" s="372"/>
      <c r="H4" s="372"/>
      <c r="I4" s="372"/>
      <c r="J4" s="372"/>
      <c r="K4" s="206"/>
    </row>
    <row r="5" spans="1:14">
      <c r="A5" s="373" t="s">
        <v>236</v>
      </c>
      <c r="B5" s="373"/>
      <c r="C5" s="373"/>
      <c r="D5" s="371" t="s">
        <v>237</v>
      </c>
      <c r="E5" s="371"/>
      <c r="F5" s="371"/>
      <c r="G5" s="371"/>
      <c r="H5" s="371"/>
      <c r="I5" s="371"/>
      <c r="J5" s="371"/>
      <c r="K5" s="371"/>
      <c r="L5" s="371"/>
      <c r="M5" s="371"/>
    </row>
    <row r="6" spans="1:14">
      <c r="A6" s="365" t="s">
        <v>238</v>
      </c>
      <c r="B6" s="365"/>
      <c r="C6" s="365"/>
      <c r="D6" s="365"/>
      <c r="E6" s="365"/>
      <c r="F6" s="365"/>
      <c r="G6" s="365"/>
      <c r="H6" s="365"/>
      <c r="I6" s="365"/>
      <c r="J6" s="365"/>
      <c r="K6" s="365"/>
      <c r="L6" s="365"/>
      <c r="M6" s="365"/>
    </row>
    <row r="7" spans="1:14">
      <c r="A7" s="197" t="s">
        <v>239</v>
      </c>
      <c r="B7" s="197" t="s">
        <v>240</v>
      </c>
      <c r="C7" s="366" t="s">
        <v>241</v>
      </c>
      <c r="D7" s="367"/>
      <c r="E7" s="197" t="s">
        <v>242</v>
      </c>
      <c r="F7" s="197" t="s">
        <v>243</v>
      </c>
      <c r="G7" s="197" t="s">
        <v>244</v>
      </c>
      <c r="H7" s="197" t="s">
        <v>244</v>
      </c>
      <c r="I7" s="197" t="s">
        <v>244</v>
      </c>
      <c r="J7" s="197" t="s">
        <v>244</v>
      </c>
      <c r="K7" s="197" t="s">
        <v>244</v>
      </c>
      <c r="L7" s="197" t="s">
        <v>244</v>
      </c>
      <c r="M7" s="197" t="s">
        <v>244</v>
      </c>
      <c r="N7" s="197" t="s">
        <v>245</v>
      </c>
    </row>
    <row r="8" spans="1:14">
      <c r="A8" s="197">
        <v>1</v>
      </c>
      <c r="B8" s="198">
        <v>62130110</v>
      </c>
      <c r="C8" s="199" t="s">
        <v>246</v>
      </c>
      <c r="D8" s="200" t="s">
        <v>247</v>
      </c>
      <c r="E8" s="201" t="s">
        <v>248</v>
      </c>
      <c r="F8" s="202" t="s">
        <v>249</v>
      </c>
      <c r="G8" s="203" t="s">
        <v>250</v>
      </c>
      <c r="H8" s="203" t="s">
        <v>250</v>
      </c>
      <c r="I8" s="203"/>
      <c r="J8" s="203"/>
      <c r="K8" s="203"/>
      <c r="L8" s="203"/>
      <c r="M8" s="203"/>
      <c r="N8" s="207" t="s">
        <v>251</v>
      </c>
    </row>
    <row r="9" spans="1:14">
      <c r="A9" s="197">
        <v>2</v>
      </c>
      <c r="B9" s="198">
        <v>62130334</v>
      </c>
      <c r="C9" s="199" t="s">
        <v>252</v>
      </c>
      <c r="D9" s="200" t="s">
        <v>253</v>
      </c>
      <c r="E9" s="201" t="s">
        <v>254</v>
      </c>
      <c r="F9" s="202" t="s">
        <v>249</v>
      </c>
      <c r="G9" s="203"/>
      <c r="H9" s="203" t="s">
        <v>250</v>
      </c>
      <c r="I9" s="203"/>
      <c r="J9" s="203"/>
      <c r="K9" s="203"/>
      <c r="L9" s="203"/>
      <c r="M9" s="203"/>
      <c r="N9" s="207" t="s">
        <v>255</v>
      </c>
    </row>
    <row r="10" spans="1:14">
      <c r="A10" s="197">
        <v>3</v>
      </c>
      <c r="B10" s="198">
        <v>62132975</v>
      </c>
      <c r="C10" s="199" t="s">
        <v>256</v>
      </c>
      <c r="D10" s="200" t="s">
        <v>253</v>
      </c>
      <c r="E10" s="201" t="s">
        <v>257</v>
      </c>
      <c r="F10" s="202" t="s">
        <v>249</v>
      </c>
      <c r="G10" s="203"/>
      <c r="H10" s="203" t="s">
        <v>258</v>
      </c>
      <c r="I10" s="203"/>
      <c r="J10" s="203"/>
      <c r="K10" s="203"/>
      <c r="L10" s="203"/>
      <c r="M10" s="203"/>
      <c r="N10" s="207" t="s">
        <v>259</v>
      </c>
    </row>
    <row r="11" spans="1:14">
      <c r="A11" s="197">
        <v>4</v>
      </c>
      <c r="B11" s="198">
        <v>62130198</v>
      </c>
      <c r="C11" s="199" t="s">
        <v>260</v>
      </c>
      <c r="D11" s="200" t="s">
        <v>261</v>
      </c>
      <c r="E11" s="201" t="s">
        <v>262</v>
      </c>
      <c r="F11" s="202" t="s">
        <v>249</v>
      </c>
      <c r="G11" s="203" t="s">
        <v>258</v>
      </c>
      <c r="H11" s="203"/>
      <c r="I11" s="203"/>
      <c r="J11" s="203"/>
      <c r="K11" s="203"/>
      <c r="L11" s="203"/>
      <c r="M11" s="203"/>
      <c r="N11" s="207" t="s">
        <v>263</v>
      </c>
    </row>
    <row r="12" spans="1:14">
      <c r="A12" s="197">
        <v>5</v>
      </c>
      <c r="B12" s="198">
        <v>62132956</v>
      </c>
      <c r="C12" s="199" t="s">
        <v>264</v>
      </c>
      <c r="D12" s="200" t="s">
        <v>265</v>
      </c>
      <c r="E12" s="201" t="s">
        <v>266</v>
      </c>
      <c r="F12" s="202" t="s">
        <v>249</v>
      </c>
      <c r="G12" s="203"/>
      <c r="H12" s="203"/>
      <c r="I12" s="203"/>
      <c r="J12" s="203"/>
      <c r="K12" s="203"/>
      <c r="L12" s="203"/>
      <c r="M12" s="203"/>
      <c r="N12" s="207" t="s">
        <v>267</v>
      </c>
    </row>
    <row r="13" spans="1:14">
      <c r="A13" s="197">
        <v>6</v>
      </c>
      <c r="B13" s="198">
        <v>62130239</v>
      </c>
      <c r="C13" s="199" t="s">
        <v>268</v>
      </c>
      <c r="D13" s="200" t="s">
        <v>269</v>
      </c>
      <c r="E13" s="201" t="s">
        <v>270</v>
      </c>
      <c r="F13" s="202" t="s">
        <v>249</v>
      </c>
      <c r="G13" s="203" t="s">
        <v>250</v>
      </c>
      <c r="H13" s="203" t="s">
        <v>258</v>
      </c>
      <c r="I13" s="203"/>
      <c r="J13" s="203"/>
      <c r="K13" s="203"/>
      <c r="L13" s="203"/>
      <c r="M13" s="203"/>
      <c r="N13" s="207" t="s">
        <v>271</v>
      </c>
    </row>
    <row r="14" spans="1:14">
      <c r="A14" s="197">
        <v>7</v>
      </c>
      <c r="B14" s="198">
        <v>62130290</v>
      </c>
      <c r="C14" s="199" t="s">
        <v>272</v>
      </c>
      <c r="D14" s="200" t="s">
        <v>273</v>
      </c>
      <c r="E14" s="201" t="s">
        <v>274</v>
      </c>
      <c r="F14" s="202" t="s">
        <v>249</v>
      </c>
      <c r="G14" s="203" t="s">
        <v>250</v>
      </c>
      <c r="H14" s="203" t="s">
        <v>258</v>
      </c>
      <c r="I14" s="203"/>
      <c r="J14" s="203"/>
      <c r="K14" s="203"/>
      <c r="L14" s="203"/>
      <c r="M14" s="203"/>
      <c r="N14" s="207" t="s">
        <v>275</v>
      </c>
    </row>
    <row r="15" spans="1:14">
      <c r="A15" s="197">
        <v>8</v>
      </c>
      <c r="B15" s="198">
        <v>62130443</v>
      </c>
      <c r="C15" s="199" t="s">
        <v>276</v>
      </c>
      <c r="D15" s="200" t="s">
        <v>277</v>
      </c>
      <c r="E15" s="201" t="s">
        <v>278</v>
      </c>
      <c r="F15" s="202" t="s">
        <v>249</v>
      </c>
      <c r="G15" s="203" t="s">
        <v>250</v>
      </c>
      <c r="H15" s="203" t="s">
        <v>258</v>
      </c>
      <c r="I15" s="203"/>
      <c r="J15" s="203"/>
      <c r="K15" s="203"/>
      <c r="L15" s="203"/>
      <c r="M15" s="203"/>
      <c r="N15" s="207" t="s">
        <v>279</v>
      </c>
    </row>
    <row r="16" spans="1:14">
      <c r="A16" s="197">
        <v>9</v>
      </c>
      <c r="B16" s="198">
        <v>62130550</v>
      </c>
      <c r="C16" s="199" t="s">
        <v>280</v>
      </c>
      <c r="D16" s="200" t="s">
        <v>281</v>
      </c>
      <c r="E16" s="201" t="s">
        <v>282</v>
      </c>
      <c r="F16" s="202" t="s">
        <v>283</v>
      </c>
      <c r="G16" s="203" t="s">
        <v>250</v>
      </c>
      <c r="H16" s="203" t="s">
        <v>258</v>
      </c>
      <c r="I16" s="203"/>
      <c r="J16" s="203"/>
      <c r="K16" s="203"/>
      <c r="L16" s="203"/>
      <c r="M16" s="203"/>
      <c r="N16" s="207" t="s">
        <v>284</v>
      </c>
    </row>
    <row r="17" spans="1:18">
      <c r="A17" s="197">
        <v>10</v>
      </c>
      <c r="B17" s="198">
        <v>62130554</v>
      </c>
      <c r="C17" s="199" t="s">
        <v>285</v>
      </c>
      <c r="D17" s="200" t="s">
        <v>286</v>
      </c>
      <c r="E17" s="201" t="s">
        <v>287</v>
      </c>
      <c r="F17" s="202" t="s">
        <v>249</v>
      </c>
      <c r="G17" s="203" t="s">
        <v>250</v>
      </c>
      <c r="H17" s="203"/>
      <c r="I17" s="203"/>
      <c r="J17" s="203"/>
      <c r="K17" s="203"/>
      <c r="L17" s="203"/>
      <c r="M17" s="203"/>
      <c r="N17" s="207" t="s">
        <v>288</v>
      </c>
    </row>
    <row r="18" spans="1:18">
      <c r="A18" s="197">
        <v>11</v>
      </c>
      <c r="B18" s="198">
        <v>62130650</v>
      </c>
      <c r="C18" s="199" t="s">
        <v>289</v>
      </c>
      <c r="D18" s="200" t="s">
        <v>290</v>
      </c>
      <c r="E18" s="201" t="s">
        <v>291</v>
      </c>
      <c r="F18" s="202" t="s">
        <v>249</v>
      </c>
      <c r="G18" s="203" t="s">
        <v>250</v>
      </c>
      <c r="H18" s="203"/>
      <c r="I18" s="203"/>
      <c r="J18" s="203"/>
      <c r="K18" s="203"/>
      <c r="L18" s="203"/>
      <c r="M18" s="203"/>
      <c r="N18" s="207" t="s">
        <v>292</v>
      </c>
    </row>
    <row r="19" spans="1:18">
      <c r="A19" s="197">
        <v>12</v>
      </c>
      <c r="B19" s="198">
        <v>62130739</v>
      </c>
      <c r="C19" s="199" t="s">
        <v>293</v>
      </c>
      <c r="D19" s="200" t="s">
        <v>294</v>
      </c>
      <c r="E19" s="201" t="s">
        <v>295</v>
      </c>
      <c r="F19" s="202" t="s">
        <v>249</v>
      </c>
      <c r="G19" s="203" t="s">
        <v>250</v>
      </c>
      <c r="H19" s="203"/>
      <c r="I19" s="203"/>
      <c r="J19" s="203"/>
      <c r="K19" s="203"/>
      <c r="L19" s="203"/>
      <c r="M19" s="203"/>
      <c r="N19" s="207" t="s">
        <v>296</v>
      </c>
    </row>
    <row r="20" spans="1:18">
      <c r="A20" s="197">
        <v>13</v>
      </c>
      <c r="B20" s="198">
        <v>62130756</v>
      </c>
      <c r="C20" s="199" t="s">
        <v>297</v>
      </c>
      <c r="D20" s="200" t="s">
        <v>294</v>
      </c>
      <c r="E20" s="201" t="s">
        <v>298</v>
      </c>
      <c r="F20" s="202" t="s">
        <v>249</v>
      </c>
      <c r="G20" s="203"/>
      <c r="H20" s="203"/>
      <c r="I20" s="203"/>
      <c r="J20" s="203"/>
      <c r="K20" s="203"/>
      <c r="L20" s="203"/>
      <c r="M20" s="203"/>
      <c r="N20" s="207" t="s">
        <v>299</v>
      </c>
    </row>
    <row r="21" spans="1:18">
      <c r="A21" s="197">
        <v>14</v>
      </c>
      <c r="B21" s="198">
        <v>62130769</v>
      </c>
      <c r="C21" s="199" t="s">
        <v>300</v>
      </c>
      <c r="D21" s="200" t="s">
        <v>294</v>
      </c>
      <c r="E21" s="201" t="s">
        <v>301</v>
      </c>
      <c r="F21" s="202" t="s">
        <v>249</v>
      </c>
      <c r="G21" s="203"/>
      <c r="H21" s="203"/>
      <c r="I21" s="203"/>
      <c r="J21" s="203"/>
      <c r="K21" s="203"/>
      <c r="L21" s="203"/>
      <c r="M21" s="203"/>
      <c r="N21" s="207" t="s">
        <v>302</v>
      </c>
    </row>
    <row r="22" spans="1:18">
      <c r="A22" s="197">
        <v>15</v>
      </c>
      <c r="B22" s="198">
        <v>62130816</v>
      </c>
      <c r="C22" s="199" t="s">
        <v>303</v>
      </c>
      <c r="D22" s="200" t="s">
        <v>304</v>
      </c>
      <c r="E22" s="201" t="s">
        <v>305</v>
      </c>
      <c r="F22" s="202" t="s">
        <v>249</v>
      </c>
      <c r="G22" s="203" t="s">
        <v>250</v>
      </c>
      <c r="H22" s="203" t="s">
        <v>258</v>
      </c>
      <c r="I22" s="203"/>
      <c r="J22" s="203"/>
      <c r="K22" s="203"/>
      <c r="L22" s="203"/>
      <c r="M22" s="203"/>
      <c r="N22" s="207" t="s">
        <v>306</v>
      </c>
    </row>
    <row r="23" spans="1:18">
      <c r="A23" s="197">
        <v>16</v>
      </c>
      <c r="B23" s="198">
        <v>62133083</v>
      </c>
      <c r="C23" s="199" t="s">
        <v>307</v>
      </c>
      <c r="D23" s="200" t="s">
        <v>308</v>
      </c>
      <c r="E23" s="201" t="s">
        <v>309</v>
      </c>
      <c r="F23" s="202" t="s">
        <v>249</v>
      </c>
      <c r="G23" s="203" t="s">
        <v>258</v>
      </c>
      <c r="H23" s="203" t="s">
        <v>250</v>
      </c>
      <c r="I23" s="203"/>
      <c r="J23" s="203"/>
      <c r="K23" s="203"/>
      <c r="L23" s="203"/>
      <c r="M23" s="203"/>
      <c r="N23" s="207" t="s">
        <v>310</v>
      </c>
    </row>
    <row r="24" spans="1:18">
      <c r="A24" s="197">
        <v>17</v>
      </c>
      <c r="B24" s="198">
        <v>62131012</v>
      </c>
      <c r="C24" s="199" t="s">
        <v>311</v>
      </c>
      <c r="D24" s="200" t="s">
        <v>312</v>
      </c>
      <c r="E24" s="201" t="s">
        <v>313</v>
      </c>
      <c r="F24" s="202" t="s">
        <v>249</v>
      </c>
      <c r="G24" s="203" t="s">
        <v>250</v>
      </c>
      <c r="H24" s="203"/>
      <c r="I24" s="203"/>
      <c r="J24" s="203"/>
      <c r="K24" s="203"/>
      <c r="L24" s="203"/>
      <c r="M24" s="203"/>
      <c r="N24" s="207" t="s">
        <v>314</v>
      </c>
      <c r="R24" t="s">
        <v>315</v>
      </c>
    </row>
    <row r="25" spans="1:18">
      <c r="A25" s="197">
        <v>18</v>
      </c>
      <c r="B25" s="198">
        <v>62131031</v>
      </c>
      <c r="C25" s="199" t="s">
        <v>316</v>
      </c>
      <c r="D25" s="200" t="s">
        <v>317</v>
      </c>
      <c r="E25" s="201" t="s">
        <v>318</v>
      </c>
      <c r="F25" s="202" t="s">
        <v>249</v>
      </c>
      <c r="G25" s="203" t="s">
        <v>250</v>
      </c>
      <c r="H25" s="203"/>
      <c r="I25" s="203"/>
      <c r="J25" s="203"/>
      <c r="K25" s="203"/>
      <c r="L25" s="203"/>
      <c r="M25" s="203"/>
      <c r="N25" s="207" t="s">
        <v>319</v>
      </c>
    </row>
    <row r="26" spans="1:18">
      <c r="A26" s="197">
        <v>19</v>
      </c>
      <c r="B26" s="198">
        <v>62131050</v>
      </c>
      <c r="C26" s="199" t="s">
        <v>320</v>
      </c>
      <c r="D26" s="200" t="s">
        <v>321</v>
      </c>
      <c r="E26" s="201" t="s">
        <v>322</v>
      </c>
      <c r="F26" s="202" t="s">
        <v>249</v>
      </c>
      <c r="G26" s="203" t="s">
        <v>258</v>
      </c>
      <c r="H26" s="203"/>
      <c r="I26" s="203"/>
      <c r="J26" s="203"/>
      <c r="K26" s="203"/>
      <c r="L26" s="203"/>
      <c r="M26" s="203"/>
      <c r="N26" s="207" t="s">
        <v>323</v>
      </c>
    </row>
    <row r="27" spans="1:18">
      <c r="A27" s="197">
        <v>20</v>
      </c>
      <c r="B27" s="198">
        <v>62131056</v>
      </c>
      <c r="C27" s="199" t="s">
        <v>324</v>
      </c>
      <c r="D27" s="200" t="s">
        <v>325</v>
      </c>
      <c r="E27" s="201" t="s">
        <v>326</v>
      </c>
      <c r="F27" s="202" t="s">
        <v>249</v>
      </c>
      <c r="G27" s="203" t="s">
        <v>258</v>
      </c>
      <c r="H27" s="203"/>
      <c r="I27" s="203"/>
      <c r="J27" s="203"/>
      <c r="K27" s="203"/>
      <c r="L27" s="203"/>
      <c r="M27" s="203"/>
      <c r="N27" s="207" t="s">
        <v>327</v>
      </c>
    </row>
    <row r="28" spans="1:18">
      <c r="A28" s="197">
        <v>21</v>
      </c>
      <c r="B28" s="198">
        <v>62131272</v>
      </c>
      <c r="C28" s="199" t="s">
        <v>328</v>
      </c>
      <c r="D28" s="200" t="s">
        <v>329</v>
      </c>
      <c r="E28" s="201" t="s">
        <v>330</v>
      </c>
      <c r="F28" s="202" t="s">
        <v>249</v>
      </c>
      <c r="G28" s="203"/>
      <c r="H28" s="203"/>
      <c r="I28" s="203"/>
      <c r="J28" s="203"/>
      <c r="K28" s="203"/>
      <c r="L28" s="203"/>
      <c r="M28" s="203"/>
      <c r="N28" s="207" t="s">
        <v>331</v>
      </c>
    </row>
    <row r="29" spans="1:18">
      <c r="A29" s="197">
        <v>22</v>
      </c>
      <c r="B29" s="198">
        <v>62133150</v>
      </c>
      <c r="C29" s="199" t="s">
        <v>332</v>
      </c>
      <c r="D29" s="200" t="s">
        <v>333</v>
      </c>
      <c r="E29" s="201" t="s">
        <v>334</v>
      </c>
      <c r="F29" s="202" t="s">
        <v>249</v>
      </c>
      <c r="G29" s="203"/>
      <c r="H29" s="203"/>
      <c r="I29" s="203"/>
      <c r="J29" s="203"/>
      <c r="K29" s="203"/>
      <c r="L29" s="203"/>
      <c r="M29" s="203"/>
      <c r="N29" s="207" t="s">
        <v>335</v>
      </c>
    </row>
    <row r="30" spans="1:18">
      <c r="A30" s="197">
        <v>23</v>
      </c>
      <c r="B30" s="198">
        <v>62131377</v>
      </c>
      <c r="C30" s="199" t="s">
        <v>336</v>
      </c>
      <c r="D30" s="200" t="s">
        <v>337</v>
      </c>
      <c r="E30" s="201" t="s">
        <v>338</v>
      </c>
      <c r="F30" s="202" t="s">
        <v>249</v>
      </c>
      <c r="G30" s="203" t="s">
        <v>258</v>
      </c>
      <c r="H30" s="203"/>
      <c r="I30" s="203"/>
      <c r="J30" s="203"/>
      <c r="K30" s="203"/>
      <c r="L30" s="203"/>
      <c r="M30" s="203"/>
      <c r="N30" s="207" t="s">
        <v>339</v>
      </c>
    </row>
    <row r="31" spans="1:18">
      <c r="A31" s="197">
        <v>24</v>
      </c>
      <c r="B31" s="198">
        <v>62132906</v>
      </c>
      <c r="C31" s="199" t="s">
        <v>340</v>
      </c>
      <c r="D31" s="200" t="s">
        <v>341</v>
      </c>
      <c r="E31" s="201" t="s">
        <v>254</v>
      </c>
      <c r="F31" s="202" t="s">
        <v>249</v>
      </c>
      <c r="G31" s="203" t="s">
        <v>250</v>
      </c>
      <c r="H31" s="203"/>
      <c r="I31" s="203"/>
      <c r="J31" s="203"/>
      <c r="K31" s="203"/>
      <c r="L31" s="203"/>
      <c r="M31" s="203"/>
      <c r="N31" s="207" t="s">
        <v>342</v>
      </c>
    </row>
    <row r="32" spans="1:18">
      <c r="A32" s="197">
        <v>25</v>
      </c>
      <c r="B32" s="198">
        <v>62131530</v>
      </c>
      <c r="C32" s="199" t="s">
        <v>343</v>
      </c>
      <c r="D32" s="200" t="s">
        <v>344</v>
      </c>
      <c r="E32" s="201" t="s">
        <v>345</v>
      </c>
      <c r="F32" s="202" t="s">
        <v>249</v>
      </c>
      <c r="G32" s="203" t="s">
        <v>250</v>
      </c>
      <c r="H32" s="203"/>
      <c r="I32" s="203"/>
      <c r="J32" s="203"/>
      <c r="K32" s="203"/>
      <c r="L32" s="203"/>
      <c r="M32" s="203"/>
      <c r="N32" s="207" t="s">
        <v>346</v>
      </c>
    </row>
    <row r="33" spans="1:14">
      <c r="A33" s="197">
        <v>26</v>
      </c>
      <c r="B33" s="198">
        <v>62131546</v>
      </c>
      <c r="C33" s="199" t="s">
        <v>347</v>
      </c>
      <c r="D33" s="200" t="s">
        <v>348</v>
      </c>
      <c r="E33" s="201" t="s">
        <v>349</v>
      </c>
      <c r="F33" s="202" t="s">
        <v>249</v>
      </c>
      <c r="G33" s="203"/>
      <c r="H33" s="203"/>
      <c r="I33" s="203"/>
      <c r="J33" s="203"/>
      <c r="K33" s="203"/>
      <c r="L33" s="203"/>
      <c r="M33" s="203"/>
      <c r="N33" s="207" t="s">
        <v>350</v>
      </c>
    </row>
    <row r="34" spans="1:14">
      <c r="A34" s="197">
        <v>27</v>
      </c>
      <c r="B34" s="198">
        <v>62133188</v>
      </c>
      <c r="C34" s="199" t="s">
        <v>351</v>
      </c>
      <c r="D34" s="200" t="s">
        <v>352</v>
      </c>
      <c r="E34" s="201" t="s">
        <v>353</v>
      </c>
      <c r="F34" s="202" t="s">
        <v>249</v>
      </c>
      <c r="G34" s="203"/>
      <c r="H34" s="203"/>
      <c r="I34" s="203"/>
      <c r="J34" s="203"/>
      <c r="K34" s="203"/>
      <c r="L34" s="203"/>
      <c r="M34" s="203"/>
      <c r="N34" s="207" t="s">
        <v>354</v>
      </c>
    </row>
    <row r="35" spans="1:14">
      <c r="A35" s="197">
        <v>28</v>
      </c>
      <c r="B35" s="198">
        <v>62139091</v>
      </c>
      <c r="C35" s="199" t="s">
        <v>355</v>
      </c>
      <c r="D35" s="200" t="s">
        <v>352</v>
      </c>
      <c r="E35" s="201" t="s">
        <v>356</v>
      </c>
      <c r="F35" s="202" t="s">
        <v>249</v>
      </c>
      <c r="G35" s="203"/>
      <c r="H35" s="203"/>
      <c r="I35" s="203"/>
      <c r="J35" s="203"/>
      <c r="K35" s="203"/>
      <c r="L35" s="203"/>
      <c r="M35" s="203"/>
      <c r="N35" s="207" t="s">
        <v>357</v>
      </c>
    </row>
    <row r="36" spans="1:14">
      <c r="A36" s="197">
        <v>29</v>
      </c>
      <c r="B36" s="198">
        <v>62131638</v>
      </c>
      <c r="C36" s="199" t="s">
        <v>358</v>
      </c>
      <c r="D36" s="200" t="s">
        <v>359</v>
      </c>
      <c r="E36" s="201" t="s">
        <v>360</v>
      </c>
      <c r="F36" s="202" t="s">
        <v>249</v>
      </c>
      <c r="G36" s="203" t="s">
        <v>250</v>
      </c>
      <c r="H36" s="203"/>
      <c r="I36" s="203"/>
      <c r="J36" s="203"/>
      <c r="K36" s="203"/>
      <c r="L36" s="203"/>
      <c r="M36" s="203"/>
      <c r="N36" s="207" t="s">
        <v>361</v>
      </c>
    </row>
    <row r="37" spans="1:14">
      <c r="A37" s="197">
        <v>30</v>
      </c>
      <c r="B37" s="198">
        <v>62131658</v>
      </c>
      <c r="C37" s="199" t="s">
        <v>362</v>
      </c>
      <c r="D37" s="200" t="s">
        <v>363</v>
      </c>
      <c r="E37" s="201" t="s">
        <v>364</v>
      </c>
      <c r="F37" s="202" t="s">
        <v>249</v>
      </c>
      <c r="G37" s="203"/>
      <c r="H37" s="203"/>
      <c r="I37" s="203"/>
      <c r="J37" s="203"/>
      <c r="K37" s="203"/>
      <c r="L37" s="203"/>
      <c r="M37" s="203"/>
      <c r="N37" s="207" t="s">
        <v>365</v>
      </c>
    </row>
    <row r="38" spans="1:14">
      <c r="A38" s="197">
        <v>31</v>
      </c>
      <c r="B38" s="198">
        <v>62131810</v>
      </c>
      <c r="C38" s="199" t="s">
        <v>366</v>
      </c>
      <c r="D38" s="200" t="s">
        <v>367</v>
      </c>
      <c r="E38" s="201" t="s">
        <v>368</v>
      </c>
      <c r="F38" s="202" t="s">
        <v>249</v>
      </c>
      <c r="G38" s="203" t="s">
        <v>250</v>
      </c>
      <c r="H38" s="203" t="s">
        <v>250</v>
      </c>
      <c r="I38" s="203"/>
      <c r="J38" s="203"/>
      <c r="K38" s="203"/>
      <c r="L38" s="203"/>
      <c r="M38" s="203"/>
      <c r="N38" s="207" t="s">
        <v>369</v>
      </c>
    </row>
    <row r="39" spans="1:14">
      <c r="A39" s="197">
        <v>32</v>
      </c>
      <c r="B39" s="198">
        <v>62131822</v>
      </c>
      <c r="C39" s="199" t="s">
        <v>370</v>
      </c>
      <c r="D39" s="200" t="s">
        <v>371</v>
      </c>
      <c r="E39" s="201" t="s">
        <v>372</v>
      </c>
      <c r="F39" s="202" t="s">
        <v>249</v>
      </c>
      <c r="G39" s="203"/>
      <c r="H39" s="203"/>
      <c r="I39" s="203"/>
      <c r="J39" s="203"/>
      <c r="K39" s="203"/>
      <c r="L39" s="203"/>
      <c r="M39" s="203"/>
      <c r="N39" s="207" t="s">
        <v>373</v>
      </c>
    </row>
    <row r="40" spans="1:14">
      <c r="A40" s="197">
        <v>33</v>
      </c>
      <c r="B40" s="198">
        <v>62131838</v>
      </c>
      <c r="C40" s="199" t="s">
        <v>374</v>
      </c>
      <c r="D40" s="200" t="s">
        <v>375</v>
      </c>
      <c r="E40" s="201" t="s">
        <v>376</v>
      </c>
      <c r="F40" s="202" t="s">
        <v>249</v>
      </c>
      <c r="G40" s="203" t="s">
        <v>258</v>
      </c>
      <c r="H40" s="203" t="s">
        <v>258</v>
      </c>
      <c r="I40" s="203"/>
      <c r="J40" s="203"/>
      <c r="K40" s="203"/>
      <c r="L40" s="203"/>
      <c r="M40" s="203"/>
      <c r="N40" s="207" t="s">
        <v>377</v>
      </c>
    </row>
    <row r="41" spans="1:14">
      <c r="A41" s="197">
        <v>34</v>
      </c>
      <c r="B41" s="198">
        <v>62131847</v>
      </c>
      <c r="C41" s="199" t="s">
        <v>378</v>
      </c>
      <c r="D41" s="200" t="s">
        <v>375</v>
      </c>
      <c r="E41" s="201" t="s">
        <v>379</v>
      </c>
      <c r="F41" s="202" t="s">
        <v>249</v>
      </c>
      <c r="G41" s="203"/>
      <c r="H41" s="203"/>
      <c r="I41" s="203"/>
      <c r="J41" s="203"/>
      <c r="K41" s="203"/>
      <c r="L41" s="203"/>
      <c r="M41" s="203"/>
      <c r="N41" s="207" t="s">
        <v>380</v>
      </c>
    </row>
    <row r="42" spans="1:14">
      <c r="A42" s="197">
        <v>35</v>
      </c>
      <c r="B42" s="198">
        <v>62131871</v>
      </c>
      <c r="C42" s="199" t="s">
        <v>381</v>
      </c>
      <c r="D42" s="200" t="s">
        <v>382</v>
      </c>
      <c r="E42" s="201" t="s">
        <v>368</v>
      </c>
      <c r="F42" s="202" t="s">
        <v>249</v>
      </c>
      <c r="G42" s="203" t="s">
        <v>250</v>
      </c>
      <c r="H42" s="203"/>
      <c r="I42" s="203"/>
      <c r="J42" s="203"/>
      <c r="K42" s="203"/>
      <c r="L42" s="203"/>
      <c r="M42" s="203"/>
      <c r="N42" s="207" t="s">
        <v>383</v>
      </c>
    </row>
    <row r="43" spans="1:14">
      <c r="A43" s="197">
        <v>36</v>
      </c>
      <c r="B43" s="198">
        <v>62131916</v>
      </c>
      <c r="C43" s="199" t="s">
        <v>384</v>
      </c>
      <c r="D43" s="200" t="s">
        <v>385</v>
      </c>
      <c r="E43" s="201" t="s">
        <v>386</v>
      </c>
      <c r="F43" s="202" t="s">
        <v>249</v>
      </c>
      <c r="G43" s="203" t="s">
        <v>250</v>
      </c>
      <c r="H43" s="203"/>
      <c r="I43" s="203"/>
      <c r="J43" s="203"/>
      <c r="K43" s="203"/>
      <c r="L43" s="203"/>
      <c r="M43" s="203"/>
      <c r="N43" s="207" t="s">
        <v>387</v>
      </c>
    </row>
    <row r="44" spans="1:14">
      <c r="A44" s="197">
        <v>37</v>
      </c>
      <c r="B44" s="198">
        <v>62132054</v>
      </c>
      <c r="C44" s="199" t="s">
        <v>388</v>
      </c>
      <c r="D44" s="200" t="s">
        <v>389</v>
      </c>
      <c r="E44" s="201" t="s">
        <v>390</v>
      </c>
      <c r="F44" s="202" t="s">
        <v>249</v>
      </c>
      <c r="G44" s="203"/>
      <c r="H44" s="203"/>
      <c r="I44" s="203"/>
      <c r="J44" s="203"/>
      <c r="K44" s="203"/>
      <c r="L44" s="203"/>
      <c r="M44" s="203"/>
      <c r="N44" s="207" t="s">
        <v>391</v>
      </c>
    </row>
    <row r="45" spans="1:14">
      <c r="A45" s="197">
        <v>38</v>
      </c>
      <c r="B45" s="198">
        <v>62132150</v>
      </c>
      <c r="C45" s="199" t="s">
        <v>392</v>
      </c>
      <c r="D45" s="200" t="s">
        <v>393</v>
      </c>
      <c r="E45" s="201" t="s">
        <v>394</v>
      </c>
      <c r="F45" s="202" t="s">
        <v>249</v>
      </c>
      <c r="G45" s="203"/>
      <c r="H45" s="203"/>
      <c r="I45" s="203"/>
      <c r="J45" s="203"/>
      <c r="K45" s="203"/>
      <c r="L45" s="203"/>
      <c r="M45" s="203"/>
      <c r="N45" s="207" t="s">
        <v>395</v>
      </c>
    </row>
    <row r="46" spans="1:14">
      <c r="A46" s="197">
        <v>39</v>
      </c>
      <c r="B46" s="198">
        <v>62132216</v>
      </c>
      <c r="C46" s="199" t="s">
        <v>396</v>
      </c>
      <c r="D46" s="200" t="s">
        <v>397</v>
      </c>
      <c r="E46" s="201" t="s">
        <v>398</v>
      </c>
      <c r="F46" s="202" t="s">
        <v>249</v>
      </c>
      <c r="G46" s="203"/>
      <c r="H46" s="203"/>
      <c r="I46" s="203"/>
      <c r="J46" s="203"/>
      <c r="K46" s="203"/>
      <c r="L46" s="203"/>
      <c r="M46" s="203"/>
      <c r="N46" s="207" t="s">
        <v>399</v>
      </c>
    </row>
    <row r="47" spans="1:14">
      <c r="A47" s="197">
        <v>40</v>
      </c>
      <c r="B47" s="198">
        <v>62133302</v>
      </c>
      <c r="C47" s="199" t="s">
        <v>256</v>
      </c>
      <c r="D47" s="200" t="s">
        <v>400</v>
      </c>
      <c r="E47" s="201" t="s">
        <v>401</v>
      </c>
      <c r="F47" s="202" t="s">
        <v>249</v>
      </c>
      <c r="G47" s="203" t="s">
        <v>250</v>
      </c>
      <c r="H47" s="203"/>
      <c r="I47" s="203"/>
      <c r="J47" s="203"/>
      <c r="K47" s="203"/>
      <c r="L47" s="203"/>
      <c r="M47" s="203"/>
      <c r="N47" s="207" t="s">
        <v>402</v>
      </c>
    </row>
    <row r="48" spans="1:14">
      <c r="A48" s="197">
        <v>41</v>
      </c>
      <c r="B48" s="198">
        <v>62132251</v>
      </c>
      <c r="C48" s="199" t="s">
        <v>403</v>
      </c>
      <c r="D48" s="200" t="s">
        <v>404</v>
      </c>
      <c r="E48" s="201" t="s">
        <v>405</v>
      </c>
      <c r="F48" s="202" t="s">
        <v>249</v>
      </c>
      <c r="G48" s="203" t="s">
        <v>250</v>
      </c>
      <c r="H48" s="203"/>
      <c r="I48" s="203"/>
      <c r="J48" s="203"/>
      <c r="K48" s="203"/>
      <c r="L48" s="203"/>
      <c r="M48" s="203"/>
      <c r="N48" s="207" t="s">
        <v>406</v>
      </c>
    </row>
    <row r="49" spans="1:18">
      <c r="A49" s="197">
        <v>42</v>
      </c>
      <c r="B49" s="198">
        <v>62133321</v>
      </c>
      <c r="C49" s="199" t="s">
        <v>407</v>
      </c>
      <c r="D49" s="200" t="s">
        <v>408</v>
      </c>
      <c r="E49" s="201" t="s">
        <v>409</v>
      </c>
      <c r="F49" s="202" t="s">
        <v>249</v>
      </c>
      <c r="G49" s="203"/>
      <c r="H49" s="203"/>
      <c r="I49" s="203"/>
      <c r="J49" s="203"/>
      <c r="K49" s="203"/>
      <c r="L49" s="203"/>
      <c r="M49" s="203"/>
      <c r="N49" s="207" t="s">
        <v>410</v>
      </c>
    </row>
    <row r="50" spans="1:18">
      <c r="A50" s="197">
        <v>43</v>
      </c>
      <c r="B50" s="198">
        <v>62133338</v>
      </c>
      <c r="C50" s="199" t="s">
        <v>411</v>
      </c>
      <c r="D50" s="200" t="s">
        <v>412</v>
      </c>
      <c r="E50" s="201" t="s">
        <v>413</v>
      </c>
      <c r="F50" s="202" t="s">
        <v>249</v>
      </c>
      <c r="G50" s="203"/>
      <c r="H50" s="203"/>
      <c r="I50" s="203"/>
      <c r="J50" s="203"/>
      <c r="K50" s="203"/>
      <c r="L50" s="203"/>
      <c r="M50" s="203"/>
      <c r="N50" s="207" t="s">
        <v>414</v>
      </c>
    </row>
    <row r="51" spans="1:18">
      <c r="A51" s="197">
        <v>44</v>
      </c>
      <c r="B51" s="198">
        <v>62132427</v>
      </c>
      <c r="C51" s="199" t="s">
        <v>415</v>
      </c>
      <c r="D51" s="200" t="s">
        <v>416</v>
      </c>
      <c r="E51" s="201" t="s">
        <v>417</v>
      </c>
      <c r="F51" s="202" t="s">
        <v>249</v>
      </c>
      <c r="G51" s="203"/>
      <c r="H51" s="203"/>
      <c r="I51" s="203"/>
      <c r="J51" s="203"/>
      <c r="K51" s="203"/>
      <c r="L51" s="203"/>
      <c r="M51" s="203"/>
      <c r="N51" s="207" t="s">
        <v>418</v>
      </c>
    </row>
    <row r="52" spans="1:18">
      <c r="A52" s="197">
        <v>45</v>
      </c>
      <c r="B52" s="198">
        <v>62133348</v>
      </c>
      <c r="C52" s="199" t="s">
        <v>419</v>
      </c>
      <c r="D52" s="200" t="s">
        <v>420</v>
      </c>
      <c r="E52" s="201" t="s">
        <v>421</v>
      </c>
      <c r="F52" s="202" t="s">
        <v>249</v>
      </c>
      <c r="G52" s="203"/>
      <c r="H52" s="203"/>
      <c r="I52" s="203"/>
      <c r="J52" s="203"/>
      <c r="K52" s="203"/>
      <c r="L52" s="203"/>
      <c r="M52" s="203"/>
      <c r="N52" s="207" t="s">
        <v>422</v>
      </c>
    </row>
    <row r="53" spans="1:18">
      <c r="A53" s="197">
        <v>46</v>
      </c>
      <c r="B53" s="198">
        <v>62133352</v>
      </c>
      <c r="C53" s="199" t="s">
        <v>423</v>
      </c>
      <c r="D53" s="200" t="s">
        <v>424</v>
      </c>
      <c r="E53" s="201" t="s">
        <v>425</v>
      </c>
      <c r="F53" s="202" t="s">
        <v>249</v>
      </c>
      <c r="G53" s="203" t="s">
        <v>250</v>
      </c>
      <c r="H53" s="203"/>
      <c r="I53" s="203"/>
      <c r="J53" s="203"/>
      <c r="K53" s="203"/>
      <c r="L53" s="203"/>
      <c r="M53" s="203"/>
      <c r="N53" s="207" t="s">
        <v>426</v>
      </c>
    </row>
    <row r="54" spans="1:18">
      <c r="A54" s="197">
        <v>47</v>
      </c>
      <c r="B54" s="198">
        <v>62132490</v>
      </c>
      <c r="C54" s="199" t="s">
        <v>427</v>
      </c>
      <c r="D54" s="200" t="s">
        <v>428</v>
      </c>
      <c r="E54" s="201" t="s">
        <v>349</v>
      </c>
      <c r="F54" s="202" t="s">
        <v>249</v>
      </c>
      <c r="G54" s="203"/>
      <c r="H54" s="203"/>
      <c r="I54" s="203"/>
      <c r="J54" s="203"/>
      <c r="K54" s="203"/>
      <c r="L54" s="203"/>
      <c r="M54" s="203"/>
      <c r="N54" s="207" t="s">
        <v>429</v>
      </c>
    </row>
    <row r="55" spans="1:18">
      <c r="A55" s="197">
        <v>48</v>
      </c>
      <c r="B55" s="198">
        <v>62132537</v>
      </c>
      <c r="C55" s="199" t="s">
        <v>430</v>
      </c>
      <c r="D55" s="200" t="s">
        <v>431</v>
      </c>
      <c r="E55" s="201" t="s">
        <v>432</v>
      </c>
      <c r="F55" s="202" t="s">
        <v>249</v>
      </c>
      <c r="G55" s="203"/>
      <c r="H55" s="203"/>
      <c r="I55" s="203"/>
      <c r="J55" s="203"/>
      <c r="K55" s="203"/>
      <c r="L55" s="203"/>
      <c r="M55" s="203"/>
      <c r="N55" s="207" t="s">
        <v>433</v>
      </c>
      <c r="R55" t="s">
        <v>434</v>
      </c>
    </row>
    <row r="56" spans="1:18">
      <c r="A56" s="197">
        <v>49</v>
      </c>
      <c r="B56" s="198">
        <v>62132551</v>
      </c>
      <c r="C56" s="199" t="s">
        <v>411</v>
      </c>
      <c r="D56" s="200" t="s">
        <v>435</v>
      </c>
      <c r="E56" s="201" t="s">
        <v>436</v>
      </c>
      <c r="F56" s="202" t="s">
        <v>249</v>
      </c>
      <c r="G56" s="203" t="s">
        <v>258</v>
      </c>
      <c r="H56" s="203" t="s">
        <v>258</v>
      </c>
      <c r="I56" s="203"/>
      <c r="J56" s="203"/>
      <c r="K56" s="203"/>
      <c r="L56" s="203"/>
      <c r="M56" s="203"/>
      <c r="N56" s="207" t="s">
        <v>437</v>
      </c>
    </row>
    <row r="57" spans="1:18">
      <c r="A57" s="197">
        <v>50</v>
      </c>
      <c r="B57" s="198">
        <v>62132558</v>
      </c>
      <c r="C57" s="199" t="s">
        <v>438</v>
      </c>
      <c r="D57" s="200" t="s">
        <v>435</v>
      </c>
      <c r="E57" s="201" t="s">
        <v>439</v>
      </c>
      <c r="F57" s="202" t="s">
        <v>249</v>
      </c>
      <c r="G57" s="203" t="s">
        <v>250</v>
      </c>
      <c r="H57" s="203" t="s">
        <v>258</v>
      </c>
      <c r="I57" s="203"/>
      <c r="J57" s="203"/>
      <c r="K57" s="203"/>
      <c r="L57" s="203"/>
      <c r="M57" s="203"/>
      <c r="N57" s="207" t="s">
        <v>440</v>
      </c>
    </row>
    <row r="58" spans="1:18">
      <c r="A58" s="197">
        <v>51</v>
      </c>
      <c r="B58" s="198">
        <v>62132685</v>
      </c>
      <c r="C58" s="199" t="s">
        <v>441</v>
      </c>
      <c r="D58" s="200" t="s">
        <v>442</v>
      </c>
      <c r="E58" s="201" t="s">
        <v>443</v>
      </c>
      <c r="F58" s="202" t="s">
        <v>249</v>
      </c>
      <c r="G58" s="203"/>
      <c r="H58" s="203"/>
      <c r="I58" s="203"/>
      <c r="J58" s="203"/>
      <c r="K58" s="203"/>
      <c r="L58" s="203"/>
      <c r="M58" s="203"/>
      <c r="N58" s="207" t="s">
        <v>444</v>
      </c>
    </row>
    <row r="59" spans="1:18">
      <c r="A59" s="197">
        <v>52</v>
      </c>
      <c r="B59" s="198">
        <v>62132700</v>
      </c>
      <c r="C59" s="199" t="s">
        <v>445</v>
      </c>
      <c r="D59" s="200" t="s">
        <v>446</v>
      </c>
      <c r="E59" s="201" t="s">
        <v>447</v>
      </c>
      <c r="F59" s="202" t="s">
        <v>249</v>
      </c>
      <c r="G59" s="203" t="s">
        <v>250</v>
      </c>
      <c r="H59" s="203"/>
      <c r="I59" s="203"/>
      <c r="J59" s="203"/>
      <c r="K59" s="203"/>
      <c r="L59" s="203"/>
      <c r="M59" s="203"/>
      <c r="N59" s="207" t="s">
        <v>448</v>
      </c>
    </row>
    <row r="60" spans="1:18">
      <c r="A60" s="197">
        <v>53</v>
      </c>
      <c r="B60" s="198">
        <v>62132713</v>
      </c>
      <c r="C60" s="199" t="s">
        <v>343</v>
      </c>
      <c r="D60" s="200" t="s">
        <v>446</v>
      </c>
      <c r="E60" s="201" t="s">
        <v>449</v>
      </c>
      <c r="F60" s="202" t="s">
        <v>249</v>
      </c>
      <c r="G60" s="203"/>
      <c r="H60" s="203" t="s">
        <v>258</v>
      </c>
      <c r="I60" s="203"/>
      <c r="J60" s="203"/>
      <c r="K60" s="203"/>
      <c r="L60" s="203"/>
      <c r="M60" s="203"/>
      <c r="N60" s="207" t="s">
        <v>450</v>
      </c>
    </row>
    <row r="61" spans="1:18">
      <c r="A61" s="197">
        <v>54</v>
      </c>
      <c r="B61" s="198">
        <v>62132728</v>
      </c>
      <c r="C61" s="199" t="s">
        <v>396</v>
      </c>
      <c r="D61" s="200" t="s">
        <v>451</v>
      </c>
      <c r="E61" s="201" t="s">
        <v>452</v>
      </c>
      <c r="F61" s="202" t="s">
        <v>249</v>
      </c>
      <c r="G61" s="203" t="s">
        <v>250</v>
      </c>
      <c r="H61" s="203"/>
      <c r="I61" s="203"/>
      <c r="J61" s="203"/>
      <c r="K61" s="203"/>
      <c r="L61" s="203"/>
      <c r="M61" s="203"/>
      <c r="N61" s="207" t="s">
        <v>453</v>
      </c>
    </row>
    <row r="62" spans="1:18">
      <c r="A62" s="368" t="s">
        <v>454</v>
      </c>
      <c r="B62" s="368"/>
      <c r="C62" s="204"/>
      <c r="D62" s="369" t="s">
        <v>455</v>
      </c>
      <c r="E62" s="369"/>
      <c r="F62" s="204"/>
      <c r="G62" s="369" t="s">
        <v>456</v>
      </c>
      <c r="H62" s="369"/>
      <c r="I62" s="204"/>
      <c r="J62" s="369" t="s">
        <v>457</v>
      </c>
      <c r="K62" s="369"/>
    </row>
    <row r="63" spans="1:18">
      <c r="A63" s="361" t="s">
        <v>458</v>
      </c>
      <c r="B63" s="361"/>
      <c r="C63" s="204"/>
      <c r="D63" s="360" t="s">
        <v>459</v>
      </c>
      <c r="E63" s="360"/>
      <c r="F63" s="204"/>
      <c r="G63" s="360" t="s">
        <v>459</v>
      </c>
      <c r="H63" s="360"/>
      <c r="I63" s="204"/>
      <c r="J63" s="360" t="s">
        <v>459</v>
      </c>
      <c r="K63" s="360"/>
    </row>
    <row r="64" spans="1:18">
      <c r="A64" s="361" t="s">
        <v>460</v>
      </c>
      <c r="B64" s="361"/>
      <c r="C64" s="204"/>
      <c r="D64" s="359"/>
      <c r="E64" s="359"/>
      <c r="F64" s="204"/>
      <c r="G64" s="359"/>
      <c r="H64" s="359"/>
      <c r="I64" s="204"/>
      <c r="J64" s="359"/>
      <c r="K64" s="359"/>
    </row>
    <row r="65" spans="1:11">
      <c r="A65" s="361" t="s">
        <v>461</v>
      </c>
      <c r="B65" s="361"/>
      <c r="C65" s="205"/>
      <c r="D65" s="205"/>
      <c r="E65" s="205"/>
    </row>
    <row r="66" spans="1:11">
      <c r="A66" s="208"/>
    </row>
    <row r="67" spans="1:11">
      <c r="A67" s="208"/>
    </row>
    <row r="68" spans="1:11">
      <c r="A68" s="362"/>
      <c r="B68" s="362"/>
      <c r="C68" s="204"/>
      <c r="D68" s="363"/>
      <c r="E68" s="363"/>
      <c r="F68" s="204"/>
      <c r="G68" s="364" t="s">
        <v>462</v>
      </c>
      <c r="H68" s="364"/>
      <c r="I68" s="204"/>
      <c r="J68" s="364" t="s">
        <v>463</v>
      </c>
      <c r="K68" s="364"/>
    </row>
    <row r="69" spans="1:11">
      <c r="A69" s="358"/>
      <c r="B69" s="358"/>
      <c r="C69" s="204"/>
      <c r="D69" s="359"/>
      <c r="E69" s="359"/>
      <c r="F69" s="204"/>
      <c r="G69" s="360" t="s">
        <v>459</v>
      </c>
      <c r="H69" s="360"/>
      <c r="I69" s="204"/>
      <c r="J69" s="360" t="s">
        <v>459</v>
      </c>
      <c r="K69" s="360"/>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374" t="s">
        <v>232</v>
      </c>
      <c r="B1" s="374"/>
      <c r="C1" s="374"/>
      <c r="D1" s="374"/>
      <c r="E1" s="374"/>
      <c r="F1" s="374"/>
      <c r="G1" s="374"/>
      <c r="H1" s="374"/>
      <c r="I1" s="374"/>
      <c r="J1" s="374"/>
      <c r="K1" s="374"/>
      <c r="L1" s="374"/>
      <c r="M1" s="374"/>
      <c r="N1" s="374"/>
      <c r="O1" s="374"/>
      <c r="P1" s="374"/>
      <c r="Q1" s="374"/>
      <c r="R1" s="374"/>
      <c r="S1" s="374"/>
      <c r="T1" s="168"/>
      <c r="U1" s="168"/>
      <c r="V1" s="168"/>
      <c r="W1" s="168"/>
      <c r="X1" s="168"/>
    </row>
    <row r="2" spans="1:28">
      <c r="A2" s="169"/>
      <c r="B2" s="375" t="s">
        <v>233</v>
      </c>
      <c r="C2" s="375"/>
      <c r="D2" s="375"/>
      <c r="E2" s="375"/>
      <c r="F2" s="375"/>
      <c r="G2" s="375"/>
      <c r="H2" s="375"/>
      <c r="I2" s="375"/>
      <c r="J2" s="375"/>
      <c r="K2" s="375"/>
      <c r="L2" s="375"/>
      <c r="M2" s="375"/>
      <c r="N2" s="375"/>
      <c r="O2" s="375"/>
      <c r="P2" s="375"/>
      <c r="Q2" s="375"/>
      <c r="R2" s="375"/>
      <c r="S2" s="375"/>
      <c r="T2" s="169"/>
      <c r="U2" s="169"/>
      <c r="V2" s="169"/>
      <c r="W2" s="169"/>
      <c r="X2" s="169"/>
    </row>
    <row r="3" spans="1:28">
      <c r="A3" s="169"/>
      <c r="B3" s="375" t="s">
        <v>234</v>
      </c>
      <c r="C3" s="375"/>
      <c r="D3" s="375"/>
      <c r="E3" s="375"/>
      <c r="F3" s="375"/>
      <c r="G3" s="375"/>
      <c r="H3" s="375"/>
      <c r="I3" s="375"/>
      <c r="J3" s="375"/>
      <c r="K3" s="375"/>
      <c r="L3" s="375"/>
      <c r="M3" s="375"/>
      <c r="N3" s="375"/>
      <c r="O3" s="375"/>
      <c r="P3" s="375"/>
      <c r="Q3" s="375"/>
      <c r="R3" s="375"/>
      <c r="S3" s="375"/>
      <c r="T3" s="169"/>
      <c r="U3" s="169"/>
      <c r="V3" s="169"/>
      <c r="W3" s="169"/>
      <c r="X3" s="169"/>
    </row>
    <row r="4" spans="1:28">
      <c r="A4" s="376" t="s">
        <v>464</v>
      </c>
      <c r="B4" s="376"/>
      <c r="C4" s="376"/>
      <c r="D4" s="376"/>
      <c r="E4" s="376"/>
      <c r="F4" s="376"/>
      <c r="G4" s="376"/>
      <c r="H4" s="376"/>
      <c r="I4" s="376"/>
      <c r="J4" s="376"/>
      <c r="K4" s="376"/>
      <c r="L4" s="376"/>
      <c r="M4" s="376"/>
      <c r="N4" s="187"/>
      <c r="O4" s="187"/>
      <c r="P4" s="187"/>
      <c r="Q4" s="187"/>
      <c r="R4" s="194"/>
      <c r="S4" s="194"/>
      <c r="T4" s="194"/>
      <c r="U4" s="194"/>
      <c r="V4" s="194"/>
      <c r="W4" s="194"/>
      <c r="X4" s="194"/>
    </row>
    <row r="5" spans="1:28" s="166" customFormat="1" ht="10.8">
      <c r="A5" s="170" t="s">
        <v>239</v>
      </c>
      <c r="B5" s="170" t="s">
        <v>240</v>
      </c>
      <c r="C5" s="377" t="s">
        <v>241</v>
      </c>
      <c r="D5" s="378"/>
      <c r="E5" s="171" t="s">
        <v>465</v>
      </c>
      <c r="F5" s="172" t="s">
        <v>466</v>
      </c>
      <c r="G5" s="172" t="s">
        <v>467</v>
      </c>
      <c r="H5" s="173" t="s">
        <v>61</v>
      </c>
      <c r="I5" s="188" t="s">
        <v>67</v>
      </c>
      <c r="J5" s="188" t="s">
        <v>468</v>
      </c>
      <c r="K5" s="188" t="s">
        <v>469</v>
      </c>
      <c r="L5" s="188" t="s">
        <v>470</v>
      </c>
      <c r="M5" s="188" t="s">
        <v>471</v>
      </c>
      <c r="N5" s="188" t="s">
        <v>472</v>
      </c>
      <c r="O5" s="188" t="s">
        <v>473</v>
      </c>
      <c r="P5" s="188" t="s">
        <v>474</v>
      </c>
      <c r="Q5" s="188" t="s">
        <v>475</v>
      </c>
      <c r="R5" s="188" t="s">
        <v>49</v>
      </c>
      <c r="S5" s="188" t="s">
        <v>476</v>
      </c>
      <c r="T5" s="188" t="s">
        <v>477</v>
      </c>
      <c r="U5" s="188" t="s">
        <v>478</v>
      </c>
      <c r="V5" s="188" t="s">
        <v>479</v>
      </c>
      <c r="W5" s="188" t="s">
        <v>480</v>
      </c>
      <c r="X5" s="188" t="s">
        <v>481</v>
      </c>
    </row>
    <row r="6" spans="1:28" s="8" customFormat="1">
      <c r="A6" s="170">
        <v>1</v>
      </c>
      <c r="B6" s="174">
        <v>62130062</v>
      </c>
      <c r="C6" s="175" t="s">
        <v>482</v>
      </c>
      <c r="D6" s="176" t="s">
        <v>483</v>
      </c>
      <c r="E6" s="177"/>
      <c r="F6" s="178"/>
      <c r="G6" s="178"/>
      <c r="H6" s="179"/>
      <c r="I6" s="189"/>
      <c r="J6" s="189"/>
      <c r="K6" s="189"/>
      <c r="L6" s="189"/>
      <c r="M6" s="189"/>
      <c r="N6" s="189"/>
      <c r="O6" s="189"/>
      <c r="P6" s="189"/>
      <c r="Q6" s="189"/>
      <c r="R6" s="189"/>
      <c r="S6" s="189"/>
      <c r="T6" s="189"/>
      <c r="U6" s="189"/>
      <c r="V6" s="189"/>
      <c r="W6" s="189"/>
      <c r="X6" s="189"/>
    </row>
    <row r="7" spans="1:28" s="8" customFormat="1">
      <c r="A7" s="170">
        <v>2</v>
      </c>
      <c r="B7" s="174">
        <v>62130127</v>
      </c>
      <c r="C7" s="175" t="s">
        <v>484</v>
      </c>
      <c r="D7" s="176" t="s">
        <v>485</v>
      </c>
      <c r="E7" s="176"/>
      <c r="F7" s="180"/>
      <c r="G7" s="180"/>
      <c r="H7" s="181"/>
      <c r="I7" s="190"/>
      <c r="J7" s="191"/>
      <c r="K7" s="191"/>
      <c r="L7" s="191"/>
      <c r="M7" s="191"/>
      <c r="N7" s="191"/>
      <c r="O7" s="191"/>
      <c r="P7" s="191"/>
      <c r="Q7" s="191"/>
      <c r="R7" s="191"/>
      <c r="S7" s="191"/>
      <c r="T7" s="191"/>
      <c r="U7" s="191"/>
      <c r="V7" s="191"/>
      <c r="W7" s="191"/>
      <c r="X7" s="191"/>
    </row>
    <row r="8" spans="1:28" s="8" customFormat="1">
      <c r="A8" s="170">
        <v>3</v>
      </c>
      <c r="B8" s="174">
        <v>62130193</v>
      </c>
      <c r="C8" s="175" t="s">
        <v>486</v>
      </c>
      <c r="D8" s="176" t="s">
        <v>487</v>
      </c>
      <c r="E8" s="176"/>
      <c r="F8" s="176"/>
      <c r="G8" s="176"/>
      <c r="H8" s="181"/>
      <c r="I8" s="190"/>
      <c r="J8" s="191"/>
      <c r="K8" s="191"/>
      <c r="L8" s="191"/>
      <c r="M8" s="191"/>
      <c r="N8" s="191"/>
      <c r="O8" s="191"/>
      <c r="P8" s="191"/>
      <c r="Q8" s="191"/>
      <c r="R8" s="191"/>
      <c r="S8" s="191"/>
      <c r="T8" s="191"/>
      <c r="U8" s="191"/>
      <c r="V8" s="191"/>
      <c r="W8" s="191"/>
      <c r="X8" s="191"/>
    </row>
    <row r="9" spans="1:28" s="8" customFormat="1">
      <c r="A9" s="170">
        <v>4</v>
      </c>
      <c r="B9" s="174">
        <v>62130200</v>
      </c>
      <c r="C9" s="175" t="s">
        <v>488</v>
      </c>
      <c r="D9" s="176" t="s">
        <v>489</v>
      </c>
      <c r="E9" s="176"/>
      <c r="F9" s="176"/>
      <c r="G9" s="176"/>
      <c r="H9" s="181"/>
      <c r="I9" s="190"/>
      <c r="J9" s="191"/>
      <c r="K9" s="191"/>
      <c r="L9" s="191"/>
      <c r="M9" s="191"/>
      <c r="N9" s="191"/>
      <c r="O9" s="191"/>
      <c r="P9" s="191"/>
      <c r="Q9" s="191"/>
      <c r="R9" s="191"/>
      <c r="S9" s="191"/>
      <c r="T9" s="191"/>
      <c r="U9" s="191"/>
      <c r="V9" s="191"/>
      <c r="W9" s="191"/>
      <c r="X9" s="191"/>
      <c r="AB9" s="195" t="s">
        <v>490</v>
      </c>
    </row>
    <row r="10" spans="1:28" s="8" customFormat="1">
      <c r="A10" s="170">
        <v>5</v>
      </c>
      <c r="B10" s="174">
        <v>62130279</v>
      </c>
      <c r="C10" s="175" t="s">
        <v>491</v>
      </c>
      <c r="D10" s="176" t="s">
        <v>492</v>
      </c>
      <c r="E10" s="176"/>
      <c r="F10" s="176"/>
      <c r="G10" s="176"/>
      <c r="H10" s="181"/>
      <c r="I10" s="190"/>
      <c r="J10" s="191"/>
      <c r="K10" s="191"/>
      <c r="L10" s="191"/>
      <c r="M10" s="191"/>
      <c r="N10" s="191"/>
      <c r="O10" s="191"/>
      <c r="P10" s="191"/>
      <c r="Q10" s="191"/>
      <c r="R10" s="191"/>
      <c r="S10" s="191"/>
      <c r="T10" s="191"/>
      <c r="U10" s="191"/>
      <c r="V10" s="191"/>
      <c r="W10" s="191"/>
      <c r="X10" s="191"/>
    </row>
    <row r="11" spans="1:28" s="8" customFormat="1">
      <c r="A11" s="170">
        <v>6</v>
      </c>
      <c r="B11" s="174">
        <v>62130310</v>
      </c>
      <c r="C11" s="175" t="s">
        <v>355</v>
      </c>
      <c r="D11" s="176" t="s">
        <v>493</v>
      </c>
      <c r="E11" s="176"/>
      <c r="F11" s="176"/>
      <c r="G11" s="176"/>
      <c r="H11" s="181"/>
      <c r="I11" s="190"/>
      <c r="J11" s="191"/>
      <c r="K11" s="191"/>
      <c r="L11" s="191"/>
      <c r="M11" s="191"/>
      <c r="N11" s="191"/>
      <c r="O11" s="191"/>
      <c r="P11" s="191"/>
      <c r="Q11" s="191"/>
      <c r="R11" s="191"/>
      <c r="S11" s="191"/>
      <c r="T11" s="191"/>
      <c r="U11" s="191"/>
      <c r="V11" s="191"/>
      <c r="W11" s="191"/>
      <c r="X11" s="191"/>
    </row>
    <row r="12" spans="1:28" s="8" customFormat="1">
      <c r="A12" s="170">
        <v>7</v>
      </c>
      <c r="B12" s="174">
        <v>62130344</v>
      </c>
      <c r="C12" s="175" t="s">
        <v>486</v>
      </c>
      <c r="D12" s="176" t="s">
        <v>253</v>
      </c>
      <c r="E12" s="176"/>
      <c r="F12" s="176"/>
      <c r="G12" s="176"/>
      <c r="H12" s="181"/>
      <c r="I12" s="190"/>
      <c r="J12" s="191"/>
      <c r="K12" s="191"/>
      <c r="L12" s="191"/>
      <c r="M12" s="191"/>
      <c r="N12" s="191"/>
      <c r="O12" s="191"/>
      <c r="P12" s="191"/>
      <c r="Q12" s="191"/>
      <c r="R12" s="191"/>
      <c r="S12" s="191"/>
      <c r="T12" s="191"/>
      <c r="U12" s="191"/>
      <c r="V12" s="191"/>
      <c r="W12" s="191"/>
      <c r="X12" s="191"/>
    </row>
    <row r="13" spans="1:28" s="8" customFormat="1">
      <c r="A13" s="170">
        <v>8</v>
      </c>
      <c r="B13" s="174">
        <v>62130394</v>
      </c>
      <c r="C13" s="175" t="s">
        <v>494</v>
      </c>
      <c r="D13" s="176" t="s">
        <v>253</v>
      </c>
      <c r="E13" s="176"/>
      <c r="F13" s="176"/>
      <c r="G13" s="176"/>
      <c r="H13" s="181"/>
      <c r="I13" s="190"/>
      <c r="J13" s="191"/>
      <c r="K13" s="191"/>
      <c r="L13" s="191"/>
      <c r="M13" s="191"/>
      <c r="N13" s="191"/>
      <c r="O13" s="191"/>
      <c r="P13" s="191"/>
      <c r="Q13" s="191"/>
      <c r="R13" s="191"/>
      <c r="S13" s="191"/>
      <c r="T13" s="191"/>
      <c r="U13" s="191"/>
      <c r="V13" s="191"/>
      <c r="W13" s="191"/>
      <c r="X13" s="191"/>
    </row>
    <row r="14" spans="1:28" s="8" customFormat="1">
      <c r="A14" s="170">
        <v>9</v>
      </c>
      <c r="B14" s="174">
        <v>62130447</v>
      </c>
      <c r="C14" s="175" t="s">
        <v>495</v>
      </c>
      <c r="D14" s="176" t="s">
        <v>277</v>
      </c>
      <c r="E14" s="176"/>
      <c r="F14" s="176"/>
      <c r="G14" s="176"/>
      <c r="H14" s="181"/>
      <c r="I14" s="190"/>
      <c r="J14" s="191"/>
      <c r="K14" s="191"/>
      <c r="L14" s="191"/>
      <c r="M14" s="191"/>
      <c r="N14" s="191"/>
      <c r="O14" s="191"/>
      <c r="P14" s="191"/>
      <c r="Q14" s="191"/>
      <c r="R14" s="191"/>
      <c r="S14" s="191"/>
      <c r="T14" s="191"/>
      <c r="U14" s="191"/>
      <c r="V14" s="191"/>
      <c r="W14" s="191"/>
      <c r="X14" s="191"/>
    </row>
    <row r="15" spans="1:28" s="8" customFormat="1">
      <c r="A15" s="170">
        <v>10</v>
      </c>
      <c r="B15" s="174">
        <v>62130643</v>
      </c>
      <c r="C15" s="175" t="s">
        <v>496</v>
      </c>
      <c r="D15" s="176" t="s">
        <v>497</v>
      </c>
      <c r="E15" s="176"/>
      <c r="F15" s="176"/>
      <c r="G15" s="176"/>
      <c r="H15" s="181"/>
      <c r="I15" s="190"/>
      <c r="J15" s="191"/>
      <c r="K15" s="191"/>
      <c r="L15" s="191"/>
      <c r="M15" s="191"/>
      <c r="N15" s="191"/>
      <c r="O15" s="191"/>
      <c r="P15" s="191"/>
      <c r="Q15" s="191"/>
      <c r="R15" s="191"/>
      <c r="S15" s="191"/>
      <c r="T15" s="191"/>
      <c r="U15" s="191"/>
      <c r="V15" s="191"/>
      <c r="W15" s="191"/>
      <c r="X15" s="191"/>
    </row>
    <row r="16" spans="1:28" s="8" customFormat="1">
      <c r="A16" s="170">
        <v>11</v>
      </c>
      <c r="B16" s="174">
        <v>61137002</v>
      </c>
      <c r="C16" s="175" t="s">
        <v>498</v>
      </c>
      <c r="D16" s="176" t="s">
        <v>499</v>
      </c>
      <c r="E16" s="176"/>
      <c r="F16" s="176"/>
      <c r="G16" s="176"/>
      <c r="H16" s="181"/>
      <c r="I16" s="190"/>
      <c r="J16" s="191"/>
      <c r="K16" s="191"/>
      <c r="L16" s="191"/>
      <c r="M16" s="191"/>
      <c r="N16" s="191"/>
      <c r="O16" s="191"/>
      <c r="P16" s="191"/>
      <c r="Q16" s="191"/>
      <c r="R16" s="191"/>
      <c r="S16" s="191"/>
      <c r="T16" s="191"/>
      <c r="U16" s="191"/>
      <c r="V16" s="191"/>
      <c r="W16" s="191"/>
      <c r="X16" s="191"/>
    </row>
    <row r="17" spans="1:24" s="8" customFormat="1">
      <c r="A17" s="170">
        <v>12</v>
      </c>
      <c r="B17" s="174">
        <v>62130689</v>
      </c>
      <c r="C17" s="175" t="s">
        <v>500</v>
      </c>
      <c r="D17" s="176" t="s">
        <v>501</v>
      </c>
      <c r="E17" s="176"/>
      <c r="F17" s="176"/>
      <c r="G17" s="176"/>
      <c r="H17" s="181"/>
      <c r="I17" s="190"/>
      <c r="J17" s="191"/>
      <c r="K17" s="191"/>
      <c r="L17" s="191"/>
      <c r="M17" s="191"/>
      <c r="N17" s="191"/>
      <c r="O17" s="191"/>
      <c r="P17" s="191"/>
      <c r="Q17" s="191"/>
      <c r="R17" s="191"/>
      <c r="S17" s="191"/>
      <c r="T17" s="191"/>
      <c r="U17" s="191"/>
      <c r="V17" s="191"/>
      <c r="W17" s="191"/>
      <c r="X17" s="191"/>
    </row>
    <row r="18" spans="1:24" s="8" customFormat="1">
      <c r="A18" s="170">
        <v>13</v>
      </c>
      <c r="B18" s="174">
        <v>62130743</v>
      </c>
      <c r="C18" s="175" t="s">
        <v>502</v>
      </c>
      <c r="D18" s="176" t="s">
        <v>294</v>
      </c>
      <c r="E18" s="176"/>
      <c r="F18" s="176"/>
      <c r="G18" s="176"/>
      <c r="H18" s="181"/>
      <c r="I18" s="190"/>
      <c r="J18" s="191"/>
      <c r="K18" s="191"/>
      <c r="L18" s="191"/>
      <c r="M18" s="191"/>
      <c r="N18" s="191"/>
      <c r="O18" s="191"/>
      <c r="P18" s="191"/>
      <c r="Q18" s="191"/>
      <c r="R18" s="191"/>
      <c r="S18" s="191"/>
      <c r="T18" s="191"/>
      <c r="U18" s="191"/>
      <c r="V18" s="191"/>
      <c r="W18" s="191"/>
      <c r="X18" s="191"/>
    </row>
    <row r="19" spans="1:24" s="8" customFormat="1">
      <c r="A19" s="170">
        <v>14</v>
      </c>
      <c r="B19" s="174">
        <v>62130765</v>
      </c>
      <c r="C19" s="175" t="s">
        <v>503</v>
      </c>
      <c r="D19" s="176" t="s">
        <v>294</v>
      </c>
      <c r="E19" s="176"/>
      <c r="F19" s="176"/>
      <c r="G19" s="176"/>
      <c r="H19" s="181"/>
      <c r="I19" s="190"/>
      <c r="J19" s="191"/>
      <c r="K19" s="191"/>
      <c r="L19" s="191"/>
      <c r="M19" s="191"/>
      <c r="N19" s="191"/>
      <c r="O19" s="191"/>
      <c r="P19" s="191"/>
      <c r="Q19" s="191"/>
      <c r="R19" s="191"/>
      <c r="S19" s="191"/>
      <c r="T19" s="191"/>
      <c r="U19" s="191"/>
      <c r="V19" s="191"/>
      <c r="W19" s="191"/>
      <c r="X19" s="191"/>
    </row>
    <row r="20" spans="1:24" s="8" customFormat="1">
      <c r="A20" s="170">
        <v>15</v>
      </c>
      <c r="B20" s="174">
        <v>62130860</v>
      </c>
      <c r="C20" s="175" t="s">
        <v>504</v>
      </c>
      <c r="D20" s="176" t="s">
        <v>505</v>
      </c>
      <c r="E20" s="176"/>
      <c r="F20" s="176"/>
      <c r="G20" s="176"/>
      <c r="H20" s="181"/>
      <c r="I20" s="190"/>
      <c r="J20" s="191"/>
      <c r="K20" s="191"/>
      <c r="L20" s="191"/>
      <c r="M20" s="191"/>
      <c r="N20" s="191"/>
      <c r="O20" s="191"/>
      <c r="P20" s="191"/>
      <c r="Q20" s="191"/>
      <c r="R20" s="191"/>
      <c r="S20" s="191"/>
      <c r="T20" s="191"/>
      <c r="U20" s="191"/>
      <c r="V20" s="191"/>
      <c r="W20" s="191"/>
      <c r="X20" s="191"/>
    </row>
    <row r="21" spans="1:24" s="8" customFormat="1">
      <c r="A21" s="170">
        <v>16</v>
      </c>
      <c r="B21" s="174">
        <v>62130867</v>
      </c>
      <c r="C21" s="175" t="s">
        <v>506</v>
      </c>
      <c r="D21" s="176" t="s">
        <v>507</v>
      </c>
      <c r="E21" s="176"/>
      <c r="F21" s="176"/>
      <c r="G21" s="176"/>
      <c r="H21" s="181"/>
      <c r="I21" s="190"/>
      <c r="J21" s="191"/>
      <c r="K21" s="191"/>
      <c r="L21" s="191"/>
      <c r="M21" s="191"/>
      <c r="N21" s="191"/>
      <c r="O21" s="191"/>
      <c r="P21" s="191"/>
      <c r="Q21" s="191"/>
      <c r="R21" s="191"/>
      <c r="S21" s="191"/>
      <c r="T21" s="191"/>
      <c r="U21" s="191"/>
      <c r="V21" s="191"/>
      <c r="W21" s="191"/>
      <c r="X21" s="191"/>
    </row>
    <row r="22" spans="1:24" s="8" customFormat="1">
      <c r="A22" s="170">
        <v>17</v>
      </c>
      <c r="B22" s="174">
        <v>62131019</v>
      </c>
      <c r="C22" s="175" t="s">
        <v>508</v>
      </c>
      <c r="D22" s="176" t="s">
        <v>312</v>
      </c>
      <c r="E22" s="176"/>
      <c r="F22" s="176"/>
      <c r="G22" s="176"/>
      <c r="H22" s="181"/>
      <c r="I22" s="190"/>
      <c r="J22" s="191"/>
      <c r="K22" s="191"/>
      <c r="L22" s="191"/>
      <c r="M22" s="191"/>
      <c r="N22" s="191"/>
      <c r="O22" s="191"/>
      <c r="P22" s="191"/>
      <c r="Q22" s="191"/>
      <c r="R22" s="191"/>
      <c r="S22" s="191"/>
      <c r="T22" s="191"/>
      <c r="U22" s="191"/>
      <c r="V22" s="191"/>
      <c r="W22" s="191"/>
      <c r="X22" s="191"/>
    </row>
    <row r="23" spans="1:24" s="8" customFormat="1">
      <c r="A23" s="170">
        <v>18</v>
      </c>
      <c r="B23" s="174">
        <v>62131042</v>
      </c>
      <c r="C23" s="175" t="s">
        <v>509</v>
      </c>
      <c r="D23" s="176" t="s">
        <v>317</v>
      </c>
      <c r="E23" s="176"/>
      <c r="F23" s="176"/>
      <c r="G23" s="176"/>
      <c r="H23" s="181"/>
      <c r="I23" s="190"/>
      <c r="J23" s="191"/>
      <c r="K23" s="191"/>
      <c r="L23" s="191"/>
      <c r="M23" s="191"/>
      <c r="N23" s="191"/>
      <c r="O23" s="191"/>
      <c r="P23" s="191"/>
      <c r="Q23" s="191"/>
      <c r="R23" s="191"/>
      <c r="S23" s="191"/>
      <c r="T23" s="191"/>
      <c r="U23" s="191"/>
      <c r="V23" s="191"/>
      <c r="W23" s="191"/>
      <c r="X23" s="191"/>
    </row>
    <row r="24" spans="1:24" s="8" customFormat="1">
      <c r="A24" s="170">
        <v>19</v>
      </c>
      <c r="B24" s="174">
        <v>62133115</v>
      </c>
      <c r="C24" s="175" t="s">
        <v>510</v>
      </c>
      <c r="D24" s="176" t="s">
        <v>511</v>
      </c>
      <c r="E24" s="176"/>
      <c r="F24" s="176"/>
      <c r="G24" s="176"/>
      <c r="H24" s="181"/>
      <c r="I24" s="190"/>
      <c r="J24" s="191"/>
      <c r="K24" s="191"/>
      <c r="L24" s="191"/>
      <c r="M24" s="191"/>
      <c r="N24" s="191"/>
      <c r="O24" s="191"/>
      <c r="P24" s="191"/>
      <c r="Q24" s="191"/>
      <c r="R24" s="191"/>
      <c r="S24" s="191"/>
      <c r="T24" s="191"/>
      <c r="U24" s="191"/>
      <c r="V24" s="191"/>
      <c r="W24" s="191"/>
      <c r="X24" s="191"/>
    </row>
    <row r="25" spans="1:24" s="8" customFormat="1">
      <c r="A25" s="170">
        <v>20</v>
      </c>
      <c r="B25" s="174">
        <v>62134581</v>
      </c>
      <c r="C25" s="175" t="s">
        <v>512</v>
      </c>
      <c r="D25" s="176" t="s">
        <v>513</v>
      </c>
      <c r="E25" s="176"/>
      <c r="F25" s="176"/>
      <c r="G25" s="176"/>
      <c r="H25" s="181"/>
      <c r="I25" s="190"/>
      <c r="J25" s="191"/>
      <c r="K25" s="191"/>
      <c r="L25" s="191"/>
      <c r="M25" s="191"/>
      <c r="N25" s="191"/>
      <c r="O25" s="191"/>
      <c r="P25" s="191"/>
      <c r="Q25" s="191"/>
      <c r="R25" s="191"/>
      <c r="S25" s="191"/>
      <c r="T25" s="191"/>
      <c r="U25" s="191"/>
      <c r="V25" s="191"/>
      <c r="W25" s="191"/>
      <c r="X25" s="191"/>
    </row>
    <row r="26" spans="1:24" s="8" customFormat="1">
      <c r="A26" s="170">
        <v>21</v>
      </c>
      <c r="B26" s="174">
        <v>59136125</v>
      </c>
      <c r="C26" s="175" t="s">
        <v>415</v>
      </c>
      <c r="D26" s="176" t="s">
        <v>514</v>
      </c>
      <c r="E26" s="176"/>
      <c r="F26" s="176"/>
      <c r="G26" s="176"/>
      <c r="H26" s="181"/>
      <c r="I26" s="190"/>
      <c r="J26" s="191"/>
      <c r="K26" s="191"/>
      <c r="L26" s="191"/>
      <c r="M26" s="191"/>
      <c r="N26" s="191"/>
      <c r="O26" s="191"/>
      <c r="P26" s="191"/>
      <c r="Q26" s="191"/>
      <c r="R26" s="191"/>
      <c r="S26" s="191"/>
      <c r="T26" s="191"/>
      <c r="U26" s="191"/>
      <c r="V26" s="191"/>
      <c r="W26" s="191"/>
      <c r="X26" s="191"/>
    </row>
    <row r="27" spans="1:24" s="8" customFormat="1">
      <c r="A27" s="170">
        <v>22</v>
      </c>
      <c r="B27" s="174">
        <v>62131177</v>
      </c>
      <c r="C27" s="175" t="s">
        <v>515</v>
      </c>
      <c r="D27" s="176" t="s">
        <v>514</v>
      </c>
      <c r="E27" s="176"/>
      <c r="F27" s="176"/>
      <c r="G27" s="176"/>
      <c r="H27" s="181"/>
      <c r="I27" s="190"/>
      <c r="J27" s="191"/>
      <c r="K27" s="191"/>
      <c r="L27" s="191"/>
      <c r="M27" s="191"/>
      <c r="N27" s="191"/>
      <c r="O27" s="191"/>
      <c r="P27" s="191"/>
      <c r="Q27" s="191"/>
      <c r="R27" s="191"/>
      <c r="S27" s="191"/>
      <c r="T27" s="191"/>
      <c r="U27" s="191"/>
      <c r="V27" s="191"/>
      <c r="W27" s="191"/>
      <c r="X27" s="191"/>
    </row>
    <row r="28" spans="1:24" s="8" customFormat="1">
      <c r="A28" s="170">
        <v>23</v>
      </c>
      <c r="B28" s="174">
        <v>62131364</v>
      </c>
      <c r="C28" s="175" t="s">
        <v>516</v>
      </c>
      <c r="D28" s="176" t="s">
        <v>517</v>
      </c>
      <c r="E28" s="176"/>
      <c r="F28" s="176"/>
      <c r="G28" s="176"/>
      <c r="H28" s="181"/>
      <c r="I28" s="190"/>
      <c r="J28" s="191"/>
      <c r="K28" s="191"/>
      <c r="L28" s="191"/>
      <c r="M28" s="191"/>
      <c r="N28" s="191"/>
      <c r="O28" s="191"/>
      <c r="P28" s="191"/>
      <c r="Q28" s="191"/>
      <c r="R28" s="191"/>
      <c r="S28" s="191"/>
      <c r="T28" s="191"/>
      <c r="U28" s="191"/>
      <c r="V28" s="191"/>
      <c r="W28" s="191"/>
      <c r="X28" s="191"/>
    </row>
    <row r="29" spans="1:24" s="8" customFormat="1">
      <c r="A29" s="170">
        <v>24</v>
      </c>
      <c r="B29" s="174">
        <v>62133154</v>
      </c>
      <c r="C29" s="175" t="s">
        <v>347</v>
      </c>
      <c r="D29" s="176" t="s">
        <v>337</v>
      </c>
      <c r="E29" s="176"/>
      <c r="F29" s="176"/>
      <c r="G29" s="176"/>
      <c r="H29" s="181"/>
      <c r="I29" s="190"/>
      <c r="J29" s="191"/>
      <c r="K29" s="191"/>
      <c r="L29" s="191"/>
      <c r="M29" s="191"/>
      <c r="N29" s="191"/>
      <c r="O29" s="191"/>
      <c r="P29" s="191"/>
      <c r="Q29" s="191"/>
      <c r="R29" s="191"/>
      <c r="S29" s="191"/>
      <c r="T29" s="191"/>
      <c r="U29" s="191"/>
      <c r="V29" s="191"/>
      <c r="W29" s="191"/>
      <c r="X29" s="191"/>
    </row>
    <row r="30" spans="1:24" s="8" customFormat="1">
      <c r="A30" s="170">
        <v>25</v>
      </c>
      <c r="B30" s="174">
        <v>62131533</v>
      </c>
      <c r="C30" s="175" t="s">
        <v>518</v>
      </c>
      <c r="D30" s="176" t="s">
        <v>519</v>
      </c>
      <c r="E30" s="176"/>
      <c r="F30" s="176"/>
      <c r="G30" s="176"/>
      <c r="H30" s="181"/>
      <c r="I30" s="190"/>
      <c r="J30" s="191"/>
      <c r="K30" s="191"/>
      <c r="L30" s="191"/>
      <c r="M30" s="191"/>
      <c r="N30" s="191"/>
      <c r="O30" s="191"/>
      <c r="P30" s="191"/>
      <c r="Q30" s="191"/>
      <c r="R30" s="191"/>
      <c r="S30" s="191"/>
      <c r="T30" s="191"/>
      <c r="U30" s="191"/>
      <c r="V30" s="191"/>
      <c r="W30" s="191"/>
      <c r="X30" s="191"/>
    </row>
    <row r="31" spans="1:24" s="8" customFormat="1">
      <c r="A31" s="170">
        <v>26</v>
      </c>
      <c r="B31" s="174">
        <v>62131550</v>
      </c>
      <c r="C31" s="175" t="s">
        <v>520</v>
      </c>
      <c r="D31" s="176" t="s">
        <v>352</v>
      </c>
      <c r="E31" s="176"/>
      <c r="F31" s="176"/>
      <c r="G31" s="176"/>
      <c r="H31" s="181"/>
      <c r="I31" s="190"/>
      <c r="J31" s="191"/>
      <c r="K31" s="191"/>
      <c r="L31" s="191"/>
      <c r="M31" s="191"/>
      <c r="N31" s="191"/>
      <c r="O31" s="191"/>
      <c r="P31" s="191"/>
      <c r="Q31" s="191"/>
      <c r="R31" s="191"/>
      <c r="S31" s="191"/>
      <c r="T31" s="191"/>
      <c r="U31" s="191"/>
      <c r="V31" s="191"/>
      <c r="W31" s="191"/>
      <c r="X31" s="191"/>
    </row>
    <row r="32" spans="1:24" s="8" customFormat="1">
      <c r="A32" s="170">
        <v>27</v>
      </c>
      <c r="B32" s="174">
        <v>62131646</v>
      </c>
      <c r="C32" s="175" t="s">
        <v>521</v>
      </c>
      <c r="D32" s="176" t="s">
        <v>522</v>
      </c>
      <c r="E32" s="176"/>
      <c r="F32" s="176"/>
      <c r="G32" s="176"/>
      <c r="H32" s="181"/>
      <c r="I32" s="190"/>
      <c r="J32" s="191"/>
      <c r="K32" s="191"/>
      <c r="L32" s="191"/>
      <c r="M32" s="191"/>
      <c r="N32" s="191"/>
      <c r="O32" s="191"/>
      <c r="P32" s="191"/>
      <c r="Q32" s="191"/>
      <c r="R32" s="191"/>
      <c r="S32" s="191"/>
      <c r="T32" s="191"/>
      <c r="U32" s="191"/>
      <c r="V32" s="191"/>
      <c r="W32" s="191"/>
      <c r="X32" s="191"/>
    </row>
    <row r="33" spans="1:24" s="8" customFormat="1">
      <c r="A33" s="170">
        <v>28</v>
      </c>
      <c r="B33" s="174">
        <v>62131811</v>
      </c>
      <c r="C33" s="175" t="s">
        <v>523</v>
      </c>
      <c r="D33" s="176" t="s">
        <v>367</v>
      </c>
      <c r="E33" s="176"/>
      <c r="F33" s="176"/>
      <c r="G33" s="176"/>
      <c r="H33" s="181"/>
      <c r="I33" s="190"/>
      <c r="J33" s="191"/>
      <c r="K33" s="191"/>
      <c r="L33" s="191"/>
      <c r="M33" s="191"/>
      <c r="N33" s="191"/>
      <c r="O33" s="191"/>
      <c r="P33" s="191"/>
      <c r="Q33" s="191"/>
      <c r="R33" s="191"/>
      <c r="S33" s="191"/>
      <c r="T33" s="191"/>
      <c r="U33" s="191"/>
      <c r="V33" s="191"/>
      <c r="W33" s="191"/>
      <c r="X33" s="191"/>
    </row>
    <row r="34" spans="1:24" s="8" customFormat="1">
      <c r="A34" s="170">
        <v>29</v>
      </c>
      <c r="B34" s="174">
        <v>62131878</v>
      </c>
      <c r="C34" s="175" t="s">
        <v>524</v>
      </c>
      <c r="D34" s="176" t="s">
        <v>525</v>
      </c>
      <c r="E34" s="176"/>
      <c r="F34" s="176"/>
      <c r="G34" s="176"/>
      <c r="H34" s="181"/>
      <c r="I34" s="190"/>
      <c r="J34" s="191"/>
      <c r="K34" s="191"/>
      <c r="L34" s="191"/>
      <c r="M34" s="191"/>
      <c r="N34" s="191"/>
      <c r="O34" s="191"/>
      <c r="P34" s="191"/>
      <c r="Q34" s="191"/>
      <c r="R34" s="191"/>
      <c r="S34" s="191"/>
      <c r="T34" s="191"/>
      <c r="U34" s="191"/>
      <c r="V34" s="191"/>
      <c r="W34" s="191"/>
      <c r="X34" s="191"/>
    </row>
    <row r="35" spans="1:24" s="8" customFormat="1">
      <c r="A35" s="170">
        <v>30</v>
      </c>
      <c r="B35" s="174">
        <v>62133248</v>
      </c>
      <c r="C35" s="175" t="s">
        <v>347</v>
      </c>
      <c r="D35" s="176" t="s">
        <v>525</v>
      </c>
      <c r="E35" s="176"/>
      <c r="F35" s="176"/>
      <c r="G35" s="176"/>
      <c r="H35" s="181"/>
      <c r="I35" s="190"/>
      <c r="J35" s="191"/>
      <c r="K35" s="191"/>
      <c r="L35" s="191"/>
      <c r="M35" s="191"/>
      <c r="N35" s="191"/>
      <c r="O35" s="191"/>
      <c r="P35" s="191"/>
      <c r="Q35" s="191"/>
      <c r="R35" s="191"/>
      <c r="S35" s="191"/>
      <c r="T35" s="191"/>
      <c r="U35" s="191"/>
      <c r="V35" s="191"/>
      <c r="W35" s="191"/>
      <c r="X35" s="191"/>
    </row>
    <row r="36" spans="1:24" s="8" customFormat="1">
      <c r="A36" s="170">
        <v>31</v>
      </c>
      <c r="B36" s="174">
        <v>62131902</v>
      </c>
      <c r="C36" s="175" t="s">
        <v>526</v>
      </c>
      <c r="D36" s="176" t="s">
        <v>527</v>
      </c>
      <c r="E36" s="176"/>
      <c r="F36" s="176"/>
      <c r="G36" s="176"/>
      <c r="H36" s="181"/>
      <c r="I36" s="190"/>
      <c r="J36" s="191"/>
      <c r="K36" s="191"/>
      <c r="L36" s="191"/>
      <c r="M36" s="191"/>
      <c r="N36" s="191"/>
      <c r="O36" s="191"/>
      <c r="P36" s="191"/>
      <c r="Q36" s="191"/>
      <c r="R36" s="191"/>
      <c r="S36" s="191"/>
      <c r="T36" s="191"/>
      <c r="U36" s="191"/>
      <c r="V36" s="191"/>
      <c r="W36" s="191"/>
      <c r="X36" s="191"/>
    </row>
    <row r="37" spans="1:24" s="8" customFormat="1">
      <c r="A37" s="170">
        <v>32</v>
      </c>
      <c r="B37" s="174">
        <v>62132027</v>
      </c>
      <c r="C37" s="175" t="s">
        <v>528</v>
      </c>
      <c r="D37" s="176" t="s">
        <v>529</v>
      </c>
      <c r="E37" s="176"/>
      <c r="F37" s="176"/>
      <c r="G37" s="176"/>
      <c r="H37" s="181"/>
      <c r="I37" s="190"/>
      <c r="J37" s="191"/>
      <c r="K37" s="191"/>
      <c r="L37" s="191"/>
      <c r="M37" s="191"/>
      <c r="N37" s="191"/>
      <c r="O37" s="191"/>
      <c r="P37" s="191"/>
      <c r="Q37" s="191"/>
      <c r="R37" s="191"/>
      <c r="S37" s="191"/>
      <c r="T37" s="191"/>
      <c r="U37" s="191"/>
      <c r="V37" s="191"/>
      <c r="W37" s="191"/>
      <c r="X37" s="191"/>
    </row>
    <row r="38" spans="1:24" s="8" customFormat="1">
      <c r="A38" s="170">
        <v>33</v>
      </c>
      <c r="B38" s="174">
        <v>62132125</v>
      </c>
      <c r="C38" s="175" t="s">
        <v>427</v>
      </c>
      <c r="D38" s="176" t="s">
        <v>530</v>
      </c>
      <c r="E38" s="176"/>
      <c r="F38" s="176"/>
      <c r="G38" s="176"/>
      <c r="H38" s="181"/>
      <c r="I38" s="190"/>
      <c r="J38" s="191"/>
      <c r="K38" s="191"/>
      <c r="L38" s="191"/>
      <c r="M38" s="191"/>
      <c r="N38" s="191"/>
      <c r="O38" s="191"/>
      <c r="P38" s="191"/>
      <c r="Q38" s="191"/>
      <c r="R38" s="191"/>
      <c r="S38" s="191"/>
      <c r="T38" s="191"/>
      <c r="U38" s="191"/>
      <c r="V38" s="191"/>
      <c r="W38" s="191"/>
      <c r="X38" s="191"/>
    </row>
    <row r="39" spans="1:24" s="8" customFormat="1">
      <c r="A39" s="170">
        <v>34</v>
      </c>
      <c r="B39" s="174">
        <v>62133291</v>
      </c>
      <c r="C39" s="175" t="s">
        <v>531</v>
      </c>
      <c r="D39" s="176" t="s">
        <v>532</v>
      </c>
      <c r="E39" s="176"/>
      <c r="F39" s="176"/>
      <c r="G39" s="176"/>
      <c r="H39" s="181"/>
      <c r="I39" s="190"/>
      <c r="J39" s="191"/>
      <c r="K39" s="191"/>
      <c r="L39" s="191"/>
      <c r="M39" s="191"/>
      <c r="N39" s="191"/>
      <c r="O39" s="191"/>
      <c r="P39" s="191"/>
      <c r="Q39" s="191"/>
      <c r="R39" s="191"/>
      <c r="S39" s="191"/>
      <c r="T39" s="191"/>
      <c r="U39" s="191"/>
      <c r="V39" s="191"/>
      <c r="W39" s="191"/>
      <c r="X39" s="191"/>
    </row>
    <row r="40" spans="1:24" s="8" customFormat="1">
      <c r="A40" s="170">
        <v>35</v>
      </c>
      <c r="B40" s="174">
        <v>62133299</v>
      </c>
      <c r="C40" s="175" t="s">
        <v>388</v>
      </c>
      <c r="D40" s="176" t="s">
        <v>397</v>
      </c>
      <c r="E40" s="176"/>
      <c r="F40" s="176"/>
      <c r="G40" s="176"/>
      <c r="H40" s="181"/>
      <c r="I40" s="190"/>
      <c r="J40" s="191"/>
      <c r="K40" s="191"/>
      <c r="L40" s="191"/>
      <c r="M40" s="191"/>
      <c r="N40" s="191"/>
      <c r="O40" s="191"/>
      <c r="P40" s="191"/>
      <c r="Q40" s="191"/>
      <c r="R40" s="191"/>
      <c r="S40" s="191"/>
      <c r="T40" s="191"/>
      <c r="U40" s="191"/>
      <c r="V40" s="191"/>
      <c r="W40" s="191"/>
      <c r="X40" s="191"/>
    </row>
    <row r="41" spans="1:24" s="8" customFormat="1">
      <c r="A41" s="170">
        <v>36</v>
      </c>
      <c r="B41" s="174">
        <v>62133303</v>
      </c>
      <c r="C41" s="175" t="s">
        <v>533</v>
      </c>
      <c r="D41" s="176" t="s">
        <v>400</v>
      </c>
      <c r="E41" s="176"/>
      <c r="F41" s="176"/>
      <c r="G41" s="176"/>
      <c r="H41" s="181"/>
      <c r="I41" s="190"/>
      <c r="J41" s="191"/>
      <c r="K41" s="191"/>
      <c r="L41" s="191"/>
      <c r="M41" s="191"/>
      <c r="N41" s="191"/>
      <c r="O41" s="191"/>
      <c r="P41" s="191"/>
      <c r="Q41" s="191"/>
      <c r="R41" s="191"/>
      <c r="S41" s="191"/>
      <c r="T41" s="191"/>
      <c r="U41" s="191"/>
      <c r="V41" s="191"/>
      <c r="W41" s="191"/>
      <c r="X41" s="191"/>
    </row>
    <row r="42" spans="1:24" s="8" customFormat="1">
      <c r="A42" s="170">
        <v>37</v>
      </c>
      <c r="B42" s="174">
        <v>62132384</v>
      </c>
      <c r="C42" s="175" t="s">
        <v>293</v>
      </c>
      <c r="D42" s="176" t="s">
        <v>534</v>
      </c>
      <c r="E42" s="176"/>
      <c r="F42" s="176"/>
      <c r="G42" s="176"/>
      <c r="H42" s="181"/>
      <c r="I42" s="190"/>
      <c r="J42" s="191"/>
      <c r="K42" s="191"/>
      <c r="L42" s="191"/>
      <c r="M42" s="191"/>
      <c r="N42" s="191"/>
      <c r="O42" s="191"/>
      <c r="P42" s="191"/>
      <c r="Q42" s="191"/>
      <c r="R42" s="191"/>
      <c r="S42" s="191"/>
      <c r="T42" s="191"/>
      <c r="U42" s="191"/>
      <c r="V42" s="191"/>
      <c r="W42" s="191"/>
      <c r="X42" s="191"/>
    </row>
    <row r="43" spans="1:24" s="8" customFormat="1">
      <c r="A43" s="170">
        <v>38</v>
      </c>
      <c r="B43" s="174">
        <v>62132425</v>
      </c>
      <c r="C43" s="175" t="s">
        <v>535</v>
      </c>
      <c r="D43" s="176" t="s">
        <v>416</v>
      </c>
      <c r="E43" s="176"/>
      <c r="F43" s="176"/>
      <c r="G43" s="176"/>
      <c r="H43" s="181"/>
      <c r="I43" s="190"/>
      <c r="J43" s="191"/>
      <c r="K43" s="191"/>
      <c r="L43" s="191"/>
      <c r="M43" s="191"/>
      <c r="N43" s="191"/>
      <c r="O43" s="191"/>
      <c r="P43" s="191"/>
      <c r="Q43" s="191"/>
      <c r="R43" s="191"/>
      <c r="S43" s="191"/>
      <c r="T43" s="191"/>
      <c r="U43" s="191"/>
      <c r="V43" s="191"/>
      <c r="W43" s="191"/>
      <c r="X43" s="191"/>
    </row>
    <row r="44" spans="1:24" s="8" customFormat="1">
      <c r="A44" s="170">
        <v>39</v>
      </c>
      <c r="B44" s="174">
        <v>62132431</v>
      </c>
      <c r="C44" s="175" t="s">
        <v>268</v>
      </c>
      <c r="D44" s="176" t="s">
        <v>536</v>
      </c>
      <c r="E44" s="176"/>
      <c r="F44" s="176"/>
      <c r="G44" s="176"/>
      <c r="H44" s="181"/>
      <c r="I44" s="190"/>
      <c r="J44" s="191"/>
      <c r="K44" s="191"/>
      <c r="L44" s="191"/>
      <c r="M44" s="191"/>
      <c r="N44" s="191"/>
      <c r="O44" s="191"/>
      <c r="P44" s="191"/>
      <c r="Q44" s="191"/>
      <c r="R44" s="191"/>
      <c r="S44" s="191"/>
      <c r="T44" s="191"/>
      <c r="U44" s="191"/>
      <c r="V44" s="191"/>
      <c r="W44" s="191"/>
      <c r="X44" s="191"/>
    </row>
    <row r="45" spans="1:24" s="8" customFormat="1">
      <c r="A45" s="170">
        <v>40</v>
      </c>
      <c r="B45" s="174">
        <v>62132483</v>
      </c>
      <c r="C45" s="175" t="s">
        <v>537</v>
      </c>
      <c r="D45" s="176" t="s">
        <v>428</v>
      </c>
      <c r="E45" s="176"/>
      <c r="F45" s="176"/>
      <c r="G45" s="176"/>
      <c r="H45" s="181"/>
      <c r="I45" s="190"/>
      <c r="J45" s="191"/>
      <c r="K45" s="191"/>
      <c r="L45" s="191"/>
      <c r="M45" s="191"/>
      <c r="N45" s="191"/>
      <c r="O45" s="191"/>
      <c r="P45" s="191"/>
      <c r="Q45" s="191"/>
      <c r="R45" s="191"/>
      <c r="S45" s="191"/>
      <c r="T45" s="191"/>
      <c r="U45" s="191"/>
      <c r="V45" s="191"/>
      <c r="W45" s="191"/>
      <c r="X45" s="191"/>
    </row>
    <row r="46" spans="1:24" s="8" customFormat="1">
      <c r="A46" s="170">
        <v>41</v>
      </c>
      <c r="B46" s="174">
        <v>62132529</v>
      </c>
      <c r="C46" s="175" t="s">
        <v>538</v>
      </c>
      <c r="D46" s="176" t="s">
        <v>431</v>
      </c>
      <c r="E46" s="176"/>
      <c r="F46" s="176"/>
      <c r="G46" s="176"/>
      <c r="H46" s="181"/>
      <c r="I46" s="190"/>
      <c r="J46" s="191"/>
      <c r="K46" s="191"/>
      <c r="L46" s="191"/>
      <c r="M46" s="191"/>
      <c r="N46" s="191"/>
      <c r="O46" s="191"/>
      <c r="P46" s="191"/>
      <c r="Q46" s="191"/>
      <c r="R46" s="191"/>
      <c r="S46" s="191"/>
      <c r="T46" s="191"/>
      <c r="U46" s="191"/>
      <c r="V46" s="191"/>
      <c r="W46" s="191"/>
      <c r="X46" s="191"/>
    </row>
    <row r="47" spans="1:24" s="8" customFormat="1">
      <c r="A47" s="170">
        <v>42</v>
      </c>
      <c r="B47" s="174">
        <v>62132538</v>
      </c>
      <c r="C47" s="175" t="s">
        <v>539</v>
      </c>
      <c r="D47" s="176" t="s">
        <v>431</v>
      </c>
      <c r="E47" s="176"/>
      <c r="F47" s="176"/>
      <c r="G47" s="176"/>
      <c r="H47" s="181"/>
      <c r="I47" s="190"/>
      <c r="J47" s="191"/>
      <c r="K47" s="191"/>
      <c r="L47" s="191"/>
      <c r="M47" s="191"/>
      <c r="N47" s="191"/>
      <c r="O47" s="191"/>
      <c r="P47" s="191"/>
      <c r="Q47" s="191"/>
      <c r="R47" s="191"/>
      <c r="S47" s="191"/>
      <c r="T47" s="191"/>
      <c r="U47" s="191"/>
      <c r="V47" s="191"/>
      <c r="W47" s="191"/>
      <c r="X47" s="191"/>
    </row>
    <row r="48" spans="1:24" s="8" customFormat="1">
      <c r="A48" s="170">
        <v>43</v>
      </c>
      <c r="B48" s="174">
        <v>62132689</v>
      </c>
      <c r="C48" s="175" t="s">
        <v>540</v>
      </c>
      <c r="D48" s="176" t="s">
        <v>541</v>
      </c>
      <c r="E48" s="176"/>
      <c r="F48" s="176"/>
      <c r="G48" s="176"/>
      <c r="H48" s="181"/>
      <c r="I48" s="190"/>
      <c r="J48" s="191"/>
      <c r="K48" s="191"/>
      <c r="L48" s="191"/>
      <c r="M48" s="191"/>
      <c r="N48" s="191"/>
      <c r="O48" s="191"/>
      <c r="P48" s="191"/>
      <c r="Q48" s="191"/>
      <c r="R48" s="191"/>
      <c r="S48" s="191"/>
      <c r="T48" s="191"/>
      <c r="U48" s="191"/>
      <c r="V48" s="191"/>
      <c r="W48" s="191"/>
      <c r="X48" s="191"/>
    </row>
    <row r="49" spans="1:24" s="8" customFormat="1">
      <c r="A49" s="170">
        <v>44</v>
      </c>
      <c r="B49" s="174">
        <v>62132707</v>
      </c>
      <c r="C49" s="175" t="s">
        <v>542</v>
      </c>
      <c r="D49" s="176" t="s">
        <v>446</v>
      </c>
      <c r="E49" s="176"/>
      <c r="F49" s="176"/>
      <c r="G49" s="176"/>
      <c r="H49" s="181"/>
      <c r="I49" s="190"/>
      <c r="J49" s="191"/>
      <c r="K49" s="191"/>
      <c r="L49" s="191"/>
      <c r="M49" s="191"/>
      <c r="N49" s="191"/>
      <c r="O49" s="191"/>
      <c r="P49" s="191"/>
      <c r="Q49" s="191"/>
      <c r="R49" s="191"/>
      <c r="S49" s="191"/>
      <c r="T49" s="191"/>
      <c r="U49" s="191"/>
      <c r="V49" s="191"/>
      <c r="W49" s="191"/>
      <c r="X49" s="191"/>
    </row>
    <row r="50" spans="1:24" s="8" customFormat="1">
      <c r="A50" s="170">
        <v>45</v>
      </c>
      <c r="B50" s="174">
        <v>62132715</v>
      </c>
      <c r="C50" s="175" t="s">
        <v>543</v>
      </c>
      <c r="D50" s="176" t="s">
        <v>451</v>
      </c>
      <c r="E50" s="182"/>
      <c r="F50" s="182"/>
      <c r="G50" s="182"/>
      <c r="H50" s="183"/>
      <c r="I50" s="192"/>
      <c r="J50" s="193"/>
      <c r="K50" s="193"/>
      <c r="L50" s="193"/>
      <c r="M50" s="193"/>
      <c r="N50" s="193"/>
      <c r="O50" s="193"/>
      <c r="P50" s="193"/>
      <c r="Q50" s="193"/>
      <c r="R50" s="193"/>
      <c r="S50" s="193"/>
      <c r="T50" s="193"/>
      <c r="U50" s="193"/>
      <c r="V50" s="193"/>
      <c r="W50" s="193"/>
      <c r="X50" s="193"/>
    </row>
    <row r="51" spans="1:24" s="167" customFormat="1" ht="12">
      <c r="E51" s="184" t="s">
        <v>544</v>
      </c>
      <c r="F51" s="184" t="s">
        <v>545</v>
      </c>
      <c r="G51" s="184" t="s">
        <v>545</v>
      </c>
      <c r="H51" s="184" t="s">
        <v>546</v>
      </c>
      <c r="I51" s="184" t="s">
        <v>546</v>
      </c>
      <c r="J51" s="184" t="s">
        <v>546</v>
      </c>
      <c r="K51" s="184" t="s">
        <v>546</v>
      </c>
      <c r="L51" s="184" t="s">
        <v>546</v>
      </c>
      <c r="M51" s="184" t="s">
        <v>546</v>
      </c>
      <c r="N51" s="184" t="s">
        <v>546</v>
      </c>
      <c r="O51" s="184" t="s">
        <v>546</v>
      </c>
      <c r="P51" s="184" t="s">
        <v>546</v>
      </c>
      <c r="Q51" s="184" t="s">
        <v>546</v>
      </c>
      <c r="R51" s="184" t="s">
        <v>546</v>
      </c>
      <c r="S51" s="184" t="s">
        <v>546</v>
      </c>
      <c r="T51" s="184" t="s">
        <v>546</v>
      </c>
      <c r="U51" s="184" t="s">
        <v>546</v>
      </c>
      <c r="V51" s="184" t="s">
        <v>546</v>
      </c>
      <c r="W51" s="184" t="s">
        <v>546</v>
      </c>
      <c r="X51" s="184" t="s">
        <v>546</v>
      </c>
    </row>
    <row r="52" spans="1:24" ht="38.4">
      <c r="E52" s="185" t="s">
        <v>547</v>
      </c>
      <c r="F52" s="186"/>
      <c r="G52" s="186"/>
      <c r="H52" s="186"/>
      <c r="I52" s="186"/>
      <c r="J52" s="186"/>
      <c r="K52" s="186"/>
      <c r="L52" s="186"/>
      <c r="M52" s="186"/>
      <c r="N52" s="186"/>
      <c r="O52" s="186"/>
      <c r="P52" s="186"/>
      <c r="Q52" s="186"/>
      <c r="R52" s="186"/>
      <c r="S52" s="186"/>
      <c r="T52" s="186"/>
      <c r="U52" s="186"/>
      <c r="V52" s="186"/>
      <c r="W52" s="186"/>
      <c r="X52" s="186"/>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A135" zoomScale="80" zoomScaleNormal="140" zoomScaleSheetLayoutView="80" workbookViewId="0">
      <selection activeCell="D464" sqref="D464"/>
    </sheetView>
  </sheetViews>
  <sheetFormatPr defaultColWidth="8.8984375" defaultRowHeight="13.8"/>
  <cols>
    <col min="1" max="1" width="7.09765625" style="33" customWidth="1"/>
    <col min="2" max="2" width="73.69921875" style="23" customWidth="1"/>
    <col min="3" max="3" width="15.8984375" style="34" customWidth="1"/>
    <col min="4" max="4" width="37.8984375" style="31" customWidth="1"/>
    <col min="5" max="5" width="20.3984375" style="23" customWidth="1"/>
    <col min="6" max="7" width="14.296875" style="23" customWidth="1"/>
    <col min="8" max="8" width="12" style="23" customWidth="1"/>
    <col min="9" max="16384" width="8.8984375" style="23"/>
  </cols>
  <sheetData>
    <row r="1" spans="1:7">
      <c r="B1" s="31"/>
      <c r="C1" s="31"/>
      <c r="D1" s="35"/>
      <c r="E1" s="31"/>
      <c r="F1" s="31"/>
      <c r="G1" s="31"/>
    </row>
    <row r="2" spans="1:7">
      <c r="B2" s="31"/>
      <c r="C2" s="31"/>
      <c r="D2" s="35"/>
      <c r="E2" s="31"/>
      <c r="F2" s="31"/>
      <c r="G2" s="31"/>
    </row>
    <row r="3" spans="1:7">
      <c r="B3" s="31"/>
      <c r="C3" s="31"/>
      <c r="D3" s="35"/>
      <c r="E3" s="31"/>
      <c r="F3" s="31"/>
      <c r="G3" s="31"/>
    </row>
    <row r="4" spans="1:7">
      <c r="A4" s="33" t="s">
        <v>548</v>
      </c>
      <c r="B4" s="36" t="s">
        <v>549</v>
      </c>
      <c r="C4" s="35"/>
      <c r="D4" s="35"/>
      <c r="E4" s="31"/>
      <c r="F4" s="31"/>
      <c r="G4" s="31"/>
    </row>
    <row r="5" spans="1:7">
      <c r="A5" s="33">
        <v>1</v>
      </c>
      <c r="B5" s="37" t="s">
        <v>550</v>
      </c>
    </row>
    <row r="6" spans="1:7">
      <c r="A6" s="33" t="s">
        <v>551</v>
      </c>
      <c r="B6" s="27" t="s">
        <v>552</v>
      </c>
      <c r="C6" s="31"/>
      <c r="E6" s="38"/>
      <c r="F6" s="39"/>
      <c r="G6" s="31"/>
    </row>
    <row r="7" spans="1:7" ht="16.2">
      <c r="A7" s="33" t="s">
        <v>553</v>
      </c>
      <c r="B7" s="27" t="s">
        <v>554</v>
      </c>
    </row>
    <row r="8" spans="1:7">
      <c r="A8" s="33" t="s">
        <v>555</v>
      </c>
      <c r="B8" s="40" t="s">
        <v>556</v>
      </c>
    </row>
    <row r="9" spans="1:7" ht="16.2">
      <c r="B9" s="40" t="s">
        <v>557</v>
      </c>
    </row>
    <row r="10" spans="1:7">
      <c r="B10" s="40" t="s">
        <v>558</v>
      </c>
    </row>
    <row r="11" spans="1:7">
      <c r="B11" s="40" t="s">
        <v>559</v>
      </c>
    </row>
    <row r="12" spans="1:7">
      <c r="B12" s="41" t="s">
        <v>560</v>
      </c>
      <c r="C12" s="35"/>
      <c r="D12" s="35"/>
      <c r="E12" s="41"/>
      <c r="F12" s="31"/>
    </row>
    <row r="13" spans="1:7">
      <c r="B13" s="42" t="s">
        <v>561</v>
      </c>
      <c r="C13" s="43" t="s">
        <v>562</v>
      </c>
      <c r="D13" s="44"/>
      <c r="E13" s="45"/>
      <c r="F13" s="31"/>
    </row>
    <row r="14" spans="1:7" ht="13.95" customHeight="1">
      <c r="B14" s="46" t="s">
        <v>563</v>
      </c>
      <c r="C14" s="47" t="s">
        <v>564</v>
      </c>
      <c r="D14" s="48" t="s">
        <v>565</v>
      </c>
      <c r="E14" s="49"/>
      <c r="F14" s="31"/>
    </row>
    <row r="15" spans="1:7">
      <c r="B15" s="50"/>
      <c r="C15" s="51" t="s">
        <v>566</v>
      </c>
      <c r="D15" s="52"/>
      <c r="E15" s="53"/>
      <c r="F15" s="31"/>
    </row>
    <row r="16" spans="1:7">
      <c r="B16" s="54" t="s">
        <v>567</v>
      </c>
      <c r="C16" s="55"/>
      <c r="D16" s="56" t="s">
        <v>568</v>
      </c>
      <c r="E16" s="57"/>
      <c r="F16" s="31"/>
    </row>
    <row r="17" spans="1:7">
      <c r="B17" s="54" t="s">
        <v>569</v>
      </c>
      <c r="C17" s="31"/>
      <c r="D17" s="58" t="s">
        <v>570</v>
      </c>
      <c r="E17" s="59"/>
      <c r="F17" s="31"/>
    </row>
    <row r="18" spans="1:7">
      <c r="B18" s="54" t="s">
        <v>571</v>
      </c>
      <c r="C18" s="58" t="s">
        <v>572</v>
      </c>
      <c r="E18" s="60"/>
      <c r="F18" s="31"/>
    </row>
    <row r="19" spans="1:7">
      <c r="B19" s="61" t="s">
        <v>573</v>
      </c>
      <c r="C19" s="31" t="s">
        <v>574</v>
      </c>
      <c r="E19" s="60"/>
      <c r="F19" s="31"/>
    </row>
    <row r="20" spans="1:7">
      <c r="B20" s="61" t="s">
        <v>575</v>
      </c>
      <c r="C20" s="31"/>
      <c r="D20" s="31" t="s">
        <v>576</v>
      </c>
      <c r="E20" s="60"/>
      <c r="F20" s="31"/>
    </row>
    <row r="21" spans="1:7">
      <c r="B21" s="61" t="s">
        <v>577</v>
      </c>
      <c r="C21" s="31"/>
      <c r="E21" s="60"/>
      <c r="F21" s="31"/>
    </row>
    <row r="22" spans="1:7">
      <c r="B22" s="61" t="s">
        <v>578</v>
      </c>
      <c r="C22" s="31" t="s">
        <v>579</v>
      </c>
      <c r="D22" s="31" t="s">
        <v>580</v>
      </c>
      <c r="E22" s="60"/>
      <c r="F22" s="31"/>
    </row>
    <row r="23" spans="1:7">
      <c r="B23" s="61" t="s">
        <v>581</v>
      </c>
      <c r="C23" s="31" t="s">
        <v>582</v>
      </c>
      <c r="D23" s="31" t="s">
        <v>583</v>
      </c>
      <c r="E23" s="60"/>
      <c r="F23" s="31"/>
    </row>
    <row r="24" spans="1:7">
      <c r="B24" s="61" t="s">
        <v>584</v>
      </c>
      <c r="C24" s="31"/>
      <c r="D24" s="31" t="s">
        <v>585</v>
      </c>
      <c r="E24" s="60"/>
      <c r="F24" s="31"/>
    </row>
    <row r="25" spans="1:7">
      <c r="B25" s="61" t="s">
        <v>586</v>
      </c>
      <c r="C25" s="31"/>
      <c r="D25" s="31" t="s">
        <v>587</v>
      </c>
      <c r="E25" s="60"/>
      <c r="F25" s="31"/>
    </row>
    <row r="26" spans="1:7">
      <c r="B26" s="61" t="s">
        <v>588</v>
      </c>
      <c r="C26" s="31" t="s">
        <v>589</v>
      </c>
      <c r="E26" s="60"/>
      <c r="F26" s="31"/>
    </row>
    <row r="27" spans="1:7">
      <c r="B27" s="62" t="s">
        <v>573</v>
      </c>
      <c r="C27" s="63" t="s">
        <v>590</v>
      </c>
      <c r="D27" s="63"/>
      <c r="E27" s="64"/>
      <c r="F27" s="31"/>
    </row>
    <row r="28" spans="1:7">
      <c r="B28" s="40"/>
    </row>
    <row r="29" spans="1:7">
      <c r="A29" s="33">
        <v>2</v>
      </c>
      <c r="B29" s="36" t="s">
        <v>591</v>
      </c>
    </row>
    <row r="30" spans="1:7" s="21" customFormat="1" ht="14.4">
      <c r="A30" s="33" t="s">
        <v>592</v>
      </c>
      <c r="B30" s="65" t="s">
        <v>593</v>
      </c>
      <c r="C30" s="66"/>
      <c r="D30" s="66"/>
      <c r="E30" s="67"/>
      <c r="F30" s="68"/>
      <c r="G30" s="68"/>
    </row>
    <row r="31" spans="1:7">
      <c r="B31" s="69" t="s">
        <v>594</v>
      </c>
      <c r="C31" s="35"/>
      <c r="D31" s="35"/>
      <c r="E31" s="70"/>
      <c r="F31" s="31"/>
      <c r="G31" s="31"/>
    </row>
    <row r="32" spans="1:7">
      <c r="A32" s="33" t="s">
        <v>595</v>
      </c>
      <c r="B32" s="71" t="s">
        <v>596</v>
      </c>
      <c r="C32" s="35"/>
      <c r="D32" s="35"/>
      <c r="E32" s="70"/>
      <c r="F32" s="31"/>
      <c r="G32" s="31"/>
    </row>
    <row r="33" spans="1:8" s="22" customFormat="1" ht="16.2">
      <c r="A33" s="72" t="s">
        <v>551</v>
      </c>
      <c r="B33" s="65" t="s">
        <v>597</v>
      </c>
      <c r="C33" s="145"/>
      <c r="D33" s="66"/>
      <c r="E33" s="73"/>
      <c r="F33" s="74"/>
      <c r="G33" s="66"/>
    </row>
    <row r="34" spans="1:8">
      <c r="B34" s="40" t="s">
        <v>598</v>
      </c>
      <c r="C34" s="31"/>
      <c r="E34" s="75"/>
      <c r="F34" s="76"/>
      <c r="G34" s="31"/>
    </row>
    <row r="35" spans="1:8">
      <c r="B35" s="77" t="s">
        <v>599</v>
      </c>
      <c r="C35" s="79"/>
      <c r="D35" s="79"/>
      <c r="E35" s="78"/>
      <c r="F35" s="78"/>
    </row>
    <row r="36" spans="1:8">
      <c r="B36" s="24" t="s">
        <v>600</v>
      </c>
      <c r="C36" s="35"/>
      <c r="D36" s="35"/>
      <c r="E36" s="31"/>
    </row>
    <row r="37" spans="1:8" ht="15.75" customHeight="1">
      <c r="B37" s="380"/>
      <c r="C37" s="381" t="s">
        <v>601</v>
      </c>
      <c r="D37" s="381"/>
      <c r="E37" s="381"/>
      <c r="F37" s="381"/>
      <c r="G37" s="381"/>
    </row>
    <row r="38" spans="1:8" ht="16.2">
      <c r="B38" s="381"/>
      <c r="C38" s="81" t="s">
        <v>602</v>
      </c>
      <c r="D38" s="82" t="s">
        <v>603</v>
      </c>
      <c r="E38" s="81" t="s">
        <v>604</v>
      </c>
      <c r="F38" s="81" t="s">
        <v>605</v>
      </c>
      <c r="G38" s="81" t="s">
        <v>606</v>
      </c>
      <c r="H38" s="81" t="s">
        <v>607</v>
      </c>
    </row>
    <row r="39" spans="1:8" ht="16.2">
      <c r="B39" s="83" t="s">
        <v>608</v>
      </c>
      <c r="C39" s="84" t="s">
        <v>609</v>
      </c>
      <c r="D39" s="85" t="s">
        <v>610</v>
      </c>
      <c r="E39" s="86" t="s">
        <v>611</v>
      </c>
      <c r="F39" s="87" t="s">
        <v>612</v>
      </c>
      <c r="G39" s="88" t="s">
        <v>613</v>
      </c>
      <c r="H39" s="89" t="s">
        <v>614</v>
      </c>
    </row>
    <row r="40" spans="1:8" ht="16.2">
      <c r="B40" s="83" t="s">
        <v>615</v>
      </c>
      <c r="C40" s="90" t="s">
        <v>616</v>
      </c>
      <c r="D40" s="85" t="s">
        <v>617</v>
      </c>
      <c r="E40" s="86" t="s">
        <v>618</v>
      </c>
      <c r="F40" s="87" t="s">
        <v>619</v>
      </c>
      <c r="G40" s="88" t="s">
        <v>620</v>
      </c>
      <c r="H40" s="91" t="s">
        <v>621</v>
      </c>
    </row>
    <row r="41" spans="1:8" ht="16.2">
      <c r="B41" s="83" t="s">
        <v>622</v>
      </c>
      <c r="C41" s="92" t="s">
        <v>623</v>
      </c>
      <c r="D41" s="85" t="s">
        <v>624</v>
      </c>
      <c r="E41" s="86" t="s">
        <v>618</v>
      </c>
      <c r="F41" s="87" t="s">
        <v>625</v>
      </c>
      <c r="G41" s="88" t="s">
        <v>626</v>
      </c>
      <c r="H41" s="91" t="s">
        <v>627</v>
      </c>
    </row>
    <row r="42" spans="1:8">
      <c r="B42" s="83" t="s">
        <v>628</v>
      </c>
      <c r="C42" s="92"/>
      <c r="D42" s="85"/>
      <c r="E42" s="93"/>
      <c r="F42" s="87"/>
      <c r="G42" s="88"/>
      <c r="H42" s="89"/>
    </row>
    <row r="43" spans="1:8" ht="16.2">
      <c r="B43" s="83" t="s">
        <v>629</v>
      </c>
      <c r="C43" s="92" t="s">
        <v>630</v>
      </c>
      <c r="D43" s="85" t="s">
        <v>631</v>
      </c>
      <c r="E43" s="93" t="s">
        <v>632</v>
      </c>
      <c r="F43" s="87" t="s">
        <v>633</v>
      </c>
      <c r="G43" s="88" t="s">
        <v>634</v>
      </c>
      <c r="H43" s="91" t="s">
        <v>635</v>
      </c>
    </row>
    <row r="44" spans="1:8" ht="16.2">
      <c r="B44" s="83" t="s">
        <v>636</v>
      </c>
      <c r="C44" s="92" t="s">
        <v>637</v>
      </c>
      <c r="D44" s="85" t="s">
        <v>638</v>
      </c>
      <c r="E44" s="93" t="s">
        <v>639</v>
      </c>
      <c r="F44" s="87" t="s">
        <v>640</v>
      </c>
      <c r="G44" s="88" t="s">
        <v>641</v>
      </c>
      <c r="H44" s="91" t="s">
        <v>642</v>
      </c>
    </row>
    <row r="45" spans="1:8" ht="16.2">
      <c r="B45" s="27" t="s">
        <v>643</v>
      </c>
      <c r="C45" s="35"/>
      <c r="D45" s="35"/>
      <c r="E45" s="31"/>
    </row>
    <row r="46" spans="1:8" ht="16.2">
      <c r="B46" s="40" t="s">
        <v>644</v>
      </c>
      <c r="C46" s="66"/>
      <c r="D46" s="35"/>
      <c r="E46" s="31"/>
    </row>
    <row r="47" spans="1:8" ht="16.2">
      <c r="B47" s="40" t="s">
        <v>645</v>
      </c>
      <c r="C47" s="31"/>
      <c r="D47" s="94" t="s">
        <v>646</v>
      </c>
      <c r="E47" s="31"/>
    </row>
    <row r="48" spans="1:8">
      <c r="B48" s="27" t="s">
        <v>647</v>
      </c>
      <c r="C48" s="35"/>
      <c r="D48" s="35"/>
      <c r="E48" s="31"/>
    </row>
    <row r="49" spans="1:7" ht="16.2">
      <c r="B49" s="40" t="s">
        <v>648</v>
      </c>
      <c r="C49" s="66"/>
      <c r="D49" s="35"/>
      <c r="E49" s="31"/>
    </row>
    <row r="50" spans="1:7" ht="16.2">
      <c r="B50" s="40" t="s">
        <v>649</v>
      </c>
      <c r="C50" s="31"/>
      <c r="E50" s="31"/>
    </row>
    <row r="51" spans="1:7" ht="16.2">
      <c r="B51" s="40" t="s">
        <v>650</v>
      </c>
      <c r="C51" s="31"/>
      <c r="E51" s="75"/>
      <c r="F51" s="76"/>
      <c r="G51" s="31"/>
    </row>
    <row r="52" spans="1:7" s="22" customFormat="1" ht="16.2">
      <c r="A52" s="72" t="s">
        <v>553</v>
      </c>
      <c r="B52" s="95" t="s">
        <v>651</v>
      </c>
      <c r="C52" s="66"/>
      <c r="D52" s="66"/>
      <c r="E52" s="73"/>
      <c r="F52" s="96"/>
      <c r="G52" s="66"/>
    </row>
    <row r="53" spans="1:7" ht="16.2">
      <c r="B53" s="27" t="s">
        <v>652</v>
      </c>
      <c r="C53" s="31"/>
      <c r="E53" s="38"/>
      <c r="F53" s="39"/>
      <c r="G53" s="31"/>
    </row>
    <row r="54" spans="1:7" ht="16.2">
      <c r="B54" s="27" t="s">
        <v>653</v>
      </c>
      <c r="C54" s="31"/>
      <c r="E54" s="38"/>
      <c r="F54" s="39"/>
      <c r="G54" s="31"/>
    </row>
    <row r="55" spans="1:7">
      <c r="B55" s="27" t="s">
        <v>654</v>
      </c>
      <c r="C55" s="31"/>
      <c r="E55" s="38"/>
      <c r="F55" s="39"/>
      <c r="G55" s="31"/>
    </row>
    <row r="56" spans="1:7" ht="16.2">
      <c r="B56" s="27" t="s">
        <v>655</v>
      </c>
      <c r="C56" s="31"/>
      <c r="E56" s="38"/>
      <c r="F56" s="39"/>
      <c r="G56" s="31"/>
    </row>
    <row r="57" spans="1:7" ht="16.2">
      <c r="B57" s="27" t="s">
        <v>656</v>
      </c>
      <c r="C57" s="31"/>
      <c r="E57" s="38"/>
      <c r="F57" s="39"/>
      <c r="G57" s="31"/>
    </row>
    <row r="58" spans="1:7" ht="16.2">
      <c r="B58" s="40" t="s">
        <v>657</v>
      </c>
      <c r="C58" s="31"/>
      <c r="D58" s="58" t="s">
        <v>658</v>
      </c>
      <c r="E58" s="38"/>
      <c r="F58" s="39"/>
      <c r="G58" s="31"/>
    </row>
    <row r="59" spans="1:7" ht="16.2">
      <c r="B59" s="40" t="s">
        <v>659</v>
      </c>
      <c r="C59" s="31"/>
      <c r="D59" s="58" t="s">
        <v>660</v>
      </c>
      <c r="E59" s="38"/>
      <c r="F59" s="39"/>
      <c r="G59" s="31"/>
    </row>
    <row r="60" spans="1:7">
      <c r="B60" s="27" t="s">
        <v>661</v>
      </c>
      <c r="C60" s="31"/>
      <c r="E60" s="38"/>
      <c r="F60" s="39"/>
      <c r="G60" s="31"/>
    </row>
    <row r="61" spans="1:7" ht="16.2">
      <c r="B61" s="40" t="s">
        <v>662</v>
      </c>
      <c r="C61" s="31"/>
      <c r="E61" s="38"/>
      <c r="F61" s="39"/>
      <c r="G61" s="31"/>
    </row>
    <row r="62" spans="1:7">
      <c r="B62" s="27" t="s">
        <v>663</v>
      </c>
      <c r="C62" s="31"/>
      <c r="E62" s="38"/>
      <c r="F62" s="39"/>
      <c r="G62" s="31"/>
    </row>
    <row r="63" spans="1:7" ht="16.2">
      <c r="B63" s="27" t="s">
        <v>664</v>
      </c>
      <c r="C63" s="31"/>
      <c r="E63" s="38"/>
      <c r="F63" s="39"/>
      <c r="G63" s="31"/>
    </row>
    <row r="64" spans="1:7" s="22" customFormat="1">
      <c r="A64" s="72" t="s">
        <v>555</v>
      </c>
      <c r="B64" s="65" t="s">
        <v>665</v>
      </c>
      <c r="C64" s="66"/>
      <c r="D64" s="66"/>
      <c r="E64" s="97"/>
      <c r="F64" s="74"/>
      <c r="G64" s="66"/>
    </row>
    <row r="65" spans="1:7">
      <c r="B65" s="40" t="s">
        <v>666</v>
      </c>
      <c r="C65" s="31"/>
      <c r="E65" s="75"/>
      <c r="F65" s="76"/>
      <c r="G65" s="31"/>
    </row>
    <row r="66" spans="1:7" ht="16.2">
      <c r="B66" s="40" t="s">
        <v>667</v>
      </c>
      <c r="C66" s="31"/>
      <c r="E66" s="75"/>
      <c r="F66" s="76"/>
      <c r="G66" s="31"/>
    </row>
    <row r="67" spans="1:7">
      <c r="A67" s="33" t="s">
        <v>668</v>
      </c>
      <c r="B67" s="36" t="s">
        <v>669</v>
      </c>
      <c r="C67" s="31"/>
      <c r="D67" s="35"/>
      <c r="E67" s="75"/>
      <c r="F67" s="39"/>
      <c r="G67" s="31"/>
    </row>
    <row r="68" spans="1:7" s="21" customFormat="1" ht="16.2">
      <c r="A68" s="72" t="s">
        <v>551</v>
      </c>
      <c r="B68" s="65" t="s">
        <v>670</v>
      </c>
      <c r="C68" s="68"/>
      <c r="D68" s="66"/>
      <c r="E68" s="98"/>
      <c r="F68" s="99"/>
      <c r="G68" s="68"/>
    </row>
    <row r="69" spans="1:7" ht="16.2">
      <c r="B69" s="100" t="s">
        <v>671</v>
      </c>
      <c r="C69" s="31"/>
      <c r="D69" s="35"/>
      <c r="E69" s="75"/>
      <c r="F69" s="39"/>
      <c r="G69" s="31"/>
    </row>
    <row r="70" spans="1:7">
      <c r="B70" s="100" t="s">
        <v>672</v>
      </c>
      <c r="C70" s="31"/>
      <c r="D70" s="35"/>
      <c r="E70" s="75"/>
      <c r="F70" s="39"/>
      <c r="G70" s="31"/>
    </row>
    <row r="71" spans="1:7">
      <c r="B71" s="100" t="s">
        <v>673</v>
      </c>
      <c r="C71" s="31"/>
      <c r="D71" s="35"/>
      <c r="E71" s="75"/>
      <c r="F71" s="39"/>
      <c r="G71" s="31"/>
    </row>
    <row r="72" spans="1:7" ht="16.2">
      <c r="B72" s="101" t="s">
        <v>674</v>
      </c>
      <c r="C72" s="33"/>
      <c r="D72" s="35"/>
      <c r="E72" s="75"/>
      <c r="F72" s="39"/>
      <c r="G72" s="31"/>
    </row>
    <row r="73" spans="1:7" ht="19.2">
      <c r="B73" s="102" t="s">
        <v>675</v>
      </c>
      <c r="C73" s="103" t="s">
        <v>676</v>
      </c>
      <c r="D73" s="35"/>
      <c r="E73" s="75"/>
      <c r="F73" s="39"/>
      <c r="G73" s="31"/>
    </row>
    <row r="74" spans="1:7" ht="16.8">
      <c r="B74" s="104" t="s">
        <v>677</v>
      </c>
      <c r="C74" s="105" t="s">
        <v>678</v>
      </c>
      <c r="D74" s="35"/>
      <c r="E74" s="75"/>
      <c r="F74" s="39"/>
      <c r="G74" s="31"/>
    </row>
    <row r="75" spans="1:7" ht="16.8">
      <c r="B75" s="104" t="s">
        <v>679</v>
      </c>
      <c r="C75" s="105" t="s">
        <v>680</v>
      </c>
      <c r="D75" s="35"/>
      <c r="E75" s="75"/>
      <c r="F75" s="39"/>
      <c r="G75" s="31"/>
    </row>
    <row r="76" spans="1:7" ht="16.8">
      <c r="B76" s="104" t="s">
        <v>681</v>
      </c>
      <c r="C76" s="105" t="s">
        <v>682</v>
      </c>
      <c r="D76" s="35"/>
      <c r="E76" s="75"/>
      <c r="F76" s="39"/>
      <c r="G76" s="31"/>
    </row>
    <row r="77" spans="1:7">
      <c r="B77" s="100"/>
      <c r="F77" s="39"/>
      <c r="G77" s="31"/>
    </row>
    <row r="78" spans="1:7" s="21" customFormat="1" ht="16.2">
      <c r="A78" s="72" t="s">
        <v>553</v>
      </c>
      <c r="B78" s="65" t="s">
        <v>683</v>
      </c>
      <c r="C78" s="68"/>
      <c r="D78" s="66"/>
      <c r="E78" s="98"/>
      <c r="G78" s="68"/>
    </row>
    <row r="79" spans="1:7" ht="16.2">
      <c r="A79" s="58"/>
      <c r="B79" s="40" t="s">
        <v>684</v>
      </c>
      <c r="C79" s="31"/>
      <c r="D79" s="35"/>
      <c r="E79" s="75"/>
      <c r="F79" s="39"/>
      <c r="G79" s="31"/>
    </row>
    <row r="80" spans="1:7">
      <c r="A80" s="58"/>
      <c r="B80" s="40" t="s">
        <v>685</v>
      </c>
      <c r="C80" s="31"/>
      <c r="D80" s="35"/>
      <c r="E80" s="75"/>
      <c r="F80" s="39"/>
      <c r="G80" s="31"/>
    </row>
    <row r="81" spans="1:8" ht="32.4">
      <c r="B81" s="27" t="s">
        <v>686</v>
      </c>
      <c r="C81" s="35"/>
      <c r="D81" s="35"/>
      <c r="E81" s="70"/>
      <c r="F81" s="31"/>
      <c r="G81" s="31"/>
    </row>
    <row r="82" spans="1:8">
      <c r="B82" s="40" t="s">
        <v>687</v>
      </c>
      <c r="C82" s="35"/>
      <c r="D82" s="58" t="s">
        <v>688</v>
      </c>
      <c r="E82" s="70"/>
      <c r="F82" s="31"/>
      <c r="G82" s="31"/>
    </row>
    <row r="83" spans="1:8">
      <c r="B83" s="27" t="s">
        <v>689</v>
      </c>
      <c r="C83" s="35"/>
      <c r="D83" s="35"/>
      <c r="E83" s="70"/>
      <c r="F83" s="31"/>
      <c r="G83" s="31"/>
    </row>
    <row r="84" spans="1:8" ht="16.2">
      <c r="B84" s="40" t="s">
        <v>690</v>
      </c>
      <c r="C84" s="35"/>
      <c r="D84" s="35"/>
      <c r="E84" s="70"/>
      <c r="F84" s="31"/>
      <c r="G84" s="31"/>
    </row>
    <row r="85" spans="1:8">
      <c r="B85" s="40" t="s">
        <v>691</v>
      </c>
      <c r="C85" s="35"/>
      <c r="D85" s="35"/>
      <c r="E85" s="70"/>
      <c r="F85" s="31"/>
      <c r="G85" s="31"/>
    </row>
    <row r="86" spans="1:8">
      <c r="B86" s="40" t="s">
        <v>692</v>
      </c>
      <c r="C86" s="35"/>
      <c r="D86" s="35"/>
      <c r="E86" s="70"/>
      <c r="F86" s="31"/>
      <c r="G86" s="31"/>
    </row>
    <row r="87" spans="1:8" ht="16.2">
      <c r="B87" s="40" t="s">
        <v>693</v>
      </c>
      <c r="C87" s="35"/>
      <c r="D87" s="58" t="s">
        <v>694</v>
      </c>
      <c r="E87" s="70"/>
      <c r="F87" s="31"/>
      <c r="G87" s="31"/>
    </row>
    <row r="88" spans="1:8" ht="27.6">
      <c r="B88" s="40" t="s">
        <v>695</v>
      </c>
      <c r="C88" s="35"/>
      <c r="D88" s="35"/>
      <c r="E88" s="70"/>
      <c r="F88" s="31"/>
      <c r="G88" s="31"/>
    </row>
    <row r="89" spans="1:8" ht="17.399999999999999">
      <c r="B89" s="40" t="s">
        <v>696</v>
      </c>
      <c r="C89" s="35"/>
      <c r="D89" s="35"/>
      <c r="E89" s="70"/>
      <c r="F89" s="31"/>
      <c r="G89" s="31"/>
    </row>
    <row r="90" spans="1:8">
      <c r="B90" s="40" t="s">
        <v>697</v>
      </c>
      <c r="C90" s="35"/>
      <c r="D90" s="35"/>
      <c r="E90" s="70"/>
      <c r="F90" s="31"/>
      <c r="G90" s="31"/>
    </row>
    <row r="91" spans="1:8">
      <c r="A91" s="33" t="s">
        <v>698</v>
      </c>
      <c r="B91" s="36" t="s">
        <v>699</v>
      </c>
      <c r="C91" s="35"/>
      <c r="D91" s="35"/>
      <c r="E91" s="31"/>
      <c r="F91" s="31"/>
      <c r="G91" s="31"/>
    </row>
    <row r="92" spans="1:8">
      <c r="A92" s="33" t="s">
        <v>551</v>
      </c>
      <c r="B92" s="36" t="s">
        <v>700</v>
      </c>
      <c r="C92" s="66"/>
      <c r="D92" s="35"/>
      <c r="E92" s="31"/>
    </row>
    <row r="93" spans="1:8" ht="27.6">
      <c r="B93" s="40" t="s">
        <v>701</v>
      </c>
      <c r="C93" s="68"/>
      <c r="E93" s="31"/>
    </row>
    <row r="94" spans="1:8">
      <c r="B94" s="78" t="s">
        <v>702</v>
      </c>
      <c r="C94" s="79"/>
      <c r="D94" s="79"/>
      <c r="E94" s="78"/>
      <c r="F94" s="78"/>
    </row>
    <row r="95" spans="1:8">
      <c r="B95" s="82"/>
      <c r="C95" s="81" t="s">
        <v>703</v>
      </c>
      <c r="D95" s="81" t="s">
        <v>704</v>
      </c>
      <c r="E95" s="81" t="s">
        <v>705</v>
      </c>
      <c r="F95" s="81" t="s">
        <v>706</v>
      </c>
      <c r="G95" s="81" t="s">
        <v>707</v>
      </c>
      <c r="H95" s="81" t="s">
        <v>708</v>
      </c>
    </row>
    <row r="96" spans="1:8">
      <c r="B96" s="106" t="s">
        <v>709</v>
      </c>
      <c r="C96" s="107" t="s">
        <v>710</v>
      </c>
      <c r="D96" s="85" t="s">
        <v>711</v>
      </c>
      <c r="E96" s="108" t="s">
        <v>712</v>
      </c>
      <c r="F96" s="87" t="s">
        <v>713</v>
      </c>
      <c r="G96" s="88" t="s">
        <v>714</v>
      </c>
      <c r="H96" s="88" t="s">
        <v>715</v>
      </c>
    </row>
    <row r="97" spans="1:8">
      <c r="B97" s="106" t="s">
        <v>716</v>
      </c>
      <c r="C97" s="107" t="s">
        <v>717</v>
      </c>
      <c r="D97" s="85" t="s">
        <v>718</v>
      </c>
      <c r="E97" s="86" t="s">
        <v>719</v>
      </c>
      <c r="F97" s="87" t="s">
        <v>720</v>
      </c>
      <c r="G97" s="88" t="s">
        <v>721</v>
      </c>
      <c r="H97" s="109" t="s">
        <v>722</v>
      </c>
    </row>
    <row r="98" spans="1:8" ht="16.2">
      <c r="B98" s="106" t="s">
        <v>723</v>
      </c>
      <c r="C98" s="107" t="s">
        <v>724</v>
      </c>
      <c r="D98" s="85" t="s">
        <v>725</v>
      </c>
      <c r="E98" s="86" t="s">
        <v>726</v>
      </c>
      <c r="F98" s="87" t="s">
        <v>727</v>
      </c>
      <c r="G98" s="88" t="s">
        <v>728</v>
      </c>
      <c r="H98" s="88" t="s">
        <v>729</v>
      </c>
    </row>
    <row r="99" spans="1:8" ht="16.2">
      <c r="B99" s="106" t="s">
        <v>730</v>
      </c>
      <c r="C99" s="107" t="s">
        <v>731</v>
      </c>
      <c r="D99" s="85" t="s">
        <v>732</v>
      </c>
      <c r="E99" s="86" t="s">
        <v>733</v>
      </c>
      <c r="F99" s="87" t="s">
        <v>734</v>
      </c>
      <c r="G99" s="88" t="s">
        <v>735</v>
      </c>
      <c r="H99" s="88" t="s">
        <v>736</v>
      </c>
    </row>
    <row r="100" spans="1:8" ht="16.2">
      <c r="B100" s="106" t="s">
        <v>737</v>
      </c>
      <c r="C100" s="107" t="s">
        <v>738</v>
      </c>
      <c r="D100" s="85" t="s">
        <v>739</v>
      </c>
      <c r="E100" s="86" t="s">
        <v>740</v>
      </c>
      <c r="F100" s="87" t="s">
        <v>741</v>
      </c>
      <c r="G100" s="88" t="s">
        <v>742</v>
      </c>
      <c r="H100" s="88" t="s">
        <v>743</v>
      </c>
    </row>
    <row r="101" spans="1:8">
      <c r="B101" s="24" t="s">
        <v>600</v>
      </c>
      <c r="C101" s="35"/>
      <c r="D101" s="35"/>
      <c r="E101" s="31"/>
    </row>
    <row r="102" spans="1:8">
      <c r="B102" s="27" t="s">
        <v>744</v>
      </c>
      <c r="C102" s="35"/>
      <c r="D102" s="35"/>
      <c r="E102" s="31"/>
    </row>
    <row r="103" spans="1:8">
      <c r="B103" s="40" t="s">
        <v>745</v>
      </c>
      <c r="C103" s="66"/>
      <c r="D103" s="35"/>
      <c r="E103" s="31"/>
    </row>
    <row r="104" spans="1:8" ht="16.2">
      <c r="B104" s="40" t="s">
        <v>746</v>
      </c>
      <c r="C104" s="31"/>
      <c r="E104" s="31"/>
    </row>
    <row r="105" spans="1:8" ht="16.2">
      <c r="B105" s="40" t="s">
        <v>747</v>
      </c>
      <c r="C105" s="31"/>
      <c r="E105" s="31"/>
    </row>
    <row r="106" spans="1:8" ht="16.2">
      <c r="B106" s="40" t="s">
        <v>748</v>
      </c>
      <c r="C106" s="31"/>
      <c r="E106" s="31"/>
    </row>
    <row r="107" spans="1:8">
      <c r="A107" s="33" t="s">
        <v>553</v>
      </c>
      <c r="B107" s="36" t="s">
        <v>699</v>
      </c>
      <c r="C107" s="31"/>
      <c r="D107" s="35"/>
      <c r="E107" s="31"/>
    </row>
    <row r="108" spans="1:8">
      <c r="B108" s="40" t="s">
        <v>749</v>
      </c>
      <c r="C108" s="31"/>
      <c r="E108" s="31"/>
    </row>
    <row r="109" spans="1:8" ht="16.2">
      <c r="B109" s="40" t="s">
        <v>750</v>
      </c>
      <c r="C109" s="31"/>
      <c r="E109" s="31"/>
    </row>
    <row r="110" spans="1:8" ht="16.2">
      <c r="B110" s="40" t="s">
        <v>751</v>
      </c>
      <c r="C110" s="31"/>
      <c r="E110" s="31"/>
    </row>
    <row r="111" spans="1:8" ht="16.2">
      <c r="B111" s="40" t="s">
        <v>752</v>
      </c>
      <c r="C111" s="31"/>
      <c r="E111" s="31"/>
    </row>
    <row r="112" spans="1:8">
      <c r="B112" s="40" t="s">
        <v>753</v>
      </c>
      <c r="C112" s="31"/>
      <c r="E112" s="31"/>
    </row>
    <row r="113" spans="1:32" ht="27.6">
      <c r="B113" s="40" t="s">
        <v>754</v>
      </c>
      <c r="C113" s="35"/>
      <c r="D113" s="35"/>
      <c r="E113" s="31"/>
    </row>
    <row r="114" spans="1:32" ht="16.2">
      <c r="B114" s="40" t="s">
        <v>755</v>
      </c>
      <c r="C114" s="35"/>
      <c r="D114" s="35"/>
      <c r="E114" s="31"/>
    </row>
    <row r="115" spans="1:32">
      <c r="B115" s="79" t="s">
        <v>756</v>
      </c>
      <c r="C115" s="79"/>
      <c r="D115" s="79"/>
      <c r="E115" s="79"/>
      <c r="F115" s="34"/>
    </row>
    <row r="116" spans="1:32" ht="16.8">
      <c r="B116" s="110" t="s">
        <v>757</v>
      </c>
      <c r="C116" s="81" t="s">
        <v>758</v>
      </c>
      <c r="D116" s="81" t="s">
        <v>759</v>
      </c>
      <c r="E116" s="81" t="s">
        <v>760</v>
      </c>
      <c r="F116" s="34"/>
    </row>
    <row r="117" spans="1:32">
      <c r="B117" s="111" t="s">
        <v>761</v>
      </c>
      <c r="C117" s="112"/>
      <c r="D117" s="112"/>
      <c r="E117" s="112"/>
      <c r="F117" s="34"/>
    </row>
    <row r="118" spans="1:32">
      <c r="B118" s="111" t="s">
        <v>762</v>
      </c>
      <c r="C118" s="113" t="s">
        <v>763</v>
      </c>
      <c r="D118" s="113" t="s">
        <v>764</v>
      </c>
      <c r="E118" s="113" t="s">
        <v>765</v>
      </c>
      <c r="F118" s="34"/>
    </row>
    <row r="119" spans="1:32">
      <c r="B119" s="111" t="s">
        <v>766</v>
      </c>
      <c r="C119" s="113" t="s">
        <v>767</v>
      </c>
      <c r="D119" s="113" t="s">
        <v>768</v>
      </c>
      <c r="E119" s="113" t="s">
        <v>769</v>
      </c>
      <c r="F119" s="34"/>
    </row>
    <row r="120" spans="1:32">
      <c r="B120" s="111" t="s">
        <v>770</v>
      </c>
      <c r="C120" s="113" t="s">
        <v>771</v>
      </c>
      <c r="D120" s="113" t="s">
        <v>772</v>
      </c>
      <c r="E120" s="113" t="s">
        <v>773</v>
      </c>
      <c r="F120" s="34"/>
    </row>
    <row r="121" spans="1:32">
      <c r="B121" s="111" t="s">
        <v>774</v>
      </c>
      <c r="C121" s="113" t="s">
        <v>775</v>
      </c>
      <c r="D121" s="113" t="s">
        <v>776</v>
      </c>
      <c r="E121" s="113" t="s">
        <v>777</v>
      </c>
      <c r="F121" s="34"/>
    </row>
    <row r="122" spans="1:32">
      <c r="B122" s="114" t="s">
        <v>778</v>
      </c>
      <c r="C122" s="92" t="s">
        <v>779</v>
      </c>
      <c r="D122" s="92" t="s">
        <v>780</v>
      </c>
      <c r="E122" s="92" t="s">
        <v>781</v>
      </c>
      <c r="F122" s="34"/>
    </row>
    <row r="123" spans="1:32">
      <c r="A123" s="33" t="s">
        <v>782</v>
      </c>
      <c r="B123" s="36" t="s">
        <v>783</v>
      </c>
      <c r="C123" s="35"/>
      <c r="D123" s="35"/>
      <c r="E123" s="31"/>
      <c r="F123" s="31"/>
      <c r="G123" s="31"/>
    </row>
    <row r="124" spans="1:32" s="24" customFormat="1">
      <c r="A124" s="33" t="s">
        <v>551</v>
      </c>
      <c r="B124" s="36" t="s">
        <v>784</v>
      </c>
      <c r="C124" s="33"/>
      <c r="D124" s="33"/>
      <c r="E124" s="58"/>
      <c r="F124" s="58"/>
      <c r="G124" s="58"/>
    </row>
    <row r="125" spans="1:32">
      <c r="B125" s="26" t="s">
        <v>785</v>
      </c>
      <c r="C125" s="31"/>
      <c r="D125" s="35"/>
      <c r="E125" s="25"/>
      <c r="F125" s="25"/>
      <c r="G125" s="31"/>
      <c r="T125" s="26"/>
      <c r="U125" s="31"/>
      <c r="V125" s="31"/>
      <c r="W125" s="31"/>
      <c r="X125" s="31"/>
      <c r="Y125" s="26"/>
      <c r="Z125" s="31"/>
      <c r="AA125" s="31"/>
      <c r="AD125" s="26"/>
      <c r="AE125" s="31"/>
      <c r="AF125" s="31"/>
    </row>
    <row r="126" spans="1:32">
      <c r="B126" s="25" t="s">
        <v>786</v>
      </c>
      <c r="C126" s="31"/>
      <c r="D126" s="35"/>
      <c r="E126" s="25"/>
      <c r="F126" s="25"/>
      <c r="G126" s="31"/>
      <c r="T126" s="26"/>
      <c r="U126" s="31"/>
      <c r="V126" s="31"/>
      <c r="W126" s="31"/>
      <c r="X126" s="31"/>
      <c r="Y126" s="26"/>
      <c r="Z126" s="31"/>
      <c r="AA126" s="31"/>
      <c r="AD126" s="26"/>
      <c r="AE126" s="31"/>
      <c r="AF126" s="31"/>
    </row>
    <row r="127" spans="1:32">
      <c r="B127" s="25" t="s">
        <v>787</v>
      </c>
      <c r="C127" s="31"/>
      <c r="D127" s="35"/>
      <c r="E127" s="25"/>
      <c r="F127" s="25"/>
      <c r="G127" s="31"/>
      <c r="T127" s="26"/>
      <c r="U127" s="31"/>
      <c r="V127" s="31"/>
      <c r="W127" s="31"/>
      <c r="X127" s="31"/>
      <c r="Y127" s="26"/>
      <c r="Z127" s="31"/>
      <c r="AA127" s="31"/>
      <c r="AD127" s="26"/>
      <c r="AE127" s="31"/>
      <c r="AF127" s="31"/>
    </row>
    <row r="128" spans="1:32">
      <c r="B128" s="25" t="s">
        <v>788</v>
      </c>
      <c r="C128" s="35"/>
      <c r="D128" s="35"/>
      <c r="E128" s="26"/>
      <c r="F128" s="31"/>
      <c r="G128" s="31"/>
      <c r="H128" s="31"/>
      <c r="I128" s="31"/>
      <c r="O128" s="26"/>
      <c r="P128" s="31"/>
      <c r="Q128" s="31"/>
      <c r="T128" s="26"/>
      <c r="U128" s="31"/>
      <c r="V128" s="31"/>
      <c r="W128" s="31"/>
      <c r="X128" s="31"/>
      <c r="Y128" s="26"/>
      <c r="Z128" s="31"/>
      <c r="AA128" s="31"/>
      <c r="AD128" s="26"/>
      <c r="AE128" s="31"/>
      <c r="AF128" s="31"/>
    </row>
    <row r="129" spans="1:32">
      <c r="B129" s="27" t="s">
        <v>789</v>
      </c>
      <c r="C129" s="58"/>
      <c r="D129" s="58"/>
      <c r="E129" s="26"/>
      <c r="F129" s="26"/>
      <c r="G129" s="31"/>
    </row>
    <row r="130" spans="1:32" s="24" customFormat="1">
      <c r="A130" s="33"/>
      <c r="B130" s="40" t="s">
        <v>790</v>
      </c>
      <c r="C130" s="58"/>
      <c r="D130" s="33"/>
      <c r="E130" s="58"/>
      <c r="F130" s="40"/>
      <c r="G130" s="40"/>
    </row>
    <row r="131" spans="1:32" s="24" customFormat="1">
      <c r="A131" s="33" t="s">
        <v>553</v>
      </c>
      <c r="B131" s="101" t="s">
        <v>791</v>
      </c>
      <c r="C131" s="33"/>
      <c r="D131" s="33"/>
      <c r="E131" s="40"/>
      <c r="F131" s="58"/>
      <c r="G131" s="58"/>
      <c r="H131" s="58"/>
      <c r="I131" s="58"/>
      <c r="O131" s="40"/>
      <c r="P131" s="58"/>
      <c r="Q131" s="58"/>
      <c r="T131" s="40"/>
      <c r="U131" s="58"/>
      <c r="V131" s="58"/>
      <c r="W131" s="58"/>
      <c r="X131" s="58"/>
      <c r="Y131" s="40"/>
      <c r="Z131" s="58"/>
      <c r="AA131" s="58"/>
      <c r="AD131" s="40"/>
      <c r="AE131" s="58"/>
      <c r="AF131" s="58"/>
    </row>
    <row r="132" spans="1:32" s="24" customFormat="1" ht="30">
      <c r="A132" s="58"/>
      <c r="B132" s="27" t="s">
        <v>792</v>
      </c>
      <c r="C132" s="58"/>
      <c r="D132" s="58"/>
      <c r="E132" s="40"/>
      <c r="F132" s="58"/>
      <c r="G132" s="58"/>
      <c r="H132" s="58"/>
      <c r="I132" s="58"/>
      <c r="O132" s="40"/>
      <c r="P132" s="58"/>
      <c r="Q132" s="58"/>
      <c r="T132" s="40"/>
      <c r="U132" s="58"/>
      <c r="V132" s="58"/>
      <c r="W132" s="58"/>
      <c r="X132" s="58"/>
      <c r="Y132" s="40"/>
      <c r="Z132" s="58"/>
      <c r="AA132" s="58"/>
      <c r="AD132" s="40"/>
      <c r="AE132" s="58"/>
      <c r="AF132" s="58"/>
    </row>
    <row r="133" spans="1:32" s="24" customFormat="1">
      <c r="A133" s="58"/>
      <c r="B133" s="27" t="s">
        <v>793</v>
      </c>
      <c r="C133" s="58"/>
      <c r="D133" s="58"/>
      <c r="E133" s="40"/>
      <c r="F133" s="58"/>
      <c r="G133" s="58"/>
      <c r="H133" s="58"/>
      <c r="I133" s="58"/>
      <c r="O133" s="40"/>
      <c r="P133" s="58"/>
      <c r="Q133" s="58"/>
      <c r="T133" s="40"/>
      <c r="U133" s="58"/>
      <c r="V133" s="58"/>
      <c r="W133" s="58"/>
      <c r="X133" s="58"/>
      <c r="Y133" s="40"/>
      <c r="Z133" s="58"/>
      <c r="AA133" s="58"/>
      <c r="AD133" s="40"/>
      <c r="AE133" s="58"/>
      <c r="AF133" s="58"/>
    </row>
    <row r="134" spans="1:32">
      <c r="B134" s="40" t="s">
        <v>794</v>
      </c>
      <c r="F134" s="34"/>
    </row>
    <row r="135" spans="1:32" s="24" customFormat="1">
      <c r="A135" s="33"/>
      <c r="B135" s="40" t="s">
        <v>795</v>
      </c>
      <c r="C135" s="33"/>
      <c r="D135" s="33"/>
      <c r="E135" s="40"/>
      <c r="F135" s="58"/>
      <c r="G135" s="58"/>
      <c r="H135" s="58"/>
      <c r="I135" s="58"/>
      <c r="O135" s="40"/>
      <c r="P135" s="58"/>
      <c r="Q135" s="58"/>
      <c r="T135" s="40"/>
      <c r="U135" s="58"/>
      <c r="V135" s="58"/>
      <c r="W135" s="58"/>
      <c r="X135" s="58"/>
      <c r="Y135" s="40"/>
      <c r="Z135" s="58"/>
      <c r="AA135" s="58"/>
      <c r="AD135" s="40"/>
      <c r="AE135" s="58"/>
      <c r="AF135" s="58"/>
    </row>
    <row r="136" spans="1:32" s="24" customFormat="1" ht="16.2">
      <c r="A136" s="33"/>
      <c r="B136" s="40" t="s">
        <v>796</v>
      </c>
      <c r="C136" s="33"/>
      <c r="D136" s="33"/>
      <c r="E136" s="40"/>
      <c r="F136" s="58"/>
      <c r="G136" s="58"/>
      <c r="H136" s="58"/>
      <c r="I136" s="58"/>
      <c r="O136" s="40"/>
      <c r="P136" s="58"/>
      <c r="Q136" s="58"/>
      <c r="T136" s="40"/>
      <c r="U136" s="58"/>
      <c r="V136" s="58"/>
      <c r="W136" s="58"/>
      <c r="X136" s="58"/>
      <c r="Y136" s="40"/>
      <c r="Z136" s="58"/>
      <c r="AA136" s="58"/>
      <c r="AD136" s="40"/>
      <c r="AE136" s="58"/>
      <c r="AF136" s="58"/>
    </row>
    <row r="137" spans="1:32" s="24" customFormat="1" ht="16.2">
      <c r="A137" s="33"/>
      <c r="B137" s="40" t="s">
        <v>797</v>
      </c>
      <c r="C137" s="33"/>
      <c r="D137" s="33"/>
      <c r="E137" s="40"/>
      <c r="F137" s="58"/>
      <c r="G137" s="58"/>
      <c r="H137" s="58"/>
      <c r="I137" s="58"/>
      <c r="O137" s="40"/>
      <c r="P137" s="58"/>
      <c r="Q137" s="58"/>
      <c r="T137" s="40"/>
      <c r="U137" s="58"/>
      <c r="V137" s="58"/>
      <c r="W137" s="58"/>
      <c r="X137" s="58"/>
      <c r="Y137" s="40"/>
      <c r="Z137" s="58"/>
      <c r="AA137" s="58"/>
      <c r="AD137" s="40"/>
      <c r="AE137" s="58"/>
      <c r="AF137" s="58"/>
    </row>
    <row r="138" spans="1:32" s="24" customFormat="1" ht="16.2">
      <c r="A138" s="33"/>
      <c r="B138" s="40" t="s">
        <v>798</v>
      </c>
      <c r="C138" s="33"/>
      <c r="D138" s="33"/>
      <c r="E138" s="40"/>
      <c r="F138" s="58"/>
      <c r="G138" s="58"/>
      <c r="H138" s="58"/>
      <c r="I138" s="58"/>
      <c r="O138" s="40"/>
      <c r="P138" s="58"/>
      <c r="Q138" s="58"/>
      <c r="T138" s="40"/>
      <c r="U138" s="58"/>
      <c r="V138" s="58"/>
      <c r="W138" s="58"/>
      <c r="X138" s="58"/>
      <c r="Y138" s="40"/>
      <c r="Z138" s="58"/>
      <c r="AA138" s="58"/>
      <c r="AD138" s="40"/>
      <c r="AE138" s="58"/>
      <c r="AF138" s="58"/>
    </row>
    <row r="139" spans="1:32" s="24" customFormat="1" ht="32.4">
      <c r="A139" s="33"/>
      <c r="B139" s="40" t="s">
        <v>799</v>
      </c>
      <c r="C139" s="33"/>
      <c r="D139" s="33"/>
      <c r="E139" s="40"/>
      <c r="F139" s="58"/>
      <c r="G139" s="58"/>
      <c r="H139" s="58"/>
      <c r="I139" s="58"/>
      <c r="O139" s="40"/>
      <c r="P139" s="58"/>
      <c r="Q139" s="58"/>
      <c r="T139" s="40"/>
      <c r="U139" s="58"/>
      <c r="V139" s="58"/>
      <c r="W139" s="58"/>
      <c r="X139" s="58"/>
      <c r="Y139" s="40"/>
      <c r="Z139" s="58"/>
      <c r="AA139" s="58"/>
      <c r="AD139" s="40"/>
      <c r="AE139" s="58"/>
      <c r="AF139" s="58"/>
    </row>
    <row r="140" spans="1:32" s="24" customFormat="1" ht="17.55" customHeight="1">
      <c r="A140" s="33"/>
      <c r="B140" s="115" t="s">
        <v>800</v>
      </c>
      <c r="C140" s="115"/>
      <c r="D140" s="115"/>
      <c r="E140" s="115"/>
      <c r="F140" s="115"/>
      <c r="G140" s="58"/>
      <c r="H140" s="58"/>
      <c r="I140" s="58"/>
      <c r="O140" s="40"/>
      <c r="P140" s="58"/>
      <c r="Q140" s="58"/>
      <c r="T140" s="40"/>
      <c r="U140" s="58"/>
      <c r="V140" s="58"/>
      <c r="W140" s="58"/>
      <c r="X140" s="58"/>
      <c r="Y140" s="40"/>
      <c r="Z140" s="58"/>
      <c r="AA140" s="58"/>
      <c r="AD140" s="40"/>
      <c r="AE140" s="58"/>
      <c r="AF140" s="58"/>
    </row>
    <row r="141" spans="1:32" s="24" customFormat="1" ht="16.8">
      <c r="A141" s="33"/>
      <c r="B141" s="116"/>
      <c r="C141" s="117"/>
      <c r="D141" s="117"/>
      <c r="E141" s="117"/>
      <c r="F141" s="117"/>
      <c r="G141" s="58"/>
      <c r="H141" s="58"/>
      <c r="I141" s="58"/>
      <c r="O141" s="40"/>
      <c r="P141" s="58"/>
      <c r="Q141" s="58"/>
      <c r="T141" s="40"/>
      <c r="U141" s="58"/>
      <c r="V141" s="58"/>
      <c r="W141" s="58"/>
      <c r="X141" s="58"/>
      <c r="Y141" s="40"/>
      <c r="Z141" s="58"/>
      <c r="AA141" s="58"/>
      <c r="AD141" s="40"/>
      <c r="AE141" s="58"/>
      <c r="AF141" s="58"/>
    </row>
    <row r="142" spans="1:32" s="24" customFormat="1" ht="16.95" customHeight="1">
      <c r="A142" s="33"/>
      <c r="B142" s="118" t="s">
        <v>801</v>
      </c>
      <c r="C142" s="386" t="s">
        <v>802</v>
      </c>
      <c r="D142" s="387"/>
      <c r="E142" s="386" t="s">
        <v>803</v>
      </c>
      <c r="F142" s="390"/>
      <c r="G142" s="387"/>
      <c r="H142" s="58"/>
      <c r="I142" s="58"/>
      <c r="O142" s="40"/>
      <c r="P142" s="58"/>
      <c r="Q142" s="58"/>
      <c r="T142" s="40"/>
      <c r="U142" s="58"/>
      <c r="V142" s="58"/>
      <c r="W142" s="58"/>
      <c r="X142" s="58"/>
      <c r="Y142" s="40"/>
      <c r="Z142" s="58"/>
      <c r="AA142" s="58"/>
      <c r="AD142" s="40"/>
      <c r="AE142" s="58"/>
      <c r="AF142" s="58"/>
    </row>
    <row r="143" spans="1:32" s="24" customFormat="1" ht="16.8">
      <c r="A143" s="33"/>
      <c r="B143" s="119" t="s">
        <v>804</v>
      </c>
      <c r="C143" s="388"/>
      <c r="D143" s="389"/>
      <c r="E143" s="388" t="s">
        <v>805</v>
      </c>
      <c r="F143" s="391"/>
      <c r="G143" s="389"/>
      <c r="H143" s="58"/>
      <c r="I143" s="58"/>
      <c r="O143" s="40"/>
      <c r="P143" s="58"/>
      <c r="Q143" s="58"/>
      <c r="T143" s="40"/>
      <c r="U143" s="58"/>
      <c r="V143" s="58"/>
      <c r="W143" s="58"/>
      <c r="X143" s="58"/>
      <c r="Y143" s="40"/>
      <c r="Z143" s="58"/>
      <c r="AA143" s="58"/>
      <c r="AD143" s="40"/>
      <c r="AE143" s="58"/>
      <c r="AF143" s="58"/>
    </row>
    <row r="144" spans="1:32" s="24" customFormat="1" ht="16.8">
      <c r="A144" s="33"/>
      <c r="B144" s="121"/>
      <c r="C144" s="122" t="s">
        <v>806</v>
      </c>
      <c r="D144" s="122" t="s">
        <v>807</v>
      </c>
      <c r="E144" s="120" t="s">
        <v>808</v>
      </c>
      <c r="F144" s="120" t="s">
        <v>809</v>
      </c>
      <c r="G144" s="120" t="s">
        <v>810</v>
      </c>
      <c r="H144" s="58"/>
      <c r="I144" s="58"/>
      <c r="O144" s="40"/>
      <c r="P144" s="58"/>
      <c r="Q144" s="58"/>
      <c r="T144" s="40"/>
      <c r="U144" s="58"/>
      <c r="V144" s="58"/>
      <c r="W144" s="58"/>
      <c r="X144" s="58"/>
      <c r="Y144" s="40"/>
      <c r="Z144" s="58"/>
      <c r="AA144" s="58"/>
      <c r="AD144" s="40"/>
      <c r="AE144" s="58"/>
      <c r="AF144" s="58"/>
    </row>
    <row r="145" spans="1:43" s="24" customFormat="1" ht="16.8">
      <c r="A145" s="33"/>
      <c r="B145" s="382" t="s">
        <v>189</v>
      </c>
      <c r="C145" s="122" t="s">
        <v>811</v>
      </c>
      <c r="D145" s="122"/>
      <c r="E145" s="123" t="s">
        <v>812</v>
      </c>
      <c r="F145" s="123" t="s">
        <v>813</v>
      </c>
      <c r="G145" s="123" t="s">
        <v>814</v>
      </c>
      <c r="H145" s="58"/>
      <c r="I145" s="58"/>
      <c r="O145" s="40"/>
      <c r="P145" s="58"/>
      <c r="Q145" s="58"/>
      <c r="T145" s="40"/>
      <c r="U145" s="58"/>
      <c r="V145" s="58"/>
      <c r="W145" s="58"/>
      <c r="X145" s="58"/>
      <c r="Y145" s="40"/>
      <c r="Z145" s="58"/>
      <c r="AA145" s="58"/>
      <c r="AD145" s="40"/>
      <c r="AE145" s="58"/>
      <c r="AF145" s="58"/>
    </row>
    <row r="146" spans="1:43" s="24" customFormat="1" ht="16.8">
      <c r="A146" s="33"/>
      <c r="B146" s="383"/>
      <c r="C146" s="122"/>
      <c r="D146" s="122" t="s">
        <v>811</v>
      </c>
      <c r="E146" s="123" t="s">
        <v>815</v>
      </c>
      <c r="F146" s="123" t="s">
        <v>816</v>
      </c>
      <c r="G146" s="123" t="s">
        <v>817</v>
      </c>
      <c r="H146" s="58"/>
      <c r="I146" s="58"/>
      <c r="O146" s="40"/>
      <c r="P146" s="58"/>
      <c r="Q146" s="58"/>
      <c r="T146" s="40"/>
      <c r="U146" s="58"/>
      <c r="V146" s="58"/>
      <c r="W146" s="58"/>
      <c r="X146" s="58"/>
      <c r="Y146" s="40"/>
      <c r="Z146" s="58"/>
      <c r="AA146" s="58"/>
      <c r="AD146" s="40"/>
      <c r="AE146" s="58"/>
      <c r="AF146" s="58"/>
    </row>
    <row r="147" spans="1:43" s="24" customFormat="1" ht="16.8">
      <c r="A147" s="33"/>
      <c r="B147" s="124" t="s">
        <v>190</v>
      </c>
      <c r="C147" s="123"/>
      <c r="D147" s="123"/>
      <c r="E147" s="123" t="s">
        <v>815</v>
      </c>
      <c r="F147" s="123" t="s">
        <v>818</v>
      </c>
      <c r="G147" s="123" t="s">
        <v>817</v>
      </c>
      <c r="H147" s="58"/>
      <c r="I147" s="58"/>
      <c r="O147" s="40"/>
      <c r="P147" s="58"/>
      <c r="Q147" s="58"/>
      <c r="T147" s="40"/>
      <c r="U147" s="58"/>
      <c r="V147" s="58"/>
      <c r="W147" s="58"/>
      <c r="X147" s="58"/>
      <c r="Y147" s="40"/>
      <c r="Z147" s="58"/>
      <c r="AA147" s="58"/>
      <c r="AD147" s="40"/>
      <c r="AE147" s="58"/>
      <c r="AF147" s="58"/>
    </row>
    <row r="148" spans="1:43" s="24" customFormat="1">
      <c r="A148" s="33" t="s">
        <v>555</v>
      </c>
      <c r="B148" s="36" t="s">
        <v>819</v>
      </c>
      <c r="C148" s="33"/>
      <c r="D148" s="33"/>
      <c r="E148" s="40"/>
      <c r="F148" s="58"/>
      <c r="G148" s="58"/>
      <c r="H148" s="58"/>
      <c r="I148" s="58"/>
      <c r="O148" s="40"/>
      <c r="P148" s="58"/>
      <c r="Q148" s="58"/>
      <c r="T148" s="40"/>
      <c r="U148" s="58"/>
      <c r="V148" s="58"/>
      <c r="W148" s="58"/>
      <c r="X148" s="58"/>
      <c r="Y148" s="40"/>
      <c r="Z148" s="58"/>
      <c r="AA148" s="58"/>
      <c r="AD148" s="40"/>
      <c r="AE148" s="58"/>
      <c r="AF148" s="58"/>
    </row>
    <row r="149" spans="1:43" s="24" customFormat="1" ht="30">
      <c r="A149" s="33"/>
      <c r="B149" s="40" t="s">
        <v>820</v>
      </c>
      <c r="C149" s="33"/>
      <c r="D149" s="33"/>
      <c r="E149" s="40"/>
      <c r="F149" s="58"/>
      <c r="G149" s="58"/>
      <c r="H149" s="58"/>
      <c r="I149" s="58"/>
      <c r="O149" s="40"/>
      <c r="P149" s="58"/>
      <c r="Q149" s="58"/>
      <c r="T149" s="40"/>
      <c r="U149" s="58"/>
      <c r="V149" s="58"/>
      <c r="W149" s="58"/>
      <c r="X149" s="58"/>
      <c r="Y149" s="40"/>
      <c r="Z149" s="58"/>
      <c r="AA149" s="58"/>
      <c r="AD149" s="40"/>
      <c r="AE149" s="58"/>
      <c r="AF149" s="58"/>
    </row>
    <row r="150" spans="1:43" s="24" customFormat="1">
      <c r="A150" s="33"/>
      <c r="B150" s="40" t="s">
        <v>821</v>
      </c>
      <c r="C150" s="33"/>
      <c r="D150" s="33"/>
      <c r="E150" s="40"/>
      <c r="F150" s="58"/>
      <c r="G150" s="58"/>
      <c r="H150" s="58"/>
      <c r="I150" s="58"/>
      <c r="O150" s="40"/>
      <c r="P150" s="58"/>
      <c r="Q150" s="58"/>
      <c r="T150" s="40"/>
      <c r="U150" s="58"/>
      <c r="V150" s="58"/>
      <c r="W150" s="58"/>
      <c r="X150" s="58"/>
      <c r="Y150" s="40"/>
      <c r="Z150" s="58"/>
      <c r="AA150" s="58"/>
      <c r="AD150" s="40"/>
      <c r="AE150" s="58"/>
      <c r="AF150" s="58"/>
    </row>
    <row r="151" spans="1:43">
      <c r="B151" s="40" t="s">
        <v>822</v>
      </c>
      <c r="C151" s="31"/>
      <c r="D151" s="35"/>
      <c r="E151" s="25"/>
      <c r="F151" s="25"/>
      <c r="G151" s="31"/>
    </row>
    <row r="152" spans="1:43">
      <c r="B152" s="27" t="s">
        <v>823</v>
      </c>
      <c r="C152" s="31"/>
      <c r="D152" s="35"/>
      <c r="E152" s="25"/>
      <c r="F152" s="25"/>
      <c r="G152" s="31"/>
    </row>
    <row r="153" spans="1:43" ht="27.6">
      <c r="B153" s="40" t="s">
        <v>824</v>
      </c>
      <c r="C153" s="31"/>
      <c r="E153" s="31"/>
      <c r="G153" s="26"/>
      <c r="H153" s="34"/>
      <c r="I153" s="26"/>
      <c r="O153" s="26"/>
      <c r="P153" s="26"/>
      <c r="Q153" s="26"/>
      <c r="T153" s="26"/>
      <c r="U153" s="26"/>
      <c r="V153" s="26"/>
      <c r="W153" s="26"/>
      <c r="X153" s="26"/>
      <c r="Y153" s="26"/>
      <c r="Z153" s="26"/>
      <c r="AA153" s="26"/>
      <c r="AD153" s="26"/>
      <c r="AE153" s="26"/>
      <c r="AF153" s="26"/>
      <c r="AO153" s="26"/>
      <c r="AP153" s="26"/>
      <c r="AQ153" s="26"/>
    </row>
    <row r="154" spans="1:43">
      <c r="B154" s="35" t="s">
        <v>825</v>
      </c>
      <c r="C154" s="31"/>
      <c r="E154" s="31"/>
      <c r="F154" s="31"/>
      <c r="G154" s="26"/>
      <c r="H154" s="34"/>
      <c r="I154" s="26"/>
      <c r="O154" s="26"/>
      <c r="P154" s="26"/>
      <c r="Q154" s="26"/>
      <c r="T154" s="26"/>
      <c r="U154" s="26"/>
      <c r="V154" s="26"/>
      <c r="W154" s="26"/>
      <c r="X154" s="26"/>
      <c r="Y154" s="26"/>
      <c r="Z154" s="26"/>
      <c r="AA154" s="26"/>
      <c r="AD154" s="26"/>
      <c r="AE154" s="26"/>
      <c r="AF154" s="26"/>
      <c r="AO154" s="26"/>
      <c r="AP154" s="26"/>
      <c r="AQ154" s="26"/>
    </row>
    <row r="155" spans="1:43" ht="16.8">
      <c r="B155" s="118" t="s">
        <v>826</v>
      </c>
      <c r="C155" s="384" t="s">
        <v>827</v>
      </c>
      <c r="D155" s="384" t="s">
        <v>828</v>
      </c>
      <c r="E155" s="392" t="s">
        <v>829</v>
      </c>
      <c r="F155" s="393"/>
      <c r="G155" s="394"/>
      <c r="H155" s="34"/>
      <c r="I155" s="26"/>
      <c r="O155" s="26"/>
      <c r="P155" s="26"/>
      <c r="Q155" s="26"/>
      <c r="T155" s="26"/>
      <c r="U155" s="26"/>
      <c r="V155" s="26"/>
      <c r="W155" s="26"/>
      <c r="X155" s="26"/>
      <c r="Y155" s="26"/>
      <c r="Z155" s="26"/>
      <c r="AA155" s="26"/>
      <c r="AD155" s="26"/>
      <c r="AE155" s="26"/>
      <c r="AF155" s="26"/>
      <c r="AO155" s="26"/>
      <c r="AP155" s="26"/>
      <c r="AQ155" s="26"/>
    </row>
    <row r="156" spans="1:43" ht="16.8">
      <c r="B156" s="125" t="s">
        <v>830</v>
      </c>
      <c r="C156" s="385"/>
      <c r="D156" s="385"/>
      <c r="E156" s="122" t="s">
        <v>831</v>
      </c>
      <c r="F156" s="122" t="s">
        <v>832</v>
      </c>
      <c r="G156" s="122" t="s">
        <v>833</v>
      </c>
      <c r="H156" s="34"/>
      <c r="I156" s="26"/>
      <c r="O156" s="26"/>
      <c r="P156" s="26"/>
      <c r="Q156" s="26"/>
      <c r="T156" s="26"/>
      <c r="U156" s="26"/>
      <c r="V156" s="26"/>
      <c r="W156" s="26"/>
      <c r="X156" s="26"/>
      <c r="Y156" s="26"/>
      <c r="Z156" s="26"/>
      <c r="AA156" s="26"/>
      <c r="AD156" s="26"/>
      <c r="AE156" s="26"/>
      <c r="AF156" s="26"/>
      <c r="AO156" s="26"/>
      <c r="AP156" s="26"/>
      <c r="AQ156" s="26"/>
    </row>
    <row r="157" spans="1:43" ht="16.8">
      <c r="B157" s="126" t="s">
        <v>189</v>
      </c>
      <c r="C157" s="127">
        <v>4</v>
      </c>
      <c r="D157" s="127"/>
      <c r="E157" s="127">
        <v>1</v>
      </c>
      <c r="F157" s="127">
        <v>1</v>
      </c>
      <c r="G157" s="128">
        <v>1</v>
      </c>
      <c r="H157" s="34"/>
      <c r="I157" s="26"/>
      <c r="O157" s="26"/>
      <c r="P157" s="26"/>
      <c r="Q157" s="26"/>
      <c r="T157" s="26"/>
      <c r="U157" s="26"/>
      <c r="V157" s="26"/>
      <c r="W157" s="26"/>
      <c r="X157" s="26"/>
      <c r="Y157" s="26"/>
      <c r="Z157" s="26"/>
      <c r="AA157" s="26"/>
      <c r="AD157" s="26"/>
      <c r="AE157" s="26"/>
      <c r="AF157" s="26"/>
      <c r="AO157" s="26"/>
      <c r="AP157" s="26"/>
      <c r="AQ157" s="26"/>
    </row>
    <row r="158" spans="1:43" ht="16.8">
      <c r="B158" s="126" t="s">
        <v>190</v>
      </c>
      <c r="C158" s="127">
        <v>2</v>
      </c>
      <c r="D158" s="127"/>
      <c r="E158" s="127">
        <v>0.87</v>
      </c>
      <c r="F158" s="127">
        <v>1.1299999999999999</v>
      </c>
      <c r="G158" s="128">
        <v>1</v>
      </c>
      <c r="H158" s="34"/>
      <c r="I158" s="26"/>
      <c r="O158" s="26"/>
      <c r="P158" s="26"/>
      <c r="Q158" s="26"/>
      <c r="T158" s="26"/>
      <c r="U158" s="26"/>
      <c r="V158" s="26"/>
      <c r="W158" s="26"/>
      <c r="X158" s="26"/>
      <c r="Y158" s="26"/>
      <c r="Z158" s="26"/>
      <c r="AA158" s="26"/>
      <c r="AD158" s="26"/>
      <c r="AE158" s="26"/>
      <c r="AF158" s="26"/>
      <c r="AO158" s="26"/>
      <c r="AP158" s="26"/>
      <c r="AQ158" s="26"/>
    </row>
    <row r="159" spans="1:43" ht="16.8">
      <c r="B159" s="126" t="s">
        <v>190</v>
      </c>
      <c r="C159" s="127">
        <v>4</v>
      </c>
      <c r="D159" s="127" t="s">
        <v>834</v>
      </c>
      <c r="E159" s="127">
        <v>0.5</v>
      </c>
      <c r="F159" s="127">
        <v>1.5</v>
      </c>
      <c r="G159" s="128">
        <v>1</v>
      </c>
      <c r="H159" s="34"/>
      <c r="I159" s="26"/>
      <c r="O159" s="26"/>
      <c r="P159" s="26"/>
      <c r="Q159" s="26"/>
      <c r="T159" s="26"/>
      <c r="U159" s="26"/>
      <c r="V159" s="26"/>
      <c r="W159" s="26"/>
      <c r="X159" s="26"/>
      <c r="Y159" s="26"/>
      <c r="Z159" s="26"/>
      <c r="AA159" s="26"/>
      <c r="AD159" s="26"/>
      <c r="AE159" s="26"/>
      <c r="AF159" s="26"/>
      <c r="AO159" s="26"/>
      <c r="AP159" s="26"/>
      <c r="AQ159" s="26"/>
    </row>
    <row r="160" spans="1:43" ht="16.8">
      <c r="B160" s="126" t="s">
        <v>190</v>
      </c>
      <c r="C160" s="127">
        <v>4</v>
      </c>
      <c r="D160" s="127" t="s">
        <v>835</v>
      </c>
      <c r="E160" s="127">
        <v>0.6</v>
      </c>
      <c r="F160" s="127">
        <v>1.4</v>
      </c>
      <c r="G160" s="128">
        <v>1</v>
      </c>
      <c r="H160" s="34"/>
      <c r="I160" s="26"/>
      <c r="O160" s="26"/>
      <c r="P160" s="26"/>
      <c r="Q160" s="26"/>
      <c r="T160" s="26"/>
      <c r="U160" s="26"/>
      <c r="V160" s="26"/>
      <c r="W160" s="26"/>
      <c r="X160" s="26"/>
      <c r="Y160" s="26"/>
      <c r="Z160" s="26"/>
      <c r="AA160" s="26"/>
      <c r="AD160" s="26"/>
      <c r="AE160" s="26"/>
      <c r="AF160" s="26"/>
      <c r="AO160" s="26"/>
      <c r="AP160" s="26"/>
      <c r="AQ160" s="26"/>
    </row>
    <row r="161" spans="1:43" ht="16.8">
      <c r="B161" s="129" t="s">
        <v>190</v>
      </c>
      <c r="C161" s="130">
        <v>4</v>
      </c>
      <c r="D161" s="130" t="s">
        <v>836</v>
      </c>
      <c r="E161" s="130">
        <v>0.7</v>
      </c>
      <c r="F161" s="130">
        <v>1.3</v>
      </c>
      <c r="G161" s="123">
        <v>1</v>
      </c>
      <c r="H161" s="34"/>
      <c r="I161" s="26"/>
      <c r="O161" s="26"/>
      <c r="P161" s="26"/>
      <c r="Q161" s="26"/>
      <c r="T161" s="26"/>
      <c r="U161" s="26"/>
      <c r="V161" s="26"/>
      <c r="W161" s="26"/>
      <c r="X161" s="26"/>
      <c r="Y161" s="26"/>
      <c r="Z161" s="26"/>
      <c r="AA161" s="26"/>
      <c r="AD161" s="26"/>
      <c r="AE161" s="26"/>
      <c r="AF161" s="26"/>
      <c r="AO161" s="26"/>
      <c r="AP161" s="26"/>
      <c r="AQ161" s="26"/>
    </row>
    <row r="162" spans="1:43">
      <c r="A162" s="33" t="s">
        <v>837</v>
      </c>
      <c r="B162" s="36" t="s">
        <v>838</v>
      </c>
      <c r="C162" s="35"/>
      <c r="D162" s="35"/>
      <c r="E162" s="25"/>
      <c r="F162" s="25"/>
      <c r="G162" s="31"/>
    </row>
    <row r="163" spans="1:43">
      <c r="B163" s="25" t="s">
        <v>839</v>
      </c>
      <c r="C163" s="35"/>
      <c r="D163" s="35"/>
      <c r="E163" s="25"/>
      <c r="F163" s="25"/>
      <c r="G163" s="31"/>
    </row>
    <row r="164" spans="1:43">
      <c r="B164" s="25" t="s">
        <v>840</v>
      </c>
      <c r="C164" s="35"/>
      <c r="D164" s="35"/>
      <c r="E164" s="25"/>
      <c r="F164" s="25"/>
      <c r="G164" s="31"/>
    </row>
    <row r="165" spans="1:43">
      <c r="B165" s="25" t="s">
        <v>841</v>
      </c>
      <c r="C165" s="35"/>
      <c r="D165" s="35"/>
      <c r="E165" s="25"/>
      <c r="F165" s="25"/>
      <c r="G165" s="31"/>
    </row>
    <row r="166" spans="1:43">
      <c r="B166" s="25" t="s">
        <v>842</v>
      </c>
      <c r="C166" s="35"/>
      <c r="D166" s="35"/>
      <c r="E166" s="26"/>
      <c r="F166" s="25"/>
      <c r="G166" s="26"/>
      <c r="H166" s="26"/>
      <c r="I166" s="26"/>
      <c r="O166" s="25"/>
      <c r="P166" s="25"/>
      <c r="Q166" s="25"/>
      <c r="T166" s="25"/>
      <c r="U166" s="25"/>
      <c r="V166" s="25"/>
      <c r="W166" s="26"/>
      <c r="X166" s="26"/>
      <c r="Y166" s="26"/>
      <c r="Z166" s="26"/>
      <c r="AA166" s="26"/>
      <c r="AD166" s="26"/>
      <c r="AE166" s="26"/>
      <c r="AF166" s="26"/>
      <c r="AO166" s="26"/>
      <c r="AP166" s="26"/>
      <c r="AQ166" s="26"/>
    </row>
    <row r="167" spans="1:43">
      <c r="A167" s="33" t="s">
        <v>843</v>
      </c>
      <c r="B167" s="36" t="s">
        <v>844</v>
      </c>
      <c r="C167" s="35"/>
      <c r="D167" s="35"/>
      <c r="E167" s="25"/>
      <c r="F167" s="25"/>
      <c r="G167" s="31"/>
    </row>
    <row r="168" spans="1:43">
      <c r="A168" s="72" t="s">
        <v>551</v>
      </c>
      <c r="B168" s="65" t="s">
        <v>845</v>
      </c>
      <c r="C168" s="66"/>
      <c r="E168" s="25"/>
      <c r="F168" s="25"/>
      <c r="G168" s="31"/>
    </row>
    <row r="169" spans="1:43">
      <c r="B169" s="25" t="s">
        <v>846</v>
      </c>
      <c r="C169" s="31"/>
      <c r="F169" s="25"/>
      <c r="G169" s="31"/>
    </row>
    <row r="170" spans="1:43">
      <c r="B170" s="25" t="s">
        <v>847</v>
      </c>
      <c r="C170" s="31"/>
      <c r="F170" s="25"/>
      <c r="G170" s="31"/>
    </row>
    <row r="171" spans="1:43">
      <c r="B171" s="40" t="s">
        <v>848</v>
      </c>
      <c r="C171" s="31"/>
      <c r="D171" s="31" t="s">
        <v>849</v>
      </c>
      <c r="F171" s="25"/>
      <c r="G171" s="31"/>
    </row>
    <row r="172" spans="1:43">
      <c r="B172" s="40" t="s">
        <v>850</v>
      </c>
      <c r="C172" s="31"/>
      <c r="F172" s="25"/>
      <c r="G172" s="31"/>
    </row>
    <row r="173" spans="1:43">
      <c r="A173" s="72" t="s">
        <v>553</v>
      </c>
      <c r="B173" s="65" t="s">
        <v>851</v>
      </c>
      <c r="C173" s="66"/>
      <c r="F173" s="25"/>
      <c r="G173" s="31"/>
    </row>
    <row r="174" spans="1:43">
      <c r="B174" s="25" t="s">
        <v>846</v>
      </c>
      <c r="C174" s="31"/>
      <c r="D174" s="35"/>
      <c r="F174" s="25"/>
      <c r="G174" s="31"/>
    </row>
    <row r="175" spans="1:43">
      <c r="B175" s="25" t="s">
        <v>847</v>
      </c>
      <c r="C175" s="31"/>
      <c r="D175" s="35"/>
      <c r="E175" s="26"/>
      <c r="F175" s="26"/>
      <c r="G175" s="31"/>
    </row>
    <row r="176" spans="1:43">
      <c r="B176" s="40" t="s">
        <v>848</v>
      </c>
      <c r="C176" s="31"/>
      <c r="D176" s="35"/>
      <c r="E176" s="26"/>
      <c r="F176" s="26"/>
      <c r="G176" s="31"/>
    </row>
    <row r="177" spans="1:17">
      <c r="B177" s="40" t="s">
        <v>850</v>
      </c>
      <c r="C177" s="31"/>
      <c r="D177" s="35"/>
      <c r="E177" s="26"/>
      <c r="F177" s="26"/>
      <c r="G177" s="31"/>
    </row>
    <row r="178" spans="1:17">
      <c r="A178" s="33" t="s">
        <v>852</v>
      </c>
      <c r="B178" s="36" t="s">
        <v>853</v>
      </c>
      <c r="C178" s="35"/>
      <c r="D178" s="35"/>
      <c r="E178" s="25"/>
      <c r="F178" s="25"/>
      <c r="G178" s="31"/>
    </row>
    <row r="179" spans="1:17">
      <c r="A179" s="58" t="s">
        <v>551</v>
      </c>
      <c r="B179" s="40" t="s">
        <v>854</v>
      </c>
      <c r="C179" s="31"/>
      <c r="E179" s="25"/>
      <c r="F179" s="25"/>
      <c r="G179" s="25"/>
      <c r="H179" s="26"/>
      <c r="I179" s="26"/>
      <c r="O179" s="26"/>
      <c r="P179" s="26"/>
      <c r="Q179" s="26"/>
    </row>
    <row r="180" spans="1:17" ht="27.6">
      <c r="A180" s="58"/>
      <c r="B180" s="40" t="s">
        <v>855</v>
      </c>
      <c r="C180" s="31"/>
      <c r="E180" s="25"/>
      <c r="F180" s="25"/>
      <c r="G180" s="25"/>
      <c r="H180" s="26"/>
      <c r="I180" s="26"/>
      <c r="O180" s="26"/>
      <c r="P180" s="26"/>
      <c r="Q180" s="26"/>
    </row>
    <row r="181" spans="1:17">
      <c r="A181" s="58"/>
      <c r="B181" s="40" t="s">
        <v>856</v>
      </c>
      <c r="C181" s="31"/>
      <c r="F181" s="25"/>
      <c r="G181" s="25"/>
      <c r="H181" s="26"/>
      <c r="I181" s="26"/>
      <c r="O181" s="26"/>
      <c r="P181" s="26"/>
      <c r="Q181" s="26"/>
    </row>
    <row r="182" spans="1:17">
      <c r="A182" s="58"/>
      <c r="B182" s="40" t="s">
        <v>857</v>
      </c>
      <c r="C182" s="31"/>
      <c r="E182" s="25"/>
      <c r="F182" s="25"/>
      <c r="G182" s="25"/>
      <c r="H182" s="26"/>
      <c r="I182" s="26"/>
      <c r="O182" s="26"/>
      <c r="P182" s="26"/>
      <c r="Q182" s="26"/>
    </row>
    <row r="183" spans="1:17">
      <c r="A183" s="58"/>
      <c r="B183" s="40" t="s">
        <v>858</v>
      </c>
      <c r="C183" s="31"/>
      <c r="E183" s="25"/>
      <c r="F183" s="25"/>
      <c r="G183" s="25"/>
      <c r="H183" s="26"/>
      <c r="I183" s="26"/>
      <c r="O183" s="26"/>
      <c r="P183" s="26"/>
      <c r="Q183" s="26"/>
    </row>
    <row r="184" spans="1:17" ht="16.2">
      <c r="A184" s="58"/>
      <c r="B184" s="40" t="s">
        <v>859</v>
      </c>
      <c r="C184" s="31"/>
      <c r="E184" s="25"/>
      <c r="F184" s="25"/>
      <c r="G184" s="25"/>
      <c r="H184" s="26"/>
      <c r="I184" s="26"/>
      <c r="O184" s="26"/>
      <c r="P184" s="26"/>
      <c r="Q184" s="26"/>
    </row>
    <row r="185" spans="1:17" ht="16.2">
      <c r="A185" s="58"/>
      <c r="B185" s="40" t="s">
        <v>860</v>
      </c>
      <c r="C185" s="31"/>
      <c r="E185" s="25"/>
      <c r="F185" s="26"/>
      <c r="G185" s="25"/>
      <c r="H185" s="26"/>
      <c r="I185" s="26"/>
      <c r="O185" s="26"/>
      <c r="P185" s="26"/>
      <c r="Q185" s="26"/>
    </row>
    <row r="186" spans="1:17" ht="16.2">
      <c r="A186" s="58"/>
      <c r="B186" s="40" t="s">
        <v>861</v>
      </c>
      <c r="C186" s="31"/>
      <c r="E186" s="25"/>
      <c r="F186" s="26"/>
      <c r="G186" s="25"/>
      <c r="H186" s="26"/>
      <c r="I186" s="26"/>
      <c r="O186" s="26"/>
      <c r="P186" s="26"/>
      <c r="Q186" s="26"/>
    </row>
    <row r="187" spans="1:17" ht="16.2">
      <c r="A187" s="58"/>
      <c r="B187" s="40" t="s">
        <v>862</v>
      </c>
      <c r="C187" s="31"/>
      <c r="E187" s="25"/>
      <c r="F187" s="25"/>
      <c r="G187" s="25"/>
      <c r="H187" s="26"/>
      <c r="I187" s="26"/>
      <c r="O187" s="26"/>
      <c r="P187" s="26"/>
      <c r="Q187" s="26"/>
    </row>
    <row r="188" spans="1:17">
      <c r="A188" s="58" t="s">
        <v>553</v>
      </c>
      <c r="B188" s="40" t="s">
        <v>863</v>
      </c>
      <c r="C188" s="31"/>
      <c r="E188" s="25"/>
      <c r="F188" s="25"/>
      <c r="G188" s="25"/>
      <c r="H188" s="26"/>
      <c r="I188" s="26"/>
      <c r="O188" s="26"/>
      <c r="P188" s="26"/>
      <c r="Q188" s="26"/>
    </row>
    <row r="189" spans="1:17" ht="16.2">
      <c r="A189" s="58"/>
      <c r="B189" s="40" t="s">
        <v>864</v>
      </c>
      <c r="C189" s="31"/>
      <c r="E189" s="25"/>
      <c r="F189" s="25"/>
      <c r="G189" s="25"/>
      <c r="H189" s="26"/>
      <c r="I189" s="26"/>
      <c r="O189" s="26"/>
      <c r="P189" s="26"/>
      <c r="Q189" s="26"/>
    </row>
    <row r="190" spans="1:17">
      <c r="A190" s="58"/>
      <c r="B190" s="40" t="s">
        <v>865</v>
      </c>
      <c r="C190" s="31"/>
      <c r="E190" s="25"/>
      <c r="F190" s="25"/>
      <c r="G190" s="25"/>
      <c r="H190" s="26"/>
      <c r="I190" s="26"/>
      <c r="O190" s="26"/>
      <c r="P190" s="26"/>
      <c r="Q190" s="26"/>
    </row>
    <row r="191" spans="1:17" ht="27.6">
      <c r="A191" s="58"/>
      <c r="B191" s="40" t="s">
        <v>866</v>
      </c>
      <c r="C191" s="31"/>
      <c r="E191" s="25"/>
      <c r="F191" s="25"/>
      <c r="G191" s="25"/>
      <c r="H191" s="26"/>
      <c r="I191" s="26"/>
      <c r="O191" s="26"/>
      <c r="P191" s="26"/>
      <c r="Q191" s="26"/>
    </row>
    <row r="192" spans="1:17" ht="16.2">
      <c r="A192" s="58"/>
      <c r="B192" s="40" t="s">
        <v>867</v>
      </c>
      <c r="C192" s="31"/>
      <c r="E192" s="25"/>
      <c r="F192" s="25"/>
      <c r="G192" s="25"/>
      <c r="H192" s="26"/>
      <c r="I192" s="26"/>
      <c r="O192" s="26"/>
      <c r="P192" s="26"/>
      <c r="Q192" s="26"/>
    </row>
    <row r="193" spans="1:17" ht="16.2">
      <c r="A193" s="58"/>
      <c r="B193" s="40" t="s">
        <v>868</v>
      </c>
      <c r="C193" s="31"/>
      <c r="E193" s="25"/>
      <c r="F193" s="25"/>
      <c r="G193" s="25"/>
      <c r="H193" s="26"/>
      <c r="I193" s="26"/>
      <c r="O193" s="26"/>
      <c r="P193" s="26"/>
      <c r="Q193" s="26"/>
    </row>
    <row r="194" spans="1:17" ht="16.2">
      <c r="A194" s="58"/>
      <c r="B194" s="40" t="s">
        <v>869</v>
      </c>
      <c r="C194" s="31"/>
      <c r="E194" s="25"/>
      <c r="F194" s="25"/>
      <c r="G194" s="25"/>
      <c r="H194" s="26"/>
      <c r="I194" s="26"/>
      <c r="O194" s="26"/>
      <c r="P194" s="26"/>
      <c r="Q194" s="26"/>
    </row>
    <row r="195" spans="1:17" ht="16.2">
      <c r="A195" s="58"/>
      <c r="B195" s="40" t="s">
        <v>870</v>
      </c>
      <c r="C195" s="31"/>
      <c r="E195" s="25"/>
      <c r="F195" s="25"/>
      <c r="G195" s="25"/>
      <c r="H195" s="26"/>
      <c r="I195" s="26"/>
      <c r="O195" s="26"/>
      <c r="P195" s="26"/>
      <c r="Q195" s="26"/>
    </row>
    <row r="196" spans="1:17" ht="16.2">
      <c r="A196" s="58"/>
      <c r="B196" s="40" t="s">
        <v>871</v>
      </c>
      <c r="C196" s="31"/>
      <c r="E196" s="25"/>
      <c r="F196" s="25"/>
      <c r="G196" s="25"/>
      <c r="H196" s="26"/>
      <c r="I196" s="26"/>
      <c r="O196" s="26"/>
      <c r="P196" s="26"/>
      <c r="Q196" s="26"/>
    </row>
    <row r="197" spans="1:17">
      <c r="A197" s="58"/>
      <c r="B197" s="40" t="s">
        <v>872</v>
      </c>
      <c r="C197" s="31"/>
      <c r="E197" s="25"/>
      <c r="F197" s="25"/>
      <c r="G197" s="25"/>
      <c r="H197" s="26"/>
      <c r="I197" s="26"/>
      <c r="O197" s="26"/>
      <c r="P197" s="26"/>
      <c r="Q197" s="26"/>
    </row>
    <row r="198" spans="1:17">
      <c r="A198" s="58"/>
      <c r="B198" s="40" t="s">
        <v>873</v>
      </c>
      <c r="C198" s="31"/>
      <c r="E198" s="31"/>
      <c r="F198" s="26"/>
      <c r="G198" s="25"/>
      <c r="H198" s="26"/>
      <c r="I198" s="26"/>
      <c r="O198" s="26"/>
      <c r="P198" s="26"/>
      <c r="Q198" s="26"/>
    </row>
    <row r="199" spans="1:17">
      <c r="A199" s="58"/>
      <c r="B199" s="40" t="s">
        <v>874</v>
      </c>
      <c r="C199" s="31"/>
      <c r="E199" s="31"/>
      <c r="F199" s="26"/>
      <c r="G199" s="25"/>
      <c r="H199" s="26"/>
      <c r="I199" s="26"/>
      <c r="O199" s="26"/>
      <c r="P199" s="26"/>
      <c r="Q199" s="26"/>
    </row>
    <row r="200" spans="1:17">
      <c r="A200" s="33" t="s">
        <v>875</v>
      </c>
      <c r="B200" s="36" t="s">
        <v>876</v>
      </c>
      <c r="C200" s="35"/>
      <c r="D200" s="35"/>
      <c r="E200" s="25"/>
      <c r="F200" s="25"/>
      <c r="G200" s="31"/>
    </row>
    <row r="201" spans="1:17" s="22" customFormat="1">
      <c r="A201" s="72" t="s">
        <v>551</v>
      </c>
      <c r="B201" s="131" t="s">
        <v>877</v>
      </c>
      <c r="C201" s="66"/>
      <c r="D201" s="66"/>
      <c r="E201" s="132"/>
      <c r="F201" s="132"/>
      <c r="G201" s="132"/>
      <c r="H201" s="131"/>
      <c r="I201" s="131"/>
      <c r="O201" s="131"/>
      <c r="P201" s="131"/>
      <c r="Q201" s="131"/>
    </row>
    <row r="202" spans="1:17">
      <c r="B202" s="26" t="s">
        <v>878</v>
      </c>
      <c r="C202" s="31"/>
      <c r="D202" s="35"/>
      <c r="E202" s="31"/>
      <c r="F202" s="31"/>
      <c r="G202" s="31"/>
      <c r="H202" s="31"/>
      <c r="I202" s="25"/>
      <c r="O202" s="31"/>
      <c r="P202" s="31"/>
      <c r="Q202" s="25"/>
    </row>
    <row r="203" spans="1:17" ht="16.2">
      <c r="B203" s="25" t="s">
        <v>879</v>
      </c>
      <c r="C203" s="31"/>
      <c r="D203" s="35"/>
      <c r="E203" s="25"/>
      <c r="F203" s="25"/>
      <c r="G203" s="25"/>
      <c r="H203" s="26"/>
      <c r="I203" s="26"/>
      <c r="O203" s="26"/>
      <c r="P203" s="26"/>
      <c r="Q203" s="26"/>
    </row>
    <row r="204" spans="1:17">
      <c r="B204" s="25" t="s">
        <v>880</v>
      </c>
      <c r="C204" s="31"/>
      <c r="D204" s="35"/>
      <c r="E204" s="25"/>
      <c r="F204" s="25"/>
      <c r="G204" s="25"/>
      <c r="H204" s="26"/>
      <c r="I204" s="26"/>
      <c r="O204" s="26"/>
      <c r="P204" s="26"/>
      <c r="Q204" s="26"/>
    </row>
    <row r="205" spans="1:17">
      <c r="B205" s="25" t="s">
        <v>881</v>
      </c>
      <c r="C205" s="31"/>
      <c r="D205" s="35"/>
      <c r="E205" s="25"/>
      <c r="F205" s="25"/>
      <c r="G205" s="25"/>
      <c r="H205" s="26"/>
      <c r="I205" s="26"/>
      <c r="O205" s="26"/>
      <c r="P205" s="26"/>
      <c r="Q205" s="26"/>
    </row>
    <row r="206" spans="1:17" ht="16.2">
      <c r="B206" s="25" t="s">
        <v>882</v>
      </c>
      <c r="C206" s="31"/>
      <c r="D206" s="35"/>
      <c r="E206" s="25"/>
      <c r="F206" s="25"/>
      <c r="G206" s="25"/>
      <c r="H206" s="26"/>
      <c r="I206" s="26"/>
      <c r="O206" s="26"/>
      <c r="P206" s="26"/>
      <c r="Q206" s="26"/>
    </row>
    <row r="207" spans="1:17" ht="43.8">
      <c r="B207" s="40" t="s">
        <v>883</v>
      </c>
      <c r="C207" s="31"/>
      <c r="D207" s="35"/>
      <c r="E207" s="25"/>
      <c r="F207" s="25"/>
      <c r="G207" s="25"/>
      <c r="H207" s="26"/>
      <c r="I207" s="26"/>
      <c r="O207" s="26"/>
      <c r="P207" s="26"/>
      <c r="Q207" s="26"/>
    </row>
    <row r="208" spans="1:17" ht="16.2">
      <c r="B208" s="25" t="s">
        <v>884</v>
      </c>
      <c r="C208" s="31"/>
      <c r="D208" s="35"/>
      <c r="E208" s="25"/>
      <c r="F208" s="25"/>
      <c r="G208" s="25"/>
      <c r="H208" s="26"/>
      <c r="I208" s="26"/>
      <c r="O208" s="26"/>
      <c r="P208" s="26"/>
      <c r="Q208" s="26"/>
    </row>
    <row r="209" spans="2:43" ht="16.2">
      <c r="B209" s="25" t="s">
        <v>885</v>
      </c>
      <c r="C209" s="31"/>
      <c r="D209" s="35"/>
      <c r="E209" s="25"/>
      <c r="F209" s="25"/>
      <c r="G209" s="25"/>
      <c r="H209" s="26"/>
      <c r="I209" s="26"/>
      <c r="O209" s="26"/>
      <c r="P209" s="26"/>
      <c r="Q209" s="26"/>
      <c r="T209" s="25"/>
      <c r="U209" s="25"/>
      <c r="V209" s="25"/>
      <c r="W209" s="26"/>
      <c r="X209" s="26"/>
      <c r="Y209" s="26"/>
      <c r="Z209" s="26"/>
      <c r="AA209" s="26"/>
      <c r="AD209" s="26"/>
      <c r="AE209" s="26"/>
      <c r="AF209" s="26"/>
      <c r="AO209" s="26"/>
      <c r="AP209" s="26"/>
      <c r="AQ209" s="26"/>
    </row>
    <row r="210" spans="2:43">
      <c r="B210" s="25" t="s">
        <v>886</v>
      </c>
      <c r="C210" s="31"/>
      <c r="D210" s="35"/>
      <c r="E210" s="25"/>
      <c r="F210" s="25"/>
      <c r="G210" s="25"/>
      <c r="H210" s="26"/>
      <c r="I210" s="26"/>
      <c r="O210" s="26"/>
      <c r="P210" s="26"/>
      <c r="Q210" s="26"/>
      <c r="T210" s="25"/>
      <c r="U210" s="25"/>
      <c r="V210" s="25"/>
      <c r="W210" s="26"/>
      <c r="X210" s="26"/>
      <c r="Y210" s="26"/>
      <c r="Z210" s="26"/>
      <c r="AA210" s="26"/>
      <c r="AD210" s="26"/>
      <c r="AE210" s="26"/>
      <c r="AF210" s="26"/>
      <c r="AO210" s="26"/>
      <c r="AP210" s="26"/>
      <c r="AQ210" s="26"/>
    </row>
    <row r="211" spans="2:43" ht="16.2">
      <c r="B211" s="25" t="s">
        <v>887</v>
      </c>
      <c r="C211" s="31"/>
      <c r="D211" s="35"/>
      <c r="E211" s="25"/>
      <c r="F211" s="25"/>
      <c r="G211" s="25"/>
      <c r="H211" s="26"/>
      <c r="I211" s="26"/>
      <c r="O211" s="26"/>
      <c r="P211" s="26"/>
      <c r="Q211" s="26"/>
      <c r="T211" s="25"/>
      <c r="U211" s="25"/>
      <c r="V211" s="25"/>
      <c r="W211" s="26"/>
      <c r="X211" s="26"/>
      <c r="Y211" s="26"/>
      <c r="Z211" s="26"/>
      <c r="AA211" s="26"/>
      <c r="AD211" s="26"/>
      <c r="AE211" s="26"/>
      <c r="AF211" s="26"/>
      <c r="AO211" s="26"/>
      <c r="AP211" s="26"/>
      <c r="AQ211" s="26"/>
    </row>
    <row r="212" spans="2:43">
      <c r="B212" s="25" t="s">
        <v>888</v>
      </c>
      <c r="C212" s="31"/>
      <c r="D212" s="35"/>
      <c r="E212" s="25"/>
      <c r="F212" s="25"/>
      <c r="G212" s="25"/>
      <c r="H212" s="26"/>
      <c r="I212" s="26"/>
      <c r="O212" s="26"/>
      <c r="P212" s="26"/>
      <c r="Q212" s="26"/>
      <c r="T212" s="25"/>
      <c r="U212" s="25"/>
      <c r="V212" s="25"/>
      <c r="W212" s="26"/>
      <c r="X212" s="26"/>
      <c r="Y212" s="26"/>
      <c r="Z212" s="26"/>
      <c r="AA212" s="26"/>
      <c r="AD212" s="26"/>
      <c r="AE212" s="26"/>
      <c r="AF212" s="26"/>
      <c r="AO212" s="26"/>
      <c r="AP212" s="26"/>
      <c r="AQ212" s="26"/>
    </row>
    <row r="213" spans="2:43" ht="46.2">
      <c r="B213" s="40" t="s">
        <v>889</v>
      </c>
      <c r="C213" s="31"/>
      <c r="D213" s="35"/>
      <c r="E213" s="25"/>
      <c r="F213" s="25"/>
      <c r="G213" s="25"/>
      <c r="H213" s="26"/>
      <c r="I213" s="26"/>
      <c r="O213" s="26"/>
      <c r="P213" s="26"/>
      <c r="Q213" s="26"/>
    </row>
    <row r="214" spans="2:43" ht="16.2">
      <c r="B214" s="25" t="s">
        <v>890</v>
      </c>
      <c r="C214" s="31"/>
      <c r="D214" s="35"/>
      <c r="E214" s="25"/>
      <c r="F214" s="25"/>
      <c r="G214" s="25"/>
      <c r="H214" s="26"/>
      <c r="I214" s="26"/>
      <c r="O214" s="26"/>
      <c r="P214" s="26"/>
      <c r="Q214" s="26"/>
      <c r="T214" s="25"/>
      <c r="U214" s="25"/>
      <c r="V214" s="25"/>
      <c r="W214" s="26"/>
      <c r="X214" s="26"/>
      <c r="Y214" s="26"/>
      <c r="Z214" s="26"/>
      <c r="AA214" s="26"/>
      <c r="AD214" s="26"/>
      <c r="AE214" s="26"/>
      <c r="AF214" s="26"/>
      <c r="AO214" s="26"/>
      <c r="AP214" s="26"/>
      <c r="AQ214" s="26"/>
    </row>
    <row r="215" spans="2:43" ht="16.2">
      <c r="B215" s="25" t="s">
        <v>891</v>
      </c>
      <c r="C215" s="31"/>
      <c r="D215" s="35"/>
      <c r="E215" s="25"/>
      <c r="F215" s="25"/>
      <c r="G215" s="25"/>
      <c r="H215" s="26"/>
      <c r="I215" s="26"/>
      <c r="O215" s="26"/>
      <c r="P215" s="26"/>
      <c r="Q215" s="26"/>
      <c r="T215" s="25"/>
      <c r="U215" s="25"/>
      <c r="V215" s="25"/>
      <c r="W215" s="26"/>
      <c r="X215" s="26"/>
      <c r="Y215" s="26"/>
      <c r="Z215" s="26"/>
      <c r="AA215" s="26"/>
      <c r="AD215" s="26"/>
      <c r="AE215" s="26"/>
      <c r="AF215" s="26"/>
      <c r="AO215" s="26"/>
      <c r="AP215" s="26"/>
      <c r="AQ215" s="26"/>
    </row>
    <row r="216" spans="2:43">
      <c r="B216" s="25" t="s">
        <v>892</v>
      </c>
      <c r="C216" s="31"/>
      <c r="D216" s="35"/>
      <c r="E216" s="25"/>
      <c r="F216" s="25"/>
      <c r="G216" s="25"/>
      <c r="H216" s="26"/>
      <c r="I216" s="26"/>
      <c r="O216" s="26"/>
      <c r="P216" s="26"/>
      <c r="Q216" s="26"/>
      <c r="T216" s="25"/>
      <c r="U216" s="25"/>
      <c r="V216" s="25"/>
      <c r="W216" s="26"/>
      <c r="X216" s="26"/>
      <c r="Y216" s="26"/>
      <c r="Z216" s="26"/>
      <c r="AA216" s="26"/>
      <c r="AD216" s="26"/>
      <c r="AE216" s="26"/>
      <c r="AF216" s="26"/>
      <c r="AO216" s="26"/>
      <c r="AP216" s="26"/>
      <c r="AQ216" s="26"/>
    </row>
    <row r="217" spans="2:43" ht="16.2">
      <c r="B217" s="25" t="s">
        <v>893</v>
      </c>
      <c r="C217" s="31"/>
      <c r="D217" s="35"/>
      <c r="E217" s="25"/>
      <c r="F217" s="25"/>
      <c r="G217" s="25"/>
      <c r="H217" s="26"/>
      <c r="I217" s="26"/>
      <c r="O217" s="26"/>
      <c r="P217" s="26"/>
      <c r="Q217" s="26"/>
      <c r="T217" s="25"/>
      <c r="U217" s="25"/>
      <c r="V217" s="25"/>
      <c r="W217" s="26"/>
      <c r="X217" s="26"/>
      <c r="Y217" s="26"/>
      <c r="Z217" s="26"/>
      <c r="AA217" s="26"/>
      <c r="AD217" s="26"/>
      <c r="AE217" s="26"/>
      <c r="AF217" s="26"/>
      <c r="AO217" s="26"/>
      <c r="AP217" s="26"/>
      <c r="AQ217" s="26"/>
    </row>
    <row r="218" spans="2:43">
      <c r="B218" s="25" t="s">
        <v>894</v>
      </c>
      <c r="C218" s="31"/>
      <c r="D218" s="35"/>
      <c r="E218" s="25"/>
      <c r="F218" s="25"/>
      <c r="G218" s="25"/>
      <c r="H218" s="26"/>
      <c r="I218" s="26"/>
      <c r="O218" s="26"/>
      <c r="P218" s="26"/>
      <c r="Q218" s="26"/>
      <c r="T218" s="25"/>
      <c r="U218" s="25"/>
      <c r="V218" s="25"/>
      <c r="W218" s="26"/>
      <c r="X218" s="26"/>
      <c r="Y218" s="26"/>
      <c r="Z218" s="26"/>
      <c r="AA218" s="26"/>
      <c r="AD218" s="26"/>
      <c r="AE218" s="26"/>
      <c r="AF218" s="26"/>
      <c r="AO218" s="26"/>
      <c r="AP218" s="26"/>
      <c r="AQ218" s="26"/>
    </row>
    <row r="219" spans="2:43" ht="16.2">
      <c r="B219" s="25" t="s">
        <v>895</v>
      </c>
      <c r="C219" s="31"/>
      <c r="D219" s="35"/>
      <c r="E219" s="25"/>
      <c r="F219" s="25"/>
      <c r="G219" s="25"/>
      <c r="H219" s="26"/>
      <c r="I219" s="26"/>
      <c r="O219" s="26"/>
      <c r="P219" s="26"/>
      <c r="Q219" s="26"/>
      <c r="T219" s="25"/>
      <c r="U219" s="25"/>
      <c r="V219" s="25"/>
      <c r="W219" s="26"/>
      <c r="X219" s="26"/>
      <c r="Y219" s="26"/>
      <c r="Z219" s="26"/>
      <c r="AA219" s="26"/>
      <c r="AD219" s="26"/>
      <c r="AE219" s="26"/>
      <c r="AF219" s="26"/>
      <c r="AO219" s="26"/>
      <c r="AP219" s="26"/>
      <c r="AQ219" s="26"/>
    </row>
    <row r="220" spans="2:43" ht="16.2">
      <c r="B220" s="25" t="s">
        <v>896</v>
      </c>
      <c r="C220" s="31"/>
      <c r="D220" s="35"/>
      <c r="E220" s="25"/>
      <c r="F220" s="25"/>
      <c r="G220" s="25"/>
      <c r="H220" s="26"/>
      <c r="I220" s="26"/>
      <c r="O220" s="26"/>
      <c r="P220" s="26"/>
      <c r="Q220" s="26"/>
      <c r="T220" s="25"/>
      <c r="U220" s="25"/>
      <c r="V220" s="25"/>
      <c r="W220" s="26"/>
      <c r="X220" s="26"/>
      <c r="Y220" s="26"/>
      <c r="Z220" s="26"/>
      <c r="AA220" s="26"/>
      <c r="AD220" s="26"/>
      <c r="AE220" s="26"/>
      <c r="AF220" s="26"/>
      <c r="AO220" s="26"/>
      <c r="AP220" s="26"/>
      <c r="AQ220" s="26"/>
    </row>
    <row r="221" spans="2:43">
      <c r="B221" s="25" t="s">
        <v>897</v>
      </c>
      <c r="C221" s="31"/>
      <c r="D221" s="35"/>
      <c r="E221" s="25"/>
      <c r="F221" s="25"/>
      <c r="G221" s="25"/>
      <c r="H221" s="26"/>
      <c r="I221" s="26"/>
      <c r="O221" s="26"/>
      <c r="P221" s="26"/>
      <c r="Q221" s="26"/>
      <c r="T221" s="25"/>
      <c r="U221" s="25"/>
      <c r="V221" s="25"/>
      <c r="W221" s="26"/>
      <c r="X221" s="26"/>
      <c r="Y221" s="26"/>
      <c r="Z221" s="26"/>
      <c r="AA221" s="26"/>
      <c r="AD221" s="26"/>
      <c r="AE221" s="26"/>
      <c r="AF221" s="26"/>
      <c r="AO221" s="26"/>
      <c r="AP221" s="26"/>
      <c r="AQ221" s="26"/>
    </row>
    <row r="222" spans="2:43" ht="16.2">
      <c r="B222" s="25" t="s">
        <v>898</v>
      </c>
      <c r="C222" s="31"/>
      <c r="D222" s="35"/>
      <c r="E222" s="25"/>
      <c r="F222" s="25"/>
      <c r="G222" s="25"/>
      <c r="H222" s="26"/>
      <c r="I222" s="26"/>
      <c r="O222" s="26"/>
      <c r="P222" s="26"/>
      <c r="Q222" s="26"/>
      <c r="T222" s="25"/>
      <c r="U222" s="25"/>
      <c r="V222" s="25"/>
      <c r="W222" s="26"/>
      <c r="X222" s="26"/>
      <c r="Y222" s="26"/>
      <c r="Z222" s="26"/>
      <c r="AA222" s="26"/>
      <c r="AD222" s="26"/>
      <c r="AE222" s="26"/>
      <c r="AF222" s="26"/>
      <c r="AO222" s="26"/>
      <c r="AP222" s="26"/>
      <c r="AQ222" s="26"/>
    </row>
    <row r="223" spans="2:43" ht="16.2">
      <c r="B223" s="25" t="s">
        <v>899</v>
      </c>
      <c r="C223" s="31"/>
      <c r="D223" s="35"/>
      <c r="E223" s="25"/>
      <c r="F223" s="25"/>
      <c r="G223" s="25"/>
      <c r="H223" s="26"/>
      <c r="I223" s="26"/>
      <c r="O223" s="26"/>
      <c r="P223" s="26"/>
      <c r="Q223" s="26"/>
      <c r="T223" s="25"/>
      <c r="U223" s="25"/>
      <c r="V223" s="25"/>
      <c r="W223" s="26"/>
      <c r="X223" s="26"/>
      <c r="Y223" s="26"/>
      <c r="Z223" s="26"/>
      <c r="AA223" s="26"/>
      <c r="AD223" s="26"/>
      <c r="AE223" s="26"/>
      <c r="AF223" s="26"/>
      <c r="AO223" s="26"/>
      <c r="AP223" s="26"/>
      <c r="AQ223" s="26"/>
    </row>
    <row r="224" spans="2:43" ht="16.2">
      <c r="B224" s="25" t="s">
        <v>900</v>
      </c>
      <c r="C224" s="31"/>
      <c r="D224" s="35"/>
      <c r="E224" s="25"/>
      <c r="F224" s="25"/>
      <c r="G224" s="25"/>
      <c r="H224" s="26"/>
      <c r="I224" s="26"/>
      <c r="O224" s="26"/>
      <c r="P224" s="26"/>
      <c r="Q224" s="26"/>
      <c r="T224" s="25"/>
      <c r="U224" s="25"/>
      <c r="V224" s="25"/>
      <c r="W224" s="26"/>
      <c r="X224" s="26"/>
      <c r="Y224" s="26"/>
      <c r="Z224" s="26"/>
      <c r="AA224" s="26"/>
      <c r="AD224" s="26"/>
      <c r="AE224" s="26"/>
      <c r="AF224" s="26"/>
      <c r="AO224" s="26"/>
      <c r="AP224" s="26"/>
      <c r="AQ224" s="26"/>
    </row>
    <row r="225" spans="1:43">
      <c r="B225" s="25" t="s">
        <v>901</v>
      </c>
      <c r="C225" s="31"/>
      <c r="D225" s="35"/>
      <c r="E225" s="25"/>
      <c r="F225" s="25"/>
      <c r="G225" s="25"/>
      <c r="H225" s="26"/>
      <c r="I225" s="26"/>
      <c r="O225" s="26"/>
      <c r="P225" s="26"/>
      <c r="Q225" s="26"/>
      <c r="T225" s="25"/>
      <c r="U225" s="25"/>
      <c r="V225" s="25"/>
      <c r="W225" s="26"/>
      <c r="X225" s="26"/>
      <c r="Y225" s="26"/>
      <c r="Z225" s="26"/>
      <c r="AA225" s="26"/>
      <c r="AD225" s="26"/>
      <c r="AE225" s="26"/>
      <c r="AF225" s="26"/>
      <c r="AO225" s="26"/>
      <c r="AP225" s="26"/>
      <c r="AQ225" s="26"/>
    </row>
    <row r="226" spans="1:43" ht="16.2">
      <c r="B226" s="25" t="s">
        <v>902</v>
      </c>
      <c r="C226" s="31"/>
      <c r="D226" s="35"/>
      <c r="E226" s="25"/>
      <c r="F226" s="25"/>
      <c r="G226" s="25"/>
      <c r="H226" s="26"/>
      <c r="I226" s="26"/>
      <c r="O226" s="26"/>
      <c r="P226" s="26"/>
      <c r="Q226" s="26"/>
      <c r="T226" s="25"/>
      <c r="U226" s="25"/>
      <c r="V226" s="25"/>
      <c r="W226" s="26"/>
      <c r="X226" s="26"/>
      <c r="Y226" s="26"/>
      <c r="Z226" s="26"/>
      <c r="AA226" s="26"/>
      <c r="AD226" s="26"/>
      <c r="AE226" s="26"/>
      <c r="AF226" s="26"/>
      <c r="AO226" s="26"/>
      <c r="AP226" s="26"/>
      <c r="AQ226" s="26"/>
    </row>
    <row r="227" spans="1:43" ht="16.2">
      <c r="B227" s="25" t="s">
        <v>903</v>
      </c>
      <c r="C227" s="31"/>
      <c r="D227" s="35"/>
      <c r="E227" s="25"/>
      <c r="F227" s="25"/>
      <c r="G227" s="25"/>
      <c r="H227" s="26"/>
      <c r="I227" s="26"/>
      <c r="O227" s="26"/>
      <c r="P227" s="26"/>
      <c r="Q227" s="26"/>
      <c r="T227" s="25"/>
      <c r="U227" s="25"/>
      <c r="V227" s="25"/>
      <c r="W227" s="26"/>
      <c r="X227" s="26"/>
      <c r="Y227" s="26"/>
      <c r="Z227" s="26"/>
      <c r="AA227" s="26"/>
      <c r="AD227" s="26"/>
      <c r="AE227" s="26"/>
      <c r="AF227" s="26"/>
      <c r="AO227" s="26"/>
      <c r="AP227" s="26"/>
      <c r="AQ227" s="26"/>
    </row>
    <row r="228" spans="1:43" s="22" customFormat="1">
      <c r="A228" s="72" t="s">
        <v>553</v>
      </c>
      <c r="B228" s="132" t="s">
        <v>904</v>
      </c>
      <c r="C228" s="66"/>
      <c r="D228" s="66"/>
      <c r="E228" s="132"/>
      <c r="F228" s="132"/>
      <c r="G228" s="132"/>
      <c r="H228" s="131"/>
      <c r="I228" s="131"/>
      <c r="O228" s="131"/>
      <c r="P228" s="131"/>
      <c r="Q228" s="131"/>
      <c r="T228" s="132"/>
      <c r="U228" s="132"/>
      <c r="V228" s="132"/>
      <c r="W228" s="131"/>
      <c r="X228" s="131"/>
      <c r="Y228" s="131"/>
      <c r="Z228" s="131"/>
      <c r="AA228" s="131"/>
      <c r="AD228" s="131"/>
      <c r="AE228" s="131"/>
      <c r="AF228" s="131"/>
      <c r="AO228" s="131"/>
      <c r="AP228" s="131"/>
      <c r="AQ228" s="131"/>
    </row>
    <row r="229" spans="1:43" ht="16.2">
      <c r="A229" s="58" t="s">
        <v>905</v>
      </c>
      <c r="B229" s="25" t="s">
        <v>906</v>
      </c>
      <c r="C229" s="31"/>
      <c r="E229" s="25"/>
      <c r="F229" s="25"/>
      <c r="G229" s="25"/>
      <c r="H229" s="26"/>
      <c r="I229" s="26"/>
      <c r="O229" s="26"/>
      <c r="P229" s="26"/>
      <c r="Q229" s="26"/>
      <c r="T229" s="25"/>
      <c r="U229" s="25"/>
      <c r="V229" s="25"/>
      <c r="W229" s="26"/>
      <c r="X229" s="26"/>
      <c r="Y229" s="26"/>
      <c r="Z229" s="26"/>
      <c r="AA229" s="26"/>
      <c r="AD229" s="26"/>
      <c r="AE229" s="26"/>
      <c r="AF229" s="26"/>
      <c r="AO229" s="26"/>
      <c r="AP229" s="26"/>
      <c r="AQ229" s="26"/>
    </row>
    <row r="230" spans="1:43">
      <c r="B230" s="25" t="s">
        <v>907</v>
      </c>
      <c r="C230" s="31"/>
      <c r="E230" s="25"/>
      <c r="F230" s="25"/>
      <c r="G230" s="25"/>
      <c r="H230" s="26"/>
      <c r="I230" s="26"/>
      <c r="O230" s="26"/>
      <c r="P230" s="26"/>
      <c r="Q230" s="26"/>
      <c r="T230" s="25"/>
      <c r="U230" s="25"/>
      <c r="V230" s="25"/>
      <c r="W230" s="26"/>
      <c r="X230" s="26"/>
      <c r="Y230" s="26"/>
      <c r="Z230" s="26"/>
      <c r="AA230" s="26"/>
      <c r="AD230" s="26"/>
      <c r="AE230" s="26"/>
      <c r="AF230" s="26"/>
      <c r="AO230" s="26"/>
      <c r="AP230" s="26"/>
      <c r="AQ230" s="26"/>
    </row>
    <row r="231" spans="1:43" ht="16.2">
      <c r="B231" s="35" t="s">
        <v>908</v>
      </c>
      <c r="C231" s="31"/>
      <c r="D231" s="35"/>
      <c r="E231" s="25"/>
      <c r="F231" s="25"/>
      <c r="G231" s="25"/>
      <c r="H231" s="26"/>
      <c r="I231" s="26"/>
      <c r="O231" s="26"/>
      <c r="P231" s="26"/>
      <c r="Q231" s="26"/>
      <c r="T231" s="25"/>
      <c r="U231" s="25"/>
      <c r="V231" s="25"/>
      <c r="W231" s="26"/>
      <c r="X231" s="26"/>
      <c r="Y231" s="26"/>
      <c r="Z231" s="26"/>
      <c r="AA231" s="26"/>
      <c r="AD231" s="26"/>
      <c r="AE231" s="26"/>
      <c r="AF231" s="26"/>
      <c r="AO231" s="26"/>
      <c r="AP231" s="26"/>
      <c r="AQ231" s="26"/>
    </row>
    <row r="232" spans="1:43">
      <c r="A232" s="58" t="s">
        <v>909</v>
      </c>
      <c r="B232" s="40" t="s">
        <v>910</v>
      </c>
      <c r="C232" s="31"/>
      <c r="E232" s="25"/>
      <c r="F232" s="25"/>
      <c r="G232" s="25"/>
      <c r="H232" s="26"/>
      <c r="I232" s="26"/>
      <c r="O232" s="26"/>
      <c r="P232" s="26"/>
      <c r="Q232" s="26"/>
      <c r="T232" s="25"/>
      <c r="U232" s="25"/>
      <c r="V232" s="25"/>
      <c r="W232" s="26"/>
      <c r="X232" s="26"/>
      <c r="Y232" s="26"/>
      <c r="Z232" s="26"/>
      <c r="AA232" s="26"/>
      <c r="AD232" s="26"/>
      <c r="AE232" s="26"/>
      <c r="AF232" s="26"/>
      <c r="AO232" s="26"/>
      <c r="AP232" s="26"/>
      <c r="AQ232" s="26"/>
    </row>
    <row r="233" spans="1:43" ht="27.6">
      <c r="B233" s="27" t="s">
        <v>911</v>
      </c>
      <c r="C233" s="31"/>
      <c r="D233" s="35"/>
      <c r="E233" s="25"/>
      <c r="F233" s="25"/>
      <c r="G233" s="25"/>
      <c r="H233" s="26"/>
      <c r="I233" s="26"/>
      <c r="O233" s="26"/>
      <c r="P233" s="26"/>
      <c r="Q233" s="26"/>
      <c r="T233" s="25"/>
      <c r="U233" s="25"/>
      <c r="V233" s="25"/>
      <c r="W233" s="26"/>
      <c r="X233" s="26"/>
      <c r="Y233" s="26"/>
      <c r="Z233" s="26"/>
      <c r="AA233" s="26"/>
      <c r="AD233" s="26"/>
      <c r="AE233" s="26"/>
      <c r="AF233" s="26"/>
      <c r="AO233" s="26"/>
      <c r="AP233" s="26"/>
      <c r="AQ233" s="26"/>
    </row>
    <row r="234" spans="1:43" ht="16.2">
      <c r="B234" s="133" t="s">
        <v>912</v>
      </c>
      <c r="E234" s="25"/>
      <c r="F234" s="25"/>
      <c r="G234" s="25"/>
      <c r="H234" s="26"/>
      <c r="I234" s="26"/>
      <c r="O234" s="26"/>
      <c r="P234" s="26"/>
      <c r="Q234" s="26"/>
      <c r="T234" s="25"/>
      <c r="U234" s="25"/>
      <c r="V234" s="25"/>
      <c r="W234" s="26"/>
      <c r="X234" s="26"/>
      <c r="Y234" s="26"/>
      <c r="Z234" s="26"/>
      <c r="AA234" s="26"/>
      <c r="AD234" s="26"/>
      <c r="AE234" s="26"/>
      <c r="AF234" s="26"/>
      <c r="AO234" s="26"/>
      <c r="AP234" s="26"/>
      <c r="AQ234" s="26"/>
    </row>
    <row r="235" spans="1:43">
      <c r="B235" s="134" t="s">
        <v>913</v>
      </c>
      <c r="C235" s="135" t="s">
        <v>914</v>
      </c>
      <c r="E235" s="25"/>
      <c r="F235" s="25"/>
      <c r="G235" s="25"/>
      <c r="H235" s="26"/>
      <c r="I235" s="26"/>
      <c r="O235" s="26"/>
      <c r="P235" s="26"/>
      <c r="Q235" s="26"/>
      <c r="T235" s="25"/>
      <c r="U235" s="25"/>
      <c r="V235" s="25"/>
      <c r="W235" s="26"/>
      <c r="X235" s="26"/>
      <c r="Y235" s="26"/>
      <c r="Z235" s="26"/>
      <c r="AA235" s="26"/>
      <c r="AD235" s="26"/>
      <c r="AE235" s="26"/>
      <c r="AF235" s="26"/>
      <c r="AO235" s="26"/>
      <c r="AP235" s="26"/>
      <c r="AQ235" s="26"/>
    </row>
    <row r="236" spans="1:43">
      <c r="B236" s="136"/>
      <c r="C236" s="137" t="s">
        <v>915</v>
      </c>
      <c r="E236" s="25"/>
      <c r="F236" s="25"/>
      <c r="G236" s="25"/>
      <c r="H236" s="26"/>
      <c r="I236" s="26"/>
      <c r="O236" s="26"/>
      <c r="P236" s="26"/>
      <c r="Q236" s="26"/>
      <c r="T236" s="25"/>
      <c r="U236" s="25"/>
      <c r="V236" s="25"/>
      <c r="W236" s="26"/>
      <c r="X236" s="26"/>
      <c r="Y236" s="26"/>
      <c r="Z236" s="26"/>
      <c r="AA236" s="26"/>
      <c r="AD236" s="26"/>
      <c r="AE236" s="26"/>
      <c r="AF236" s="26"/>
      <c r="AO236" s="26"/>
      <c r="AP236" s="26"/>
      <c r="AQ236" s="26"/>
    </row>
    <row r="237" spans="1:43">
      <c r="B237" s="138"/>
      <c r="C237" s="139" t="s">
        <v>916</v>
      </c>
      <c r="E237" s="25"/>
      <c r="F237" s="25"/>
      <c r="G237" s="25"/>
      <c r="H237" s="26"/>
      <c r="I237" s="26"/>
      <c r="O237" s="26"/>
      <c r="P237" s="26"/>
      <c r="Q237" s="26"/>
      <c r="T237" s="25"/>
      <c r="U237" s="25"/>
      <c r="V237" s="25"/>
      <c r="W237" s="26"/>
      <c r="X237" s="26"/>
      <c r="Y237" s="26"/>
      <c r="Z237" s="26"/>
      <c r="AA237" s="26"/>
      <c r="AD237" s="26"/>
      <c r="AE237" s="26"/>
      <c r="AF237" s="26"/>
      <c r="AO237" s="26"/>
      <c r="AP237" s="26"/>
      <c r="AQ237" s="26"/>
    </row>
    <row r="238" spans="1:43">
      <c r="B238" s="140" t="s">
        <v>917</v>
      </c>
      <c r="C238" s="113">
        <v>0.93</v>
      </c>
      <c r="E238" s="25"/>
      <c r="F238" s="25"/>
      <c r="G238" s="25"/>
      <c r="H238" s="26"/>
      <c r="I238" s="26"/>
      <c r="O238" s="26"/>
      <c r="P238" s="26"/>
      <c r="Q238" s="26"/>
      <c r="T238" s="25"/>
      <c r="U238" s="25"/>
      <c r="V238" s="25"/>
      <c r="W238" s="26"/>
      <c r="X238" s="26"/>
      <c r="Y238" s="26"/>
      <c r="Z238" s="26"/>
      <c r="AA238" s="26"/>
      <c r="AD238" s="26"/>
      <c r="AE238" s="26"/>
      <c r="AF238" s="26"/>
      <c r="AO238" s="26"/>
      <c r="AP238" s="26"/>
      <c r="AQ238" s="26"/>
    </row>
    <row r="239" spans="1:43">
      <c r="B239" s="140" t="s">
        <v>918</v>
      </c>
      <c r="C239" s="141">
        <v>0.89</v>
      </c>
      <c r="E239" s="25"/>
      <c r="F239" s="25"/>
      <c r="G239" s="25"/>
      <c r="H239" s="26"/>
      <c r="I239" s="26"/>
      <c r="O239" s="26"/>
      <c r="P239" s="26"/>
      <c r="Q239" s="26"/>
      <c r="T239" s="25"/>
      <c r="U239" s="25"/>
      <c r="V239" s="25"/>
      <c r="W239" s="26"/>
      <c r="X239" s="26"/>
      <c r="Y239" s="26"/>
      <c r="Z239" s="26"/>
      <c r="AA239" s="26"/>
      <c r="AD239" s="26"/>
      <c r="AE239" s="26"/>
      <c r="AF239" s="26"/>
      <c r="AO239" s="26"/>
      <c r="AP239" s="26"/>
      <c r="AQ239" s="26"/>
    </row>
    <row r="240" spans="1:43">
      <c r="B240" s="142" t="s">
        <v>919</v>
      </c>
      <c r="C240" s="143">
        <v>0.85</v>
      </c>
      <c r="E240" s="25"/>
      <c r="F240" s="25"/>
      <c r="G240" s="25"/>
      <c r="H240" s="26"/>
      <c r="I240" s="26"/>
      <c r="O240" s="26"/>
      <c r="P240" s="26"/>
      <c r="Q240" s="26"/>
      <c r="T240" s="25"/>
      <c r="U240" s="25"/>
      <c r="V240" s="25"/>
      <c r="W240" s="26"/>
      <c r="X240" s="26"/>
      <c r="Y240" s="26"/>
      <c r="Z240" s="26"/>
      <c r="AA240" s="26"/>
      <c r="AD240" s="26"/>
      <c r="AE240" s="26"/>
      <c r="AF240" s="26"/>
      <c r="AO240" s="26"/>
      <c r="AP240" s="26"/>
      <c r="AQ240" s="26"/>
    </row>
    <row r="241" spans="1:43" s="22" customFormat="1">
      <c r="A241" s="72" t="s">
        <v>555</v>
      </c>
      <c r="B241" s="132" t="s">
        <v>920</v>
      </c>
      <c r="C241" s="66"/>
      <c r="D241" s="66"/>
      <c r="E241" s="132"/>
      <c r="F241" s="132"/>
      <c r="G241" s="132"/>
      <c r="H241" s="131"/>
      <c r="I241" s="131"/>
      <c r="O241" s="131"/>
      <c r="P241" s="131"/>
      <c r="Q241" s="131"/>
      <c r="T241" s="132"/>
      <c r="U241" s="132"/>
      <c r="V241" s="132"/>
      <c r="W241" s="131"/>
      <c r="X241" s="131"/>
      <c r="Y241" s="131"/>
      <c r="Z241" s="131"/>
      <c r="AA241" s="131"/>
      <c r="AD241" s="131"/>
      <c r="AE241" s="131"/>
      <c r="AF241" s="131"/>
      <c r="AO241" s="131"/>
      <c r="AP241" s="131"/>
      <c r="AQ241" s="131"/>
    </row>
    <row r="242" spans="1:43" ht="27.6">
      <c r="B242" s="40" t="s">
        <v>921</v>
      </c>
      <c r="C242" s="31"/>
      <c r="E242" s="25"/>
      <c r="F242" s="25"/>
      <c r="G242" s="25"/>
      <c r="H242" s="26"/>
      <c r="I242" s="26"/>
      <c r="O242" s="26"/>
      <c r="P242" s="26"/>
      <c r="Q242" s="26"/>
      <c r="T242" s="25"/>
      <c r="U242" s="25"/>
      <c r="V242" s="25"/>
      <c r="W242" s="26"/>
      <c r="X242" s="26"/>
      <c r="Y242" s="26"/>
      <c r="Z242" s="26"/>
      <c r="AA242" s="26"/>
      <c r="AD242" s="26"/>
      <c r="AE242" s="26"/>
      <c r="AF242" s="26"/>
      <c r="AO242" s="26"/>
      <c r="AP242" s="26"/>
      <c r="AQ242" s="26"/>
    </row>
    <row r="243" spans="1:43" ht="16.2">
      <c r="B243" s="36" t="s">
        <v>922</v>
      </c>
      <c r="C243" s="31"/>
      <c r="D243" s="35"/>
      <c r="E243" s="25"/>
      <c r="F243" s="25"/>
      <c r="G243" s="25"/>
      <c r="H243" s="26"/>
      <c r="I243" s="26"/>
      <c r="O243" s="26"/>
      <c r="P243" s="26"/>
      <c r="Q243" s="26"/>
      <c r="T243" s="25"/>
      <c r="U243" s="25"/>
      <c r="V243" s="25"/>
      <c r="W243" s="26"/>
      <c r="X243" s="26"/>
      <c r="Y243" s="26"/>
      <c r="Z243" s="26"/>
      <c r="AA243" s="26"/>
      <c r="AD243" s="26"/>
      <c r="AE243" s="26"/>
      <c r="AF243" s="26"/>
      <c r="AO243" s="26"/>
      <c r="AP243" s="26"/>
      <c r="AQ243" s="26"/>
    </row>
    <row r="244" spans="1:43">
      <c r="B244" s="25" t="s">
        <v>600</v>
      </c>
      <c r="C244" s="31"/>
      <c r="E244" s="25"/>
      <c r="F244" s="25"/>
      <c r="G244" s="25"/>
      <c r="H244" s="26"/>
      <c r="I244" s="26"/>
      <c r="O244" s="26"/>
      <c r="P244" s="26"/>
      <c r="Q244" s="26"/>
      <c r="T244" s="25"/>
      <c r="U244" s="25"/>
      <c r="V244" s="25"/>
      <c r="W244" s="26"/>
      <c r="X244" s="26"/>
      <c r="Y244" s="26"/>
      <c r="Z244" s="26"/>
      <c r="AA244" s="26"/>
      <c r="AD244" s="26"/>
      <c r="AE244" s="26"/>
      <c r="AF244" s="26"/>
      <c r="AO244" s="26"/>
      <c r="AP244" s="26"/>
      <c r="AQ244" s="26"/>
    </row>
    <row r="245" spans="1:43" ht="30">
      <c r="A245" s="58"/>
      <c r="B245" s="40" t="s">
        <v>923</v>
      </c>
      <c r="C245" s="31"/>
      <c r="E245" s="25"/>
      <c r="F245" s="25"/>
      <c r="G245" s="25"/>
      <c r="H245" s="26"/>
      <c r="I245" s="26"/>
      <c r="O245" s="26"/>
      <c r="P245" s="26"/>
      <c r="Q245" s="26"/>
      <c r="T245" s="25"/>
      <c r="U245" s="25"/>
      <c r="V245" s="25"/>
      <c r="W245" s="26"/>
      <c r="X245" s="26"/>
      <c r="Y245" s="26"/>
      <c r="Z245" s="26"/>
      <c r="AA245" s="26"/>
      <c r="AD245" s="26"/>
      <c r="AE245" s="26"/>
      <c r="AF245" s="26"/>
      <c r="AO245" s="26"/>
      <c r="AP245" s="26"/>
      <c r="AQ245" s="26"/>
    </row>
    <row r="246" spans="1:43" ht="16.2">
      <c r="A246" s="58"/>
      <c r="B246" s="40" t="s">
        <v>924</v>
      </c>
      <c r="C246" s="31"/>
      <c r="E246" s="25"/>
      <c r="F246" s="25"/>
      <c r="G246" s="25"/>
      <c r="H246" s="26"/>
      <c r="I246" s="26"/>
      <c r="O246" s="26"/>
      <c r="P246" s="26"/>
      <c r="Q246" s="26"/>
      <c r="T246" s="25"/>
      <c r="U246" s="25"/>
      <c r="V246" s="25"/>
      <c r="W246" s="26"/>
      <c r="X246" s="26"/>
      <c r="Y246" s="26"/>
      <c r="Z246" s="26"/>
      <c r="AA246" s="26"/>
      <c r="AD246" s="26"/>
      <c r="AE246" s="26"/>
      <c r="AF246" s="26"/>
      <c r="AO246" s="26"/>
      <c r="AP246" s="26"/>
      <c r="AQ246" s="26"/>
    </row>
    <row r="247" spans="1:43" ht="32.4">
      <c r="A247" s="58"/>
      <c r="B247" s="40" t="s">
        <v>925</v>
      </c>
      <c r="C247" s="31"/>
      <c r="E247" s="25"/>
      <c r="F247" s="25"/>
      <c r="G247" s="25"/>
      <c r="H247" s="26"/>
      <c r="I247" s="26"/>
      <c r="O247" s="26"/>
      <c r="P247" s="26"/>
      <c r="Q247" s="26"/>
      <c r="T247" s="25"/>
      <c r="U247" s="25"/>
      <c r="V247" s="25"/>
      <c r="W247" s="26"/>
      <c r="X247" s="26"/>
      <c r="Y247" s="26"/>
      <c r="Z247" s="26"/>
      <c r="AA247" s="26"/>
      <c r="AD247" s="26"/>
      <c r="AE247" s="26"/>
      <c r="AF247" s="26"/>
      <c r="AO247" s="26"/>
      <c r="AP247" s="26"/>
      <c r="AQ247" s="26"/>
    </row>
    <row r="248" spans="1:43" ht="32.4">
      <c r="A248" s="58"/>
      <c r="B248" s="40" t="s">
        <v>926</v>
      </c>
      <c r="C248" s="31"/>
      <c r="E248" s="25"/>
      <c r="F248" s="25"/>
      <c r="G248" s="25"/>
      <c r="H248" s="26"/>
      <c r="I248" s="26"/>
      <c r="O248" s="26"/>
      <c r="P248" s="26"/>
      <c r="Q248" s="26"/>
      <c r="T248" s="25"/>
      <c r="U248" s="25"/>
      <c r="V248" s="25"/>
      <c r="W248" s="26"/>
      <c r="X248" s="26"/>
      <c r="Y248" s="26"/>
      <c r="Z248" s="26"/>
      <c r="AA248" s="26"/>
      <c r="AD248" s="26"/>
      <c r="AE248" s="26"/>
      <c r="AF248" s="26"/>
      <c r="AO248" s="26"/>
      <c r="AP248" s="26"/>
      <c r="AQ248" s="26"/>
    </row>
    <row r="249" spans="1:43" s="25" customFormat="1">
      <c r="A249" s="33" t="s">
        <v>927</v>
      </c>
      <c r="B249" s="144" t="s">
        <v>928</v>
      </c>
      <c r="C249" s="31"/>
      <c r="D249" s="31"/>
      <c r="E249" s="31"/>
    </row>
    <row r="250" spans="1:43" s="25" customFormat="1" ht="16.2">
      <c r="A250" s="33" t="s">
        <v>551</v>
      </c>
      <c r="B250" s="144" t="s">
        <v>929</v>
      </c>
      <c r="C250" s="31"/>
      <c r="D250" s="31"/>
      <c r="E250" s="31"/>
    </row>
    <row r="251" spans="1:43" s="25" customFormat="1" ht="16.2">
      <c r="A251" s="58"/>
      <c r="B251" s="26" t="s">
        <v>930</v>
      </c>
      <c r="C251" s="31"/>
      <c r="D251" s="31"/>
      <c r="E251" s="31"/>
    </row>
    <row r="252" spans="1:43" s="25" customFormat="1" ht="17.399999999999999">
      <c r="A252" s="33"/>
      <c r="B252" s="27" t="s">
        <v>931</v>
      </c>
      <c r="C252" s="31"/>
      <c r="D252" s="31"/>
      <c r="E252" s="31"/>
    </row>
    <row r="253" spans="1:43" s="25" customFormat="1">
      <c r="A253" s="33"/>
      <c r="B253" s="27" t="s">
        <v>600</v>
      </c>
      <c r="C253" s="31"/>
      <c r="D253" s="31"/>
      <c r="E253" s="31"/>
    </row>
    <row r="254" spans="1:43" s="25" customFormat="1" ht="16.2">
      <c r="A254" s="33"/>
      <c r="B254" s="27" t="s">
        <v>932</v>
      </c>
      <c r="C254" s="31"/>
      <c r="D254" s="31"/>
      <c r="E254" s="31"/>
    </row>
    <row r="255" spans="1:43" s="25" customFormat="1" ht="16.2">
      <c r="A255" s="33"/>
      <c r="B255" s="101" t="s">
        <v>933</v>
      </c>
      <c r="C255" s="31"/>
      <c r="D255" s="31"/>
      <c r="E255" s="31"/>
    </row>
    <row r="256" spans="1:43" s="25" customFormat="1">
      <c r="A256" s="33"/>
      <c r="B256" s="27" t="s">
        <v>934</v>
      </c>
      <c r="C256" s="31"/>
      <c r="D256" s="31"/>
      <c r="E256" s="31"/>
    </row>
    <row r="257" spans="1:6" s="25" customFormat="1" ht="16.2">
      <c r="A257" s="33"/>
      <c r="B257" s="27" t="s">
        <v>935</v>
      </c>
      <c r="C257" s="31"/>
      <c r="D257" s="31"/>
      <c r="E257" s="31"/>
    </row>
    <row r="258" spans="1:6" s="25" customFormat="1" ht="16.2">
      <c r="A258" s="33"/>
      <c r="B258" s="27" t="s">
        <v>936</v>
      </c>
      <c r="C258" s="31"/>
      <c r="D258" s="31"/>
      <c r="E258" s="31"/>
    </row>
    <row r="259" spans="1:6" s="26" customFormat="1">
      <c r="A259" s="33" t="s">
        <v>553</v>
      </c>
      <c r="B259" s="144" t="s">
        <v>937</v>
      </c>
      <c r="C259" s="31"/>
      <c r="D259" s="31"/>
      <c r="E259" s="31"/>
    </row>
    <row r="260" spans="1:6" s="27" customFormat="1" ht="30">
      <c r="A260" s="33"/>
      <c r="B260" s="27" t="s">
        <v>938</v>
      </c>
      <c r="C260" s="58"/>
      <c r="D260" s="58"/>
    </row>
    <row r="261" spans="1:6" s="26" customFormat="1" ht="16.2">
      <c r="A261" s="33"/>
      <c r="B261" s="26" t="s">
        <v>939</v>
      </c>
      <c r="C261" s="31"/>
      <c r="D261" s="31"/>
      <c r="E261" s="31"/>
    </row>
    <row r="262" spans="1:6" s="26" customFormat="1" ht="30">
      <c r="A262" s="33"/>
      <c r="B262" s="27" t="s">
        <v>940</v>
      </c>
      <c r="C262" s="31"/>
      <c r="D262" s="31"/>
      <c r="E262" s="31"/>
    </row>
    <row r="263" spans="1:6" s="26" customFormat="1" ht="16.2">
      <c r="A263" s="33"/>
      <c r="B263" s="26" t="s">
        <v>941</v>
      </c>
      <c r="C263" s="31"/>
      <c r="D263" s="31"/>
      <c r="E263" s="31"/>
    </row>
    <row r="264" spans="1:6" s="25" customFormat="1" ht="16.2">
      <c r="A264" s="33"/>
      <c r="B264" s="27" t="s">
        <v>942</v>
      </c>
      <c r="C264" s="31"/>
      <c r="D264" s="31"/>
      <c r="E264" s="31"/>
    </row>
    <row r="265" spans="1:6" s="26" customFormat="1" ht="16.2">
      <c r="A265" s="33"/>
      <c r="B265" s="26" t="s">
        <v>943</v>
      </c>
      <c r="C265" s="31"/>
      <c r="D265" s="31"/>
      <c r="E265" s="31"/>
    </row>
    <row r="266" spans="1:6" s="25" customFormat="1">
      <c r="A266" s="33"/>
      <c r="B266" s="27" t="s">
        <v>944</v>
      </c>
      <c r="C266" s="31"/>
      <c r="D266" s="35"/>
      <c r="E266" s="31"/>
    </row>
    <row r="267" spans="1:6" s="25" customFormat="1">
      <c r="A267" s="33"/>
      <c r="B267" s="27" t="s">
        <v>945</v>
      </c>
      <c r="C267" s="31"/>
      <c r="D267" s="35"/>
      <c r="E267" s="31"/>
    </row>
    <row r="268" spans="1:6" s="25" customFormat="1" ht="27.6">
      <c r="A268" s="33"/>
      <c r="B268" s="27" t="s">
        <v>946</v>
      </c>
      <c r="C268" s="31"/>
      <c r="D268" s="35"/>
      <c r="E268" s="31"/>
    </row>
    <row r="269" spans="1:6" s="25" customFormat="1">
      <c r="A269" s="33"/>
      <c r="B269" s="27" t="s">
        <v>947</v>
      </c>
      <c r="C269" s="31"/>
      <c r="D269" s="31"/>
      <c r="E269" s="31"/>
    </row>
    <row r="270" spans="1:6" s="25" customFormat="1">
      <c r="A270" s="33"/>
      <c r="B270" s="27" t="s">
        <v>948</v>
      </c>
      <c r="C270" s="31"/>
      <c r="D270" s="31"/>
      <c r="E270" s="31"/>
    </row>
    <row r="271" spans="1:6" s="25" customFormat="1">
      <c r="A271" s="58"/>
      <c r="B271" s="26" t="s">
        <v>949</v>
      </c>
      <c r="C271" s="31"/>
      <c r="D271" s="31"/>
      <c r="E271" s="31"/>
    </row>
    <row r="272" spans="1:6" s="25" customFormat="1">
      <c r="A272" s="33" t="s">
        <v>950</v>
      </c>
      <c r="B272" s="36" t="s">
        <v>951</v>
      </c>
      <c r="C272" s="31"/>
      <c r="D272" s="35"/>
      <c r="F272" s="31"/>
    </row>
    <row r="273" spans="1:6" s="25" customFormat="1">
      <c r="A273" s="33" t="s">
        <v>952</v>
      </c>
      <c r="B273" s="36" t="s">
        <v>953</v>
      </c>
      <c r="C273" s="31"/>
      <c r="D273" s="35"/>
      <c r="F273" s="31"/>
    </row>
    <row r="274" spans="1:6" s="25" customFormat="1" ht="16.2">
      <c r="A274" s="33"/>
      <c r="B274" s="27" t="s">
        <v>954</v>
      </c>
      <c r="C274" s="31"/>
      <c r="D274" s="31"/>
      <c r="F274" s="31"/>
    </row>
    <row r="275" spans="1:6" s="25" customFormat="1" ht="16.2">
      <c r="A275" s="33"/>
      <c r="B275" s="27" t="s">
        <v>955</v>
      </c>
      <c r="C275" s="31"/>
      <c r="D275" s="31"/>
      <c r="F275" s="31"/>
    </row>
    <row r="276" spans="1:6" s="25" customFormat="1" ht="16.2">
      <c r="A276" s="33"/>
      <c r="B276" s="27" t="s">
        <v>956</v>
      </c>
      <c r="C276" s="31"/>
      <c r="D276" s="31"/>
      <c r="F276" s="31"/>
    </row>
    <row r="277" spans="1:6" s="25" customFormat="1" ht="16.2">
      <c r="A277" s="33"/>
      <c r="B277" s="27" t="s">
        <v>957</v>
      </c>
      <c r="C277" s="31"/>
      <c r="D277" s="31"/>
      <c r="F277" s="31"/>
    </row>
    <row r="278" spans="1:6" s="25" customFormat="1">
      <c r="A278" s="33"/>
      <c r="B278" s="27" t="s">
        <v>958</v>
      </c>
      <c r="C278" s="31"/>
      <c r="D278" s="31"/>
      <c r="F278" s="31"/>
    </row>
    <row r="279" spans="1:6" s="25" customFormat="1" ht="16.2">
      <c r="A279" s="33"/>
      <c r="B279" s="27" t="s">
        <v>959</v>
      </c>
      <c r="C279" s="31"/>
      <c r="D279" s="31"/>
      <c r="F279" s="31"/>
    </row>
    <row r="280" spans="1:6" s="25" customFormat="1" ht="16.2">
      <c r="A280" s="33"/>
      <c r="B280" s="27" t="s">
        <v>960</v>
      </c>
      <c r="C280" s="31"/>
      <c r="D280" s="31"/>
      <c r="F280" s="31"/>
    </row>
    <row r="281" spans="1:6" s="25" customFormat="1" ht="16.2">
      <c r="A281" s="33"/>
      <c r="B281" s="27" t="s">
        <v>961</v>
      </c>
      <c r="C281" s="31"/>
      <c r="D281" s="31"/>
      <c r="F281" s="31"/>
    </row>
    <row r="282" spans="1:6" s="25" customFormat="1" ht="16.2">
      <c r="A282" s="33"/>
      <c r="B282" s="27" t="s">
        <v>962</v>
      </c>
      <c r="C282" s="31"/>
      <c r="D282" s="31"/>
      <c r="F282" s="31"/>
    </row>
    <row r="283" spans="1:6" s="25" customFormat="1" ht="16.2">
      <c r="A283" s="33"/>
      <c r="B283" s="27" t="s">
        <v>963</v>
      </c>
      <c r="C283" s="31"/>
      <c r="D283" s="31"/>
      <c r="F283" s="31"/>
    </row>
    <row r="284" spans="1:6" s="25" customFormat="1">
      <c r="A284" s="33"/>
      <c r="B284" s="27" t="s">
        <v>964</v>
      </c>
      <c r="C284" s="31"/>
      <c r="D284" s="31"/>
      <c r="F284" s="31"/>
    </row>
    <row r="285" spans="1:6" s="25" customFormat="1" ht="16.2">
      <c r="A285" s="33"/>
      <c r="B285" s="27" t="s">
        <v>965</v>
      </c>
      <c r="C285" s="31"/>
      <c r="D285" s="31"/>
      <c r="F285" s="31"/>
    </row>
    <row r="286" spans="1:6" s="25" customFormat="1" ht="16.2">
      <c r="A286" s="33"/>
      <c r="B286" s="27" t="s">
        <v>966</v>
      </c>
      <c r="C286" s="31"/>
      <c r="D286" s="31"/>
      <c r="F286" s="31"/>
    </row>
    <row r="287" spans="1:6" s="25" customFormat="1">
      <c r="A287" s="33"/>
      <c r="B287" s="27" t="s">
        <v>967</v>
      </c>
      <c r="C287" s="31"/>
      <c r="D287" s="31"/>
      <c r="F287" s="31"/>
    </row>
    <row r="288" spans="1:6" s="25" customFormat="1" ht="16.2">
      <c r="A288" s="33"/>
      <c r="B288" s="40" t="s">
        <v>968</v>
      </c>
      <c r="C288" s="31"/>
      <c r="D288" s="31"/>
      <c r="F288" s="31"/>
    </row>
    <row r="289" spans="1:43" s="25" customFormat="1">
      <c r="A289" s="33"/>
      <c r="B289" s="40" t="s">
        <v>600</v>
      </c>
      <c r="C289" s="31"/>
      <c r="D289" s="31"/>
      <c r="F289" s="31"/>
    </row>
    <row r="290" spans="1:43" s="25" customFormat="1" ht="16.2">
      <c r="A290" s="33"/>
      <c r="B290" s="40" t="s">
        <v>969</v>
      </c>
      <c r="C290" s="31"/>
      <c r="D290" s="31"/>
      <c r="F290" s="31"/>
    </row>
    <row r="291" spans="1:43" s="25" customFormat="1">
      <c r="A291" s="33"/>
      <c r="B291" s="40" t="s">
        <v>970</v>
      </c>
      <c r="C291" s="31"/>
      <c r="D291" s="31"/>
      <c r="F291" s="31"/>
    </row>
    <row r="292" spans="1:43" s="25" customFormat="1" ht="16.2">
      <c r="A292" s="33"/>
      <c r="B292" s="40" t="s">
        <v>971</v>
      </c>
      <c r="C292" s="31"/>
      <c r="D292" s="31"/>
      <c r="F292" s="31"/>
    </row>
    <row r="293" spans="1:43" s="25" customFormat="1" ht="16.2">
      <c r="A293" s="33"/>
      <c r="B293" s="40" t="s">
        <v>972</v>
      </c>
      <c r="C293" s="31"/>
      <c r="D293" s="31"/>
      <c r="F293" s="31"/>
    </row>
    <row r="294" spans="1:43" s="25" customFormat="1" ht="16.2">
      <c r="A294" s="33"/>
      <c r="B294" s="40" t="s">
        <v>973</v>
      </c>
      <c r="C294" s="31"/>
      <c r="D294" s="31"/>
      <c r="F294" s="31"/>
    </row>
    <row r="295" spans="1:43">
      <c r="A295" s="58"/>
      <c r="B295" s="40" t="s">
        <v>974</v>
      </c>
      <c r="C295" s="31"/>
      <c r="E295" s="25"/>
      <c r="F295" s="25"/>
      <c r="G295" s="25"/>
      <c r="H295" s="26"/>
      <c r="I295" s="26"/>
      <c r="O295" s="26"/>
      <c r="P295" s="26"/>
      <c r="Q295" s="26"/>
      <c r="T295" s="25"/>
      <c r="U295" s="25"/>
      <c r="V295" s="25"/>
      <c r="W295" s="26"/>
      <c r="X295" s="26"/>
      <c r="Y295" s="26"/>
      <c r="Z295" s="26"/>
      <c r="AA295" s="26"/>
      <c r="AD295" s="26"/>
      <c r="AE295" s="26"/>
      <c r="AF295" s="26"/>
      <c r="AO295" s="26"/>
      <c r="AP295" s="26"/>
      <c r="AQ295" s="26"/>
    </row>
    <row r="296" spans="1:43" s="25" customFormat="1" ht="16.2">
      <c r="A296" s="33"/>
      <c r="B296" s="40" t="s">
        <v>975</v>
      </c>
      <c r="C296" s="31"/>
      <c r="D296" s="31"/>
      <c r="F296" s="31"/>
    </row>
    <row r="297" spans="1:43" s="25" customFormat="1" ht="16.2">
      <c r="A297" s="33" t="s">
        <v>976</v>
      </c>
      <c r="B297" s="36" t="s">
        <v>977</v>
      </c>
      <c r="C297" s="31"/>
      <c r="D297" s="31"/>
      <c r="F297" s="31"/>
    </row>
    <row r="298" spans="1:43" s="25" customFormat="1" ht="16.2">
      <c r="A298" s="33"/>
      <c r="B298" s="27" t="s">
        <v>978</v>
      </c>
      <c r="C298" s="31"/>
      <c r="D298" s="31"/>
      <c r="F298" s="31"/>
    </row>
    <row r="299" spans="1:43" s="25" customFormat="1" ht="16.2">
      <c r="A299" s="33"/>
      <c r="B299" s="40" t="s">
        <v>979</v>
      </c>
      <c r="C299" s="31"/>
      <c r="D299" s="31"/>
      <c r="F299" s="31"/>
    </row>
    <row r="300" spans="1:43" s="25" customFormat="1" ht="30">
      <c r="A300" s="33"/>
      <c r="B300" s="40" t="s">
        <v>980</v>
      </c>
      <c r="C300" s="31"/>
      <c r="D300" s="31"/>
      <c r="F300" s="31"/>
    </row>
    <row r="301" spans="1:43" s="25" customFormat="1" ht="16.2">
      <c r="A301" s="33"/>
      <c r="B301" s="40" t="s">
        <v>981</v>
      </c>
      <c r="C301" s="31"/>
      <c r="D301" s="31"/>
      <c r="F301" s="31"/>
    </row>
    <row r="302" spans="1:43" s="25" customFormat="1" ht="16.2">
      <c r="A302" s="33"/>
      <c r="B302" s="40" t="s">
        <v>982</v>
      </c>
      <c r="C302" s="31"/>
      <c r="D302" s="31"/>
      <c r="F302" s="31"/>
    </row>
    <row r="303" spans="1:43" s="25" customFormat="1" ht="32.4">
      <c r="A303" s="33"/>
      <c r="B303" s="40" t="s">
        <v>983</v>
      </c>
      <c r="C303" s="31"/>
      <c r="D303" s="31"/>
      <c r="F303" s="31"/>
    </row>
    <row r="304" spans="1:43" s="25" customFormat="1" ht="16.2">
      <c r="A304" s="33"/>
      <c r="B304" s="40" t="s">
        <v>984</v>
      </c>
      <c r="C304" s="31"/>
      <c r="D304" s="31"/>
      <c r="F304" s="31"/>
    </row>
    <row r="305" spans="1:43" s="25" customFormat="1" ht="30">
      <c r="A305" s="33"/>
      <c r="B305" s="40" t="s">
        <v>985</v>
      </c>
      <c r="C305" s="31"/>
      <c r="D305" s="31"/>
      <c r="F305" s="31"/>
    </row>
    <row r="306" spans="1:43" s="25" customFormat="1" ht="16.2">
      <c r="A306" s="33"/>
      <c r="B306" s="40" t="s">
        <v>986</v>
      </c>
      <c r="C306" s="31"/>
      <c r="D306" s="31"/>
      <c r="F306" s="31"/>
    </row>
    <row r="307" spans="1:43" s="25" customFormat="1" ht="16.2">
      <c r="A307" s="33"/>
      <c r="B307" s="40" t="s">
        <v>987</v>
      </c>
      <c r="C307" s="31"/>
      <c r="D307" s="31"/>
      <c r="F307" s="31"/>
    </row>
    <row r="308" spans="1:43" s="25" customFormat="1" ht="16.2">
      <c r="A308" s="33"/>
      <c r="B308" s="40" t="s">
        <v>988</v>
      </c>
      <c r="C308" s="31"/>
      <c r="D308" s="58"/>
      <c r="E308" s="58"/>
      <c r="F308" s="31"/>
    </row>
    <row r="309" spans="1:43" s="25" customFormat="1" ht="30">
      <c r="A309" s="33"/>
      <c r="B309" s="40" t="s">
        <v>989</v>
      </c>
      <c r="C309" s="31"/>
      <c r="D309" s="31"/>
      <c r="F309" s="31"/>
    </row>
    <row r="310" spans="1:43" s="25" customFormat="1" ht="32.4">
      <c r="A310" s="33"/>
      <c r="B310" s="40" t="s">
        <v>990</v>
      </c>
      <c r="C310" s="31"/>
      <c r="D310" s="31"/>
      <c r="F310" s="31"/>
    </row>
    <row r="311" spans="1:43" s="25" customFormat="1" ht="16.2">
      <c r="A311" s="33" t="s">
        <v>991</v>
      </c>
      <c r="B311" s="36" t="s">
        <v>992</v>
      </c>
      <c r="C311" s="31"/>
      <c r="D311" s="31"/>
      <c r="F311" s="31"/>
    </row>
    <row r="312" spans="1:43" s="25" customFormat="1">
      <c r="A312" s="33"/>
      <c r="B312" s="40" t="s">
        <v>993</v>
      </c>
      <c r="C312" s="31"/>
      <c r="D312" s="31"/>
      <c r="F312" s="31"/>
    </row>
    <row r="313" spans="1:43" ht="16.2">
      <c r="B313" s="36" t="s">
        <v>922</v>
      </c>
      <c r="C313" s="31"/>
      <c r="D313" s="35"/>
      <c r="E313" s="25"/>
      <c r="F313" s="25"/>
      <c r="G313" s="25"/>
      <c r="H313" s="26"/>
      <c r="I313" s="26"/>
      <c r="O313" s="26"/>
      <c r="P313" s="26"/>
      <c r="Q313" s="26"/>
      <c r="T313" s="25"/>
      <c r="U313" s="25"/>
      <c r="V313" s="25"/>
      <c r="W313" s="26"/>
      <c r="X313" s="26"/>
      <c r="Y313" s="26"/>
      <c r="Z313" s="26"/>
      <c r="AA313" s="26"/>
      <c r="AD313" s="26"/>
      <c r="AE313" s="26"/>
      <c r="AF313" s="26"/>
      <c r="AO313" s="26"/>
      <c r="AP313" s="26"/>
      <c r="AQ313" s="26"/>
    </row>
    <row r="314" spans="1:43" s="25" customFormat="1" ht="16.2">
      <c r="A314" s="58"/>
      <c r="B314" s="40" t="s">
        <v>994</v>
      </c>
      <c r="C314" s="31"/>
      <c r="D314" s="31"/>
      <c r="F314" s="31"/>
    </row>
    <row r="315" spans="1:43" s="25" customFormat="1" ht="16.2">
      <c r="A315" s="58"/>
      <c r="B315" s="40" t="s">
        <v>995</v>
      </c>
      <c r="C315" s="31"/>
      <c r="D315" s="31"/>
      <c r="F315" s="31"/>
    </row>
    <row r="316" spans="1:43" s="25" customFormat="1" ht="16.2">
      <c r="A316" s="33"/>
      <c r="B316" s="27" t="s">
        <v>996</v>
      </c>
      <c r="C316" s="31"/>
      <c r="D316" s="31"/>
      <c r="F316" s="31"/>
    </row>
    <row r="317" spans="1:43" s="25" customFormat="1" ht="16.2">
      <c r="A317" s="33"/>
      <c r="B317" s="40" t="s">
        <v>997</v>
      </c>
      <c r="C317" s="31"/>
      <c r="D317" s="31"/>
      <c r="F317" s="31"/>
    </row>
    <row r="318" spans="1:43" s="25" customFormat="1" ht="16.2">
      <c r="A318" s="33"/>
      <c r="B318" s="40" t="s">
        <v>998</v>
      </c>
      <c r="C318" s="31"/>
      <c r="D318" s="31"/>
      <c r="F318" s="31"/>
    </row>
    <row r="319" spans="1:43" s="25" customFormat="1" ht="16.2">
      <c r="A319" s="33"/>
      <c r="B319" s="40" t="s">
        <v>999</v>
      </c>
      <c r="C319" s="31"/>
      <c r="D319" s="31"/>
      <c r="F319" s="31"/>
    </row>
    <row r="320" spans="1:43" s="25" customFormat="1" ht="16.2">
      <c r="A320" s="33"/>
      <c r="B320" s="40" t="s">
        <v>1000</v>
      </c>
      <c r="C320" s="31"/>
      <c r="D320" s="31"/>
      <c r="F320" s="31"/>
    </row>
    <row r="321" spans="1:6" s="25" customFormat="1" ht="30">
      <c r="A321" s="33"/>
      <c r="B321" s="40" t="s">
        <v>1001</v>
      </c>
      <c r="C321" s="31"/>
      <c r="D321" s="31"/>
      <c r="F321" s="31"/>
    </row>
    <row r="322" spans="1:6" s="25" customFormat="1" ht="16.2">
      <c r="A322" s="33"/>
      <c r="B322" s="40" t="s">
        <v>1002</v>
      </c>
      <c r="C322" s="31"/>
      <c r="D322" s="31"/>
      <c r="F322" s="31"/>
    </row>
    <row r="323" spans="1:6" s="25" customFormat="1" ht="30">
      <c r="A323" s="33"/>
      <c r="B323" s="40" t="s">
        <v>1003</v>
      </c>
      <c r="C323" s="31"/>
      <c r="D323" s="31"/>
      <c r="F323" s="31"/>
    </row>
    <row r="324" spans="1:6" s="25" customFormat="1" ht="16.2">
      <c r="A324" s="33"/>
      <c r="B324" s="40" t="s">
        <v>1004</v>
      </c>
      <c r="C324" s="31"/>
      <c r="D324" s="58"/>
      <c r="E324" s="58"/>
      <c r="F324" s="31"/>
    </row>
    <row r="325" spans="1:6" s="25" customFormat="1" ht="30">
      <c r="A325" s="33"/>
      <c r="B325" s="40" t="s">
        <v>1005</v>
      </c>
      <c r="C325" s="31"/>
      <c r="D325" s="31"/>
      <c r="F325" s="31"/>
    </row>
    <row r="326" spans="1:6" s="25" customFormat="1" ht="32.4">
      <c r="A326" s="33"/>
      <c r="B326" s="40" t="s">
        <v>1006</v>
      </c>
      <c r="C326" s="31"/>
      <c r="D326" s="31"/>
      <c r="F326" s="31"/>
    </row>
    <row r="327" spans="1:6" s="25" customFormat="1">
      <c r="A327" s="33" t="s">
        <v>1007</v>
      </c>
      <c r="B327" s="101" t="s">
        <v>1008</v>
      </c>
      <c r="C327" s="31"/>
      <c r="D327" s="31"/>
      <c r="E327" s="31"/>
    </row>
    <row r="328" spans="1:6" s="25" customFormat="1">
      <c r="A328" s="33" t="s">
        <v>1009</v>
      </c>
      <c r="B328" s="101" t="s">
        <v>1010</v>
      </c>
      <c r="C328" s="31"/>
      <c r="D328" s="31"/>
      <c r="E328" s="31"/>
    </row>
    <row r="329" spans="1:6" ht="27.6">
      <c r="B329" s="40" t="s">
        <v>1011</v>
      </c>
      <c r="E329" s="34"/>
    </row>
    <row r="330" spans="1:6">
      <c r="B330" s="38" t="s">
        <v>1012</v>
      </c>
      <c r="E330" s="34"/>
    </row>
    <row r="331" spans="1:6">
      <c r="B331" s="38" t="s">
        <v>1013</v>
      </c>
      <c r="E331" s="34"/>
    </row>
    <row r="332" spans="1:6" s="22" customFormat="1">
      <c r="A332" s="72" t="s">
        <v>551</v>
      </c>
      <c r="B332" s="73" t="s">
        <v>1014</v>
      </c>
      <c r="C332" s="145"/>
      <c r="D332" s="66"/>
      <c r="E332" s="145"/>
    </row>
    <row r="333" spans="1:6" s="21" customFormat="1" ht="14.4">
      <c r="A333" s="58" t="s">
        <v>1015</v>
      </c>
      <c r="B333" s="146" t="s">
        <v>1016</v>
      </c>
      <c r="C333" s="147"/>
      <c r="D333" s="68"/>
      <c r="E333" s="147"/>
    </row>
    <row r="334" spans="1:6">
      <c r="B334" s="38" t="s">
        <v>1017</v>
      </c>
      <c r="E334" s="34"/>
    </row>
    <row r="335" spans="1:6" ht="16.2">
      <c r="B335" s="40" t="s">
        <v>1018</v>
      </c>
      <c r="E335" s="34"/>
    </row>
    <row r="336" spans="1:6" ht="16.2">
      <c r="B336" s="40" t="s">
        <v>1019</v>
      </c>
      <c r="E336" s="34"/>
    </row>
    <row r="337" spans="1:5" ht="16.2">
      <c r="B337" s="40" t="s">
        <v>1020</v>
      </c>
      <c r="E337" s="34"/>
    </row>
    <row r="338" spans="1:5" ht="16.2">
      <c r="B338" s="40" t="s">
        <v>1021</v>
      </c>
      <c r="E338" s="34"/>
    </row>
    <row r="339" spans="1:5" ht="16.2">
      <c r="B339" s="38" t="s">
        <v>1022</v>
      </c>
      <c r="E339" s="34"/>
    </row>
    <row r="340" spans="1:5" ht="16.2">
      <c r="B340" s="38" t="s">
        <v>1023</v>
      </c>
      <c r="E340" s="34"/>
    </row>
    <row r="341" spans="1:5" ht="16.2">
      <c r="B341" s="38" t="s">
        <v>1024</v>
      </c>
      <c r="E341" s="34"/>
    </row>
    <row r="342" spans="1:5" ht="16.2">
      <c r="B342" s="38" t="s">
        <v>1025</v>
      </c>
      <c r="E342" s="34"/>
    </row>
    <row r="343" spans="1:5">
      <c r="A343" s="58" t="s">
        <v>1026</v>
      </c>
      <c r="B343" s="38" t="s">
        <v>1027</v>
      </c>
      <c r="E343" s="34"/>
    </row>
    <row r="344" spans="1:5">
      <c r="B344" s="38" t="s">
        <v>1028</v>
      </c>
      <c r="E344" s="34"/>
    </row>
    <row r="345" spans="1:5" ht="16.2">
      <c r="B345" s="40" t="s">
        <v>1029</v>
      </c>
      <c r="E345" s="34"/>
    </row>
    <row r="346" spans="1:5" ht="16.2">
      <c r="B346" s="40" t="s">
        <v>1030</v>
      </c>
      <c r="E346" s="34"/>
    </row>
    <row r="347" spans="1:5">
      <c r="B347" s="40" t="s">
        <v>1031</v>
      </c>
      <c r="E347" s="34"/>
    </row>
    <row r="348" spans="1:5" ht="17.399999999999999">
      <c r="B348" s="40" t="s">
        <v>1032</v>
      </c>
      <c r="E348" s="34"/>
    </row>
    <row r="349" spans="1:5">
      <c r="B349" s="40" t="s">
        <v>1033</v>
      </c>
      <c r="E349" s="34"/>
    </row>
    <row r="350" spans="1:5">
      <c r="B350" s="40" t="s">
        <v>1034</v>
      </c>
      <c r="E350" s="34"/>
    </row>
    <row r="351" spans="1:5" ht="17.399999999999999">
      <c r="B351" s="40" t="s">
        <v>1035</v>
      </c>
      <c r="E351" s="34"/>
    </row>
    <row r="352" spans="1:5">
      <c r="B352" s="38" t="s">
        <v>1036</v>
      </c>
      <c r="E352" s="34"/>
    </row>
    <row r="353" spans="1:5" ht="17.399999999999999">
      <c r="B353" s="27" t="s">
        <v>1037</v>
      </c>
      <c r="E353" s="34"/>
    </row>
    <row r="354" spans="1:5" ht="16.2">
      <c r="B354" s="27" t="s">
        <v>1038</v>
      </c>
      <c r="E354" s="34"/>
    </row>
    <row r="355" spans="1:5" ht="16.2">
      <c r="B355" s="27" t="s">
        <v>1039</v>
      </c>
      <c r="E355" s="34"/>
    </row>
    <row r="356" spans="1:5" s="22" customFormat="1">
      <c r="A356" s="72" t="s">
        <v>553</v>
      </c>
      <c r="B356" s="73" t="s">
        <v>1040</v>
      </c>
      <c r="C356" s="145"/>
      <c r="D356" s="66"/>
      <c r="E356" s="145"/>
    </row>
    <row r="357" spans="1:5" ht="27.6">
      <c r="B357" s="40" t="s">
        <v>1041</v>
      </c>
      <c r="D357" s="35"/>
      <c r="E357" s="34"/>
    </row>
    <row r="358" spans="1:5" ht="16.2">
      <c r="B358" s="40" t="s">
        <v>1042</v>
      </c>
      <c r="E358" s="34"/>
    </row>
    <row r="359" spans="1:5" ht="16.2">
      <c r="B359" s="40" t="s">
        <v>1043</v>
      </c>
      <c r="E359" s="34"/>
    </row>
    <row r="360" spans="1:5">
      <c r="B360" s="40" t="s">
        <v>1044</v>
      </c>
      <c r="E360" s="34"/>
    </row>
    <row r="361" spans="1:5">
      <c r="A361" s="58" t="s">
        <v>905</v>
      </c>
      <c r="B361" s="40" t="s">
        <v>1045</v>
      </c>
      <c r="E361" s="34"/>
    </row>
    <row r="362" spans="1:5" ht="16.2">
      <c r="B362" s="38" t="s">
        <v>1022</v>
      </c>
      <c r="E362" s="34"/>
    </row>
    <row r="363" spans="1:5" ht="16.2">
      <c r="B363" s="38" t="s">
        <v>1023</v>
      </c>
      <c r="E363" s="34"/>
    </row>
    <row r="364" spans="1:5" ht="30">
      <c r="B364" s="38" t="s">
        <v>1046</v>
      </c>
      <c r="E364" s="34"/>
    </row>
    <row r="365" spans="1:5" ht="16.2">
      <c r="B365" s="40" t="s">
        <v>1047</v>
      </c>
      <c r="E365" s="34"/>
    </row>
    <row r="366" spans="1:5">
      <c r="B366" s="40" t="s">
        <v>1048</v>
      </c>
      <c r="E366" s="34"/>
    </row>
    <row r="367" spans="1:5">
      <c r="B367" s="40" t="s">
        <v>1049</v>
      </c>
      <c r="E367" s="34"/>
    </row>
    <row r="368" spans="1:5">
      <c r="A368" s="58" t="s">
        <v>909</v>
      </c>
      <c r="B368" s="40" t="s">
        <v>1050</v>
      </c>
      <c r="E368" s="34"/>
    </row>
    <row r="369" spans="1:5">
      <c r="B369" s="40" t="s">
        <v>1051</v>
      </c>
      <c r="E369" s="34"/>
    </row>
    <row r="370" spans="1:5" ht="16.2">
      <c r="B370" s="40" t="s">
        <v>1052</v>
      </c>
      <c r="E370" s="34"/>
    </row>
    <row r="371" spans="1:5" ht="16.2">
      <c r="B371" s="40" t="s">
        <v>1053</v>
      </c>
      <c r="E371" s="34"/>
    </row>
    <row r="372" spans="1:5">
      <c r="B372" s="40" t="s">
        <v>1054</v>
      </c>
      <c r="E372" s="34"/>
    </row>
    <row r="373" spans="1:5" ht="16.2">
      <c r="B373" s="40" t="s">
        <v>1055</v>
      </c>
      <c r="E373" s="34"/>
    </row>
    <row r="374" spans="1:5">
      <c r="B374" s="40" t="s">
        <v>1056</v>
      </c>
      <c r="E374" s="34"/>
    </row>
    <row r="375" spans="1:5" ht="16.2">
      <c r="B375" s="40" t="s">
        <v>1057</v>
      </c>
      <c r="E375" s="34"/>
    </row>
    <row r="376" spans="1:5" ht="16.2">
      <c r="B376" s="40" t="s">
        <v>1058</v>
      </c>
      <c r="E376" s="34"/>
    </row>
    <row r="377" spans="1:5" ht="16.2">
      <c r="B377" s="40" t="s">
        <v>1059</v>
      </c>
      <c r="E377" s="34"/>
    </row>
    <row r="378" spans="1:5" ht="16.2">
      <c r="B378" s="40" t="s">
        <v>1060</v>
      </c>
      <c r="E378" s="34"/>
    </row>
    <row r="379" spans="1:5" ht="16.2">
      <c r="B379" s="40" t="s">
        <v>1061</v>
      </c>
      <c r="E379" s="34"/>
    </row>
    <row r="380" spans="1:5" ht="16.2">
      <c r="B380" s="40" t="s">
        <v>1062</v>
      </c>
      <c r="E380" s="34"/>
    </row>
    <row r="381" spans="1:5">
      <c r="A381" s="33" t="s">
        <v>1063</v>
      </c>
      <c r="B381" s="133" t="s">
        <v>1064</v>
      </c>
      <c r="E381" s="34"/>
    </row>
    <row r="382" spans="1:5" ht="16.2">
      <c r="B382" s="38" t="s">
        <v>1065</v>
      </c>
      <c r="E382" s="34"/>
    </row>
    <row r="383" spans="1:5" s="28" customFormat="1">
      <c r="A383" s="33" t="s">
        <v>1066</v>
      </c>
      <c r="B383" s="133" t="s">
        <v>1067</v>
      </c>
      <c r="C383" s="148"/>
      <c r="D383" s="35"/>
      <c r="E383" s="148"/>
    </row>
    <row r="384" spans="1:5" s="22" customFormat="1">
      <c r="A384" s="72" t="s">
        <v>551</v>
      </c>
      <c r="B384" s="73" t="s">
        <v>1068</v>
      </c>
      <c r="C384" s="145"/>
      <c r="D384" s="66"/>
      <c r="E384" s="145"/>
    </row>
    <row r="385" spans="1:7" ht="27.6">
      <c r="A385" s="72"/>
      <c r="B385" s="40" t="s">
        <v>1069</v>
      </c>
      <c r="C385" s="35"/>
      <c r="D385" s="35"/>
      <c r="E385" s="25"/>
      <c r="F385" s="25"/>
      <c r="G385" s="31"/>
    </row>
    <row r="386" spans="1:7">
      <c r="A386" s="72"/>
      <c r="B386" s="40" t="s">
        <v>1070</v>
      </c>
      <c r="C386" s="35"/>
      <c r="D386" s="35"/>
      <c r="E386" s="25"/>
      <c r="F386" s="25"/>
      <c r="G386" s="31"/>
    </row>
    <row r="387" spans="1:7">
      <c r="A387" s="72"/>
      <c r="B387" s="40" t="s">
        <v>1071</v>
      </c>
      <c r="C387" s="35"/>
      <c r="D387" s="35"/>
      <c r="E387" s="25"/>
      <c r="F387" s="25"/>
      <c r="G387" s="31"/>
    </row>
    <row r="388" spans="1:7">
      <c r="A388" s="33" t="s">
        <v>553</v>
      </c>
      <c r="B388" s="40" t="s">
        <v>1072</v>
      </c>
      <c r="C388" s="35"/>
      <c r="D388" s="35"/>
      <c r="E388" s="25"/>
      <c r="F388" s="25"/>
      <c r="G388" s="31"/>
    </row>
    <row r="389" spans="1:7">
      <c r="A389" s="33" t="s">
        <v>905</v>
      </c>
      <c r="B389" s="40" t="s">
        <v>1073</v>
      </c>
      <c r="C389" s="35"/>
      <c r="D389" s="35"/>
      <c r="E389" s="25"/>
      <c r="F389" s="25"/>
      <c r="G389" s="31"/>
    </row>
    <row r="390" spans="1:7">
      <c r="A390" s="33" t="s">
        <v>909</v>
      </c>
      <c r="B390" s="40" t="s">
        <v>1074</v>
      </c>
      <c r="C390" s="35"/>
      <c r="D390" s="35"/>
      <c r="E390" s="25"/>
      <c r="F390" s="25"/>
      <c r="G390" s="31"/>
    </row>
    <row r="391" spans="1:7">
      <c r="B391" s="40" t="s">
        <v>1075</v>
      </c>
      <c r="C391" s="31"/>
      <c r="D391" s="35"/>
      <c r="E391" s="31"/>
      <c r="F391" s="31"/>
      <c r="G391" s="31"/>
    </row>
    <row r="392" spans="1:7">
      <c r="B392" s="27" t="s">
        <v>1076</v>
      </c>
      <c r="C392" s="31"/>
      <c r="D392" s="35"/>
      <c r="E392" s="25" t="s">
        <v>849</v>
      </c>
      <c r="F392" s="25"/>
      <c r="G392" s="31"/>
    </row>
    <row r="393" spans="1:7">
      <c r="B393" s="27" t="s">
        <v>1077</v>
      </c>
      <c r="C393" s="31"/>
      <c r="D393" s="35"/>
      <c r="E393" s="25" t="s">
        <v>849</v>
      </c>
      <c r="F393" s="25"/>
      <c r="G393" s="31"/>
    </row>
    <row r="394" spans="1:7" ht="27.6">
      <c r="B394" s="40" t="s">
        <v>1078</v>
      </c>
      <c r="C394" s="31"/>
      <c r="D394" s="35"/>
      <c r="E394" s="25" t="s">
        <v>849</v>
      </c>
      <c r="F394" s="25"/>
      <c r="G394" s="31"/>
    </row>
    <row r="395" spans="1:7">
      <c r="B395" s="27" t="s">
        <v>1079</v>
      </c>
      <c r="C395" s="31"/>
      <c r="D395" s="35"/>
      <c r="E395" s="25"/>
      <c r="F395" s="25"/>
      <c r="G395" s="31"/>
    </row>
    <row r="396" spans="1:7">
      <c r="B396" s="27" t="s">
        <v>1080</v>
      </c>
      <c r="C396" s="31"/>
      <c r="D396" s="35"/>
      <c r="E396" s="25" t="s">
        <v>849</v>
      </c>
      <c r="F396" s="25"/>
      <c r="G396" s="31"/>
    </row>
    <row r="397" spans="1:7">
      <c r="B397" s="27" t="s">
        <v>1081</v>
      </c>
      <c r="C397" s="31"/>
      <c r="D397" s="35"/>
      <c r="E397" s="25" t="s">
        <v>849</v>
      </c>
      <c r="F397" s="25"/>
      <c r="G397" s="31"/>
    </row>
    <row r="398" spans="1:7">
      <c r="B398" s="27" t="s">
        <v>1082</v>
      </c>
      <c r="C398" s="31"/>
      <c r="D398" s="35"/>
      <c r="E398" s="25"/>
      <c r="F398" s="25"/>
      <c r="G398" s="31"/>
    </row>
    <row r="399" spans="1:7">
      <c r="B399" s="27" t="s">
        <v>1083</v>
      </c>
      <c r="C399" s="31"/>
      <c r="D399" s="35"/>
      <c r="E399" s="25"/>
      <c r="F399" s="25"/>
      <c r="G399" s="31"/>
    </row>
    <row r="400" spans="1:7">
      <c r="B400" s="27" t="s">
        <v>1084</v>
      </c>
      <c r="C400" s="31"/>
      <c r="D400" s="35"/>
      <c r="E400" s="25"/>
      <c r="F400" s="25"/>
      <c r="G400" s="31"/>
    </row>
    <row r="401" spans="1:7">
      <c r="B401" s="27" t="s">
        <v>1085</v>
      </c>
      <c r="C401" s="31"/>
      <c r="D401" s="35"/>
      <c r="E401" s="25"/>
      <c r="F401" s="25"/>
      <c r="G401" s="31"/>
    </row>
    <row r="402" spans="1:7">
      <c r="A402" s="33" t="s">
        <v>1066</v>
      </c>
      <c r="B402" s="36" t="s">
        <v>1086</v>
      </c>
      <c r="C402" s="35"/>
      <c r="D402" s="35"/>
      <c r="E402" s="25"/>
      <c r="F402" s="25"/>
      <c r="G402" s="31"/>
    </row>
    <row r="403" spans="1:7">
      <c r="B403" s="40" t="s">
        <v>1087</v>
      </c>
      <c r="C403" s="31"/>
      <c r="D403" s="35"/>
      <c r="E403" s="25"/>
      <c r="F403" s="25"/>
      <c r="G403" s="31"/>
    </row>
    <row r="404" spans="1:7">
      <c r="B404" s="40" t="s">
        <v>1088</v>
      </c>
      <c r="C404" s="31"/>
      <c r="D404" s="35"/>
      <c r="E404" s="25"/>
      <c r="F404" s="25"/>
      <c r="G404" s="31"/>
    </row>
    <row r="405" spans="1:7">
      <c r="B405" s="40" t="s">
        <v>1089</v>
      </c>
      <c r="C405" s="31"/>
      <c r="D405" s="35"/>
      <c r="E405" s="25"/>
      <c r="F405" s="25"/>
      <c r="G405" s="31"/>
    </row>
    <row r="406" spans="1:7">
      <c r="A406" s="33" t="s">
        <v>1090</v>
      </c>
      <c r="B406" s="36" t="s">
        <v>1091</v>
      </c>
      <c r="C406" s="31"/>
      <c r="D406" s="35"/>
      <c r="E406" s="25"/>
      <c r="F406" s="25"/>
      <c r="G406" s="31"/>
    </row>
    <row r="407" spans="1:7">
      <c r="B407" s="40" t="s">
        <v>1092</v>
      </c>
      <c r="C407" s="31"/>
      <c r="D407" s="35"/>
      <c r="E407" s="25"/>
      <c r="F407" s="25"/>
      <c r="G407" s="31"/>
    </row>
    <row r="408" spans="1:7">
      <c r="B408" s="40" t="s">
        <v>1093</v>
      </c>
      <c r="C408" s="31"/>
      <c r="D408" s="35"/>
      <c r="E408" s="25"/>
      <c r="F408" s="25"/>
      <c r="G408" s="31"/>
    </row>
    <row r="409" spans="1:7">
      <c r="B409" s="40" t="s">
        <v>1094</v>
      </c>
      <c r="C409" s="31"/>
      <c r="D409" s="35"/>
      <c r="E409" s="25"/>
      <c r="F409" s="25"/>
      <c r="G409" s="31"/>
    </row>
    <row r="410" spans="1:7">
      <c r="B410" s="40" t="s">
        <v>1095</v>
      </c>
      <c r="C410" s="31"/>
      <c r="D410" s="35"/>
      <c r="E410" s="25"/>
      <c r="F410" s="25"/>
      <c r="G410" s="31"/>
    </row>
    <row r="411" spans="1:7">
      <c r="B411" s="40" t="s">
        <v>1096</v>
      </c>
      <c r="C411" s="31"/>
      <c r="D411" s="35"/>
      <c r="E411" s="25"/>
      <c r="F411" s="25"/>
      <c r="G411" s="31"/>
    </row>
    <row r="412" spans="1:7">
      <c r="B412" s="26"/>
      <c r="C412" s="149"/>
      <c r="D412" s="149"/>
      <c r="E412" s="34"/>
    </row>
    <row r="413" spans="1:7">
      <c r="B413" s="26"/>
      <c r="C413" s="149"/>
      <c r="E413" s="34"/>
    </row>
    <row r="414" spans="1:7">
      <c r="B414" s="26"/>
      <c r="C414" s="149"/>
      <c r="D414" s="150"/>
      <c r="E414" s="34"/>
    </row>
    <row r="415" spans="1:7">
      <c r="D415" s="35"/>
      <c r="F415" s="34"/>
    </row>
    <row r="416" spans="1:7">
      <c r="D416" s="35"/>
      <c r="F416" s="34"/>
    </row>
    <row r="417" spans="1:7">
      <c r="D417" s="35"/>
      <c r="F417" s="34"/>
    </row>
    <row r="418" spans="1:7">
      <c r="D418" s="35"/>
      <c r="F418" s="34"/>
    </row>
    <row r="419" spans="1:7">
      <c r="D419" s="35"/>
      <c r="F419" s="34"/>
    </row>
    <row r="420" spans="1:7">
      <c r="D420" s="35"/>
      <c r="F420" s="34"/>
    </row>
    <row r="421" spans="1:7">
      <c r="D421" s="35"/>
      <c r="F421" s="34"/>
    </row>
    <row r="422" spans="1:7">
      <c r="D422" s="35"/>
      <c r="F422" s="34"/>
    </row>
    <row r="423" spans="1:7">
      <c r="D423" s="35"/>
      <c r="F423" s="34"/>
    </row>
    <row r="424" spans="1:7">
      <c r="A424" s="33" t="s">
        <v>1097</v>
      </c>
      <c r="D424" s="35"/>
      <c r="F424" s="34"/>
    </row>
    <row r="425" spans="1:7" s="245" customFormat="1">
      <c r="A425" s="237">
        <v>1</v>
      </c>
      <c r="B425" s="242" t="s">
        <v>1098</v>
      </c>
      <c r="C425" s="244"/>
      <c r="D425" s="244"/>
      <c r="E425" s="244"/>
      <c r="F425" s="244"/>
      <c r="G425" s="244"/>
    </row>
    <row r="426" spans="1:7" s="245" customFormat="1">
      <c r="A426" s="237" t="s">
        <v>1099</v>
      </c>
      <c r="B426" s="245" t="s">
        <v>550</v>
      </c>
      <c r="C426" s="243"/>
      <c r="D426" s="244"/>
    </row>
    <row r="427" spans="1:7" s="241" customFormat="1">
      <c r="A427" s="237"/>
      <c r="B427" s="249" t="s">
        <v>1100</v>
      </c>
      <c r="C427" s="240"/>
      <c r="D427" s="240"/>
      <c r="E427" s="251"/>
      <c r="F427" s="252"/>
      <c r="G427" s="240"/>
    </row>
    <row r="428" spans="1:7" s="241" customFormat="1">
      <c r="A428" s="237"/>
      <c r="B428" s="250" t="s">
        <v>1101</v>
      </c>
      <c r="C428" s="239"/>
      <c r="D428" s="244" t="s">
        <v>1522</v>
      </c>
      <c r="E428" s="239"/>
    </row>
    <row r="429" spans="1:7" s="241" customFormat="1" ht="16.2">
      <c r="A429" s="237"/>
      <c r="B429" s="249" t="s">
        <v>1552</v>
      </c>
      <c r="C429" s="239"/>
      <c r="D429" s="240"/>
      <c r="E429" s="239"/>
    </row>
    <row r="430" spans="1:7" s="241" customFormat="1" ht="16.2">
      <c r="A430" s="237"/>
      <c r="B430" s="250" t="s">
        <v>1553</v>
      </c>
      <c r="C430" s="239"/>
      <c r="D430" s="244" t="s">
        <v>1524</v>
      </c>
      <c r="E430" s="239"/>
    </row>
    <row r="431" spans="1:7" s="241" customFormat="1">
      <c r="A431" s="237"/>
      <c r="B431" s="238" t="s">
        <v>1102</v>
      </c>
      <c r="C431" s="239"/>
      <c r="D431" s="240"/>
      <c r="E431" s="239"/>
    </row>
    <row r="432" spans="1:7" s="241" customFormat="1" ht="16.2">
      <c r="A432" s="237"/>
      <c r="B432" s="238" t="s">
        <v>1554</v>
      </c>
      <c r="C432" s="239"/>
      <c r="D432" s="240"/>
      <c r="E432" s="239"/>
    </row>
    <row r="433" spans="1:7" s="241" customFormat="1" ht="17.399999999999999">
      <c r="A433" s="237"/>
      <c r="B433" s="238" t="s">
        <v>1555</v>
      </c>
      <c r="C433" s="239"/>
      <c r="D433" s="244" t="s">
        <v>1523</v>
      </c>
      <c r="E433" s="239"/>
    </row>
    <row r="434" spans="1:7" s="261" customFormat="1">
      <c r="A434" s="259"/>
      <c r="B434" s="247" t="s">
        <v>1103</v>
      </c>
      <c r="C434" s="260"/>
      <c r="D434" s="248"/>
      <c r="E434" s="260"/>
    </row>
    <row r="435" spans="1:7" s="261" customFormat="1">
      <c r="A435" s="259"/>
      <c r="B435" s="247" t="s">
        <v>1104</v>
      </c>
      <c r="C435" s="260"/>
      <c r="D435" s="248"/>
      <c r="E435" s="260"/>
    </row>
    <row r="436" spans="1:7" s="245" customFormat="1">
      <c r="A436" s="237" t="s">
        <v>1105</v>
      </c>
      <c r="B436" s="242" t="s">
        <v>591</v>
      </c>
      <c r="C436" s="243"/>
      <c r="D436" s="244"/>
      <c r="E436" s="243"/>
    </row>
    <row r="437" spans="1:7" s="256" customFormat="1">
      <c r="A437" s="237" t="s">
        <v>1106</v>
      </c>
      <c r="B437" s="253" t="s">
        <v>593</v>
      </c>
      <c r="C437" s="254"/>
      <c r="D437" s="255"/>
      <c r="E437" s="254"/>
    </row>
    <row r="438" spans="1:7" s="256" customFormat="1">
      <c r="A438" s="237"/>
      <c r="B438" s="250" t="s">
        <v>1518</v>
      </c>
      <c r="C438" s="254"/>
      <c r="D438" s="255"/>
      <c r="E438" s="254"/>
    </row>
    <row r="439" spans="1:7" s="241" customFormat="1">
      <c r="A439" s="237"/>
      <c r="B439" s="250" t="s">
        <v>1519</v>
      </c>
      <c r="C439" s="239"/>
      <c r="D439" s="244" t="s">
        <v>1521</v>
      </c>
      <c r="E439" s="239"/>
    </row>
    <row r="440" spans="1:7" s="256" customFormat="1">
      <c r="A440" s="237" t="s">
        <v>1107</v>
      </c>
      <c r="B440" s="253" t="s">
        <v>1108</v>
      </c>
      <c r="C440" s="254"/>
      <c r="D440" s="255"/>
      <c r="E440" s="255"/>
      <c r="F440" s="255"/>
      <c r="G440" s="255"/>
    </row>
    <row r="441" spans="1:7" s="241" customFormat="1" ht="16.2">
      <c r="A441" s="237"/>
      <c r="B441" s="242" t="s">
        <v>1556</v>
      </c>
      <c r="C441" s="240"/>
      <c r="D441" s="240"/>
      <c r="E441" s="240"/>
      <c r="F441" s="240"/>
      <c r="G441" s="240"/>
    </row>
    <row r="442" spans="1:7" s="241" customFormat="1">
      <c r="A442" s="237"/>
      <c r="B442" s="250" t="s">
        <v>1520</v>
      </c>
      <c r="C442" s="240"/>
      <c r="D442" s="240" t="str">
        <f>($D$439)</f>
        <v>xxxx</v>
      </c>
      <c r="E442" s="240"/>
      <c r="F442" s="240"/>
      <c r="G442" s="240"/>
    </row>
    <row r="443" spans="1:7" s="241" customFormat="1">
      <c r="A443" s="237"/>
      <c r="B443" s="250" t="s">
        <v>1534</v>
      </c>
      <c r="C443" s="246"/>
      <c r="D443" s="246" t="s">
        <v>1109</v>
      </c>
      <c r="E443" s="246"/>
      <c r="F443" s="246"/>
      <c r="G443" s="240"/>
    </row>
    <row r="444" spans="1:7" s="241" customFormat="1">
      <c r="A444" s="237"/>
      <c r="B444" s="250" t="s">
        <v>1517</v>
      </c>
      <c r="C444" s="240"/>
      <c r="D444" s="244">
        <v>0</v>
      </c>
      <c r="E444" s="246" t="s">
        <v>1110</v>
      </c>
      <c r="F444" s="240"/>
      <c r="G444" s="240"/>
    </row>
    <row r="445" spans="1:7" s="241" customFormat="1">
      <c r="A445" s="237"/>
      <c r="B445" s="250" t="s">
        <v>1515</v>
      </c>
      <c r="C445" s="240"/>
      <c r="D445" s="246"/>
      <c r="E445" s="240"/>
      <c r="F445" s="240"/>
      <c r="G445" s="240"/>
    </row>
    <row r="446" spans="1:7" s="241" customFormat="1">
      <c r="A446" s="237"/>
      <c r="B446" s="238" t="s">
        <v>1535</v>
      </c>
      <c r="C446" s="240"/>
      <c r="D446" s="240" t="s">
        <v>1526</v>
      </c>
      <c r="E446" s="240"/>
      <c r="F446" s="240"/>
      <c r="G446" s="240"/>
    </row>
    <row r="447" spans="1:7" s="241" customFormat="1" ht="16.2">
      <c r="A447" s="237"/>
      <c r="B447" s="238" t="s">
        <v>1557</v>
      </c>
      <c r="C447" s="240"/>
      <c r="D447" s="244">
        <v>0</v>
      </c>
      <c r="E447" s="240"/>
      <c r="F447" s="240"/>
      <c r="G447" s="240"/>
    </row>
    <row r="448" spans="1:7" s="241" customFormat="1">
      <c r="A448" s="237"/>
      <c r="B448" s="250" t="s">
        <v>1528</v>
      </c>
      <c r="C448" s="246">
        <v>2.1</v>
      </c>
      <c r="D448" s="244"/>
      <c r="E448" s="240"/>
      <c r="F448" s="240"/>
      <c r="G448" s="240"/>
    </row>
    <row r="449" spans="1:7" s="241" customFormat="1">
      <c r="A449" s="237"/>
      <c r="B449" s="250" t="s">
        <v>1525</v>
      </c>
      <c r="C449" s="246"/>
      <c r="D449" s="244"/>
      <c r="E449" s="240"/>
      <c r="F449" s="240"/>
      <c r="G449" s="240"/>
    </row>
    <row r="450" spans="1:7" s="241" customFormat="1" ht="16.2">
      <c r="A450" s="237"/>
      <c r="B450" s="238" t="s">
        <v>1527</v>
      </c>
      <c r="C450" s="240"/>
      <c r="D450" s="240" t="e">
        <f>(($D$447)/($D$444))*100</f>
        <v>#DIV/0!</v>
      </c>
      <c r="E450" s="240" t="s">
        <v>1558</v>
      </c>
      <c r="F450" s="240"/>
      <c r="G450" s="240"/>
    </row>
    <row r="451" spans="1:7" s="241" customFormat="1">
      <c r="A451" s="237"/>
      <c r="B451" s="238" t="s">
        <v>1532</v>
      </c>
      <c r="C451" s="240"/>
      <c r="D451" s="240" t="s">
        <v>1531</v>
      </c>
      <c r="E451" s="240"/>
      <c r="F451" s="240"/>
      <c r="G451" s="240"/>
    </row>
    <row r="452" spans="1:7" s="241" customFormat="1">
      <c r="A452" s="237"/>
      <c r="B452" s="250" t="s">
        <v>1529</v>
      </c>
      <c r="C452" s="240"/>
      <c r="D452" s="240"/>
      <c r="E452" s="240"/>
      <c r="F452" s="240"/>
      <c r="G452" s="240"/>
    </row>
    <row r="453" spans="1:7" s="241" customFormat="1">
      <c r="A453" s="237"/>
      <c r="B453" s="238" t="s">
        <v>1530</v>
      </c>
      <c r="C453" s="240">
        <v>2.2000000000000002</v>
      </c>
      <c r="D453" s="240"/>
      <c r="E453" s="240"/>
      <c r="F453" s="240"/>
      <c r="G453" s="240"/>
    </row>
    <row r="454" spans="1:7" s="241" customFormat="1">
      <c r="A454" s="237"/>
      <c r="B454" s="250" t="s">
        <v>1533</v>
      </c>
      <c r="C454" s="240"/>
      <c r="D454" s="240"/>
      <c r="E454" s="240"/>
      <c r="F454" s="240"/>
      <c r="G454" s="240"/>
    </row>
    <row r="455" spans="1:7" s="241" customFormat="1" ht="16.2">
      <c r="A455" s="237"/>
      <c r="B455" s="238" t="s">
        <v>1559</v>
      </c>
      <c r="C455" s="240"/>
      <c r="D455" s="244">
        <f>($D$444)-($D$447)</f>
        <v>0</v>
      </c>
      <c r="E455" s="240"/>
      <c r="F455" s="240"/>
      <c r="G455" s="240"/>
    </row>
    <row r="456" spans="1:7" s="241" customFormat="1">
      <c r="A456" s="237"/>
      <c r="B456" s="250" t="s">
        <v>1536</v>
      </c>
      <c r="C456" s="240"/>
      <c r="D456" s="244"/>
      <c r="E456" s="240"/>
      <c r="F456" s="240"/>
      <c r="G456" s="240"/>
    </row>
    <row r="457" spans="1:7" s="241" customFormat="1" ht="16.2">
      <c r="A457" s="237"/>
      <c r="B457" s="238" t="s">
        <v>1537</v>
      </c>
      <c r="C457" s="240"/>
      <c r="D457" s="240" t="e">
        <f>100-($D$450)</f>
        <v>#DIV/0!</v>
      </c>
      <c r="E457" s="240" t="s">
        <v>1558</v>
      </c>
      <c r="F457" s="240"/>
      <c r="G457" s="240"/>
    </row>
    <row r="458" spans="1:7" s="245" customFormat="1" ht="16.2">
      <c r="A458" s="237"/>
      <c r="B458" s="257" t="s">
        <v>1560</v>
      </c>
      <c r="C458" s="244"/>
      <c r="D458" s="244"/>
      <c r="E458" s="244"/>
      <c r="F458" s="244"/>
      <c r="G458" s="244"/>
    </row>
    <row r="459" spans="1:7" s="241" customFormat="1">
      <c r="A459" s="237"/>
      <c r="B459" s="249" t="s">
        <v>1538</v>
      </c>
      <c r="C459" s="240"/>
      <c r="D459" s="240"/>
      <c r="E459" s="240"/>
      <c r="F459" s="240"/>
      <c r="G459" s="240"/>
    </row>
    <row r="460" spans="1:7" s="241" customFormat="1">
      <c r="A460" s="237"/>
      <c r="B460" s="249" t="s">
        <v>1541</v>
      </c>
      <c r="C460" s="240">
        <v>2.2999999999999998</v>
      </c>
      <c r="D460" s="240"/>
      <c r="E460" s="240"/>
      <c r="F460" s="240"/>
      <c r="G460" s="240"/>
    </row>
    <row r="461" spans="1:7" s="241" customFormat="1">
      <c r="A461" s="237"/>
      <c r="B461" s="249" t="s">
        <v>1539</v>
      </c>
      <c r="C461" s="240"/>
      <c r="D461" s="240"/>
      <c r="E461" s="240"/>
      <c r="F461" s="240"/>
      <c r="G461" s="240"/>
    </row>
    <row r="462" spans="1:7" s="241" customFormat="1">
      <c r="A462" s="237"/>
      <c r="B462" s="249" t="s">
        <v>1540</v>
      </c>
      <c r="C462" s="240"/>
      <c r="D462" s="240"/>
      <c r="E462" s="240"/>
      <c r="F462" s="240"/>
      <c r="G462" s="240"/>
    </row>
    <row r="463" spans="1:7" s="241" customFormat="1" ht="16.2">
      <c r="A463" s="237"/>
      <c r="B463" s="249" t="s">
        <v>1561</v>
      </c>
      <c r="C463" s="240">
        <v>2.4</v>
      </c>
      <c r="D463" s="240"/>
      <c r="E463" s="240"/>
      <c r="F463" s="240"/>
      <c r="G463" s="240"/>
    </row>
    <row r="464" spans="1:7" s="241" customFormat="1">
      <c r="A464" s="237"/>
      <c r="B464" s="249" t="s">
        <v>1542</v>
      </c>
      <c r="C464" s="240"/>
      <c r="D464" s="240"/>
      <c r="E464" s="240"/>
      <c r="F464" s="240"/>
      <c r="G464" s="240"/>
    </row>
    <row r="465" spans="1:7" s="241" customFormat="1">
      <c r="A465" s="237"/>
      <c r="B465" s="249" t="s">
        <v>1543</v>
      </c>
      <c r="C465" s="240"/>
      <c r="D465" s="240"/>
      <c r="E465" s="240"/>
      <c r="F465" s="240"/>
      <c r="G465" s="240"/>
    </row>
    <row r="466" spans="1:7" s="241" customFormat="1">
      <c r="A466" s="237"/>
      <c r="B466" s="249" t="s">
        <v>1544</v>
      </c>
      <c r="C466" s="246"/>
      <c r="D466" s="246" t="s">
        <v>1111</v>
      </c>
      <c r="E466" s="240"/>
      <c r="F466" s="240"/>
      <c r="G466" s="240"/>
    </row>
    <row r="467" spans="1:7" s="241" customFormat="1">
      <c r="A467" s="237"/>
      <c r="B467" s="249" t="s">
        <v>1546</v>
      </c>
      <c r="C467" s="240"/>
      <c r="D467" s="244">
        <v>0</v>
      </c>
      <c r="E467" s="240" t="s">
        <v>1516</v>
      </c>
      <c r="F467" s="240"/>
      <c r="G467" s="240"/>
    </row>
    <row r="468" spans="1:7" s="241" customFormat="1">
      <c r="A468" s="237"/>
      <c r="B468" s="249" t="s">
        <v>1545</v>
      </c>
      <c r="C468" s="240"/>
      <c r="D468" s="244"/>
      <c r="E468" s="240"/>
      <c r="F468" s="240"/>
      <c r="G468" s="240"/>
    </row>
    <row r="469" spans="1:7" s="241" customFormat="1" ht="27.6">
      <c r="A469" s="237"/>
      <c r="B469" s="250" t="s">
        <v>1547</v>
      </c>
      <c r="C469" s="240"/>
      <c r="D469" s="246" t="s">
        <v>1109</v>
      </c>
      <c r="E469" s="240"/>
      <c r="F469" s="240"/>
      <c r="G469" s="240"/>
    </row>
    <row r="470" spans="1:7" s="258" customFormat="1">
      <c r="A470" s="237"/>
      <c r="B470" s="250" t="s">
        <v>1548</v>
      </c>
      <c r="C470" s="246"/>
      <c r="D470" s="237">
        <v>0</v>
      </c>
      <c r="E470" s="246" t="s">
        <v>1516</v>
      </c>
      <c r="F470" s="250"/>
      <c r="G470" s="250"/>
    </row>
    <row r="471" spans="1:7" s="258" customFormat="1">
      <c r="A471" s="237"/>
      <c r="B471" s="250" t="s">
        <v>1549</v>
      </c>
      <c r="C471" s="246"/>
      <c r="D471" s="237"/>
      <c r="E471" s="246"/>
      <c r="F471" s="250"/>
      <c r="G471" s="250"/>
    </row>
    <row r="472" spans="1:7" s="241" customFormat="1">
      <c r="A472" s="237"/>
      <c r="B472" s="250" t="s">
        <v>1550</v>
      </c>
      <c r="C472" s="240"/>
      <c r="D472" s="240" t="str">
        <f>($D$428)</f>
        <v>n</v>
      </c>
      <c r="E472" s="240"/>
      <c r="F472" s="240"/>
      <c r="G472" s="240"/>
    </row>
    <row r="473" spans="1:7" s="241" customFormat="1">
      <c r="A473" s="237"/>
      <c r="B473" s="250" t="s">
        <v>1551</v>
      </c>
      <c r="C473" s="240"/>
      <c r="D473" s="240" t="e">
        <f>($D$467+$D$470)*($D$472)</f>
        <v>#VALUE!</v>
      </c>
      <c r="E473" s="240"/>
      <c r="F473" s="240"/>
      <c r="G473" s="240"/>
    </row>
    <row r="474" spans="1:7" s="241" customFormat="1" ht="16.2">
      <c r="A474" s="237"/>
      <c r="B474" s="250" t="s">
        <v>1562</v>
      </c>
      <c r="C474" s="240"/>
      <c r="D474" s="240"/>
      <c r="E474" s="240"/>
      <c r="F474" s="240"/>
      <c r="G474" s="240"/>
    </row>
    <row r="475" spans="1:7" s="241" customFormat="1" ht="16.2">
      <c r="A475" s="237"/>
      <c r="B475" s="250" t="s">
        <v>1563</v>
      </c>
      <c r="C475" s="240"/>
      <c r="D475" s="240" t="e">
        <f>($D$467+$D$470)*($D$472)</f>
        <v>#VALUE!</v>
      </c>
      <c r="E475" s="240"/>
      <c r="F475" s="240"/>
      <c r="G475" s="240"/>
    </row>
    <row r="476" spans="1:7" s="29" customFormat="1" ht="16.2">
      <c r="A476" s="33"/>
      <c r="B476" s="40" t="s">
        <v>1112</v>
      </c>
      <c r="C476" s="31"/>
      <c r="D476" s="31" t="str">
        <f>($D$430)</f>
        <v>Ghh</v>
      </c>
      <c r="E476" s="26"/>
      <c r="F476" s="26"/>
      <c r="G476" s="26"/>
    </row>
    <row r="477" spans="1:7" ht="16.2">
      <c r="B477" s="26" t="s">
        <v>1113</v>
      </c>
      <c r="C477" s="31"/>
      <c r="D477" s="39" t="e">
        <f>($D$475)+($D$476)</f>
        <v>#VALUE!</v>
      </c>
      <c r="E477" s="31"/>
      <c r="F477" s="31"/>
      <c r="G477" s="31"/>
    </row>
    <row r="478" spans="1:7" s="28" customFormat="1">
      <c r="A478" s="33"/>
      <c r="B478" s="144" t="s">
        <v>1114</v>
      </c>
      <c r="C478" s="35"/>
      <c r="D478" s="35"/>
      <c r="E478" s="35"/>
      <c r="F478" s="35"/>
      <c r="G478" s="35"/>
    </row>
    <row r="479" spans="1:7">
      <c r="B479" s="26" t="s">
        <v>666</v>
      </c>
      <c r="C479" s="31"/>
      <c r="E479" s="31"/>
      <c r="F479" s="31"/>
      <c r="G479" s="31"/>
    </row>
    <row r="480" spans="1:7" ht="16.2">
      <c r="B480" s="40" t="s">
        <v>667</v>
      </c>
      <c r="C480" s="31"/>
      <c r="E480" s="31"/>
      <c r="F480" s="31"/>
      <c r="G480" s="31"/>
    </row>
    <row r="481" spans="1:7">
      <c r="B481" s="40" t="s">
        <v>1115</v>
      </c>
      <c r="C481" s="31"/>
      <c r="D481" s="31" t="e">
        <f>($D$444)+($D$477)</f>
        <v>#VALUE!</v>
      </c>
      <c r="E481" s="31"/>
      <c r="F481" s="31"/>
      <c r="G481" s="31"/>
    </row>
    <row r="482" spans="1:7">
      <c r="B482" s="153" t="s">
        <v>1116</v>
      </c>
      <c r="C482" s="31"/>
      <c r="E482" s="31"/>
      <c r="F482" s="31"/>
      <c r="G482" s="31"/>
    </row>
    <row r="483" spans="1:7" ht="16.2">
      <c r="B483" s="26" t="s">
        <v>1117</v>
      </c>
      <c r="C483" s="31"/>
      <c r="E483" s="31"/>
      <c r="F483" s="31"/>
      <c r="G483" s="31"/>
    </row>
    <row r="484" spans="1:7" ht="16.2">
      <c r="B484" s="156" t="s">
        <v>1118</v>
      </c>
      <c r="C484" s="31"/>
      <c r="D484" s="154" t="s">
        <v>1119</v>
      </c>
      <c r="E484" s="31"/>
      <c r="F484" s="31"/>
      <c r="G484" s="31"/>
    </row>
    <row r="485" spans="1:7" ht="16.2">
      <c r="B485" s="26" t="s">
        <v>1120</v>
      </c>
      <c r="C485" s="31"/>
      <c r="D485" s="154">
        <v>0</v>
      </c>
      <c r="E485" s="31"/>
      <c r="F485" s="31"/>
      <c r="G485" s="31"/>
    </row>
    <row r="486" spans="1:7" ht="16.2">
      <c r="B486" s="156" t="s">
        <v>1121</v>
      </c>
      <c r="C486" s="31"/>
      <c r="D486" s="31" t="e">
        <f>($D$485)*100/($D$481)</f>
        <v>#VALUE!</v>
      </c>
      <c r="E486" s="31" t="s">
        <v>1122</v>
      </c>
      <c r="F486" s="31"/>
      <c r="G486" s="31"/>
    </row>
    <row r="487" spans="1:7" ht="16.2">
      <c r="B487" s="26" t="s">
        <v>1123</v>
      </c>
      <c r="C487" s="31"/>
      <c r="E487" s="31"/>
      <c r="F487" s="31"/>
      <c r="G487" s="31"/>
    </row>
    <row r="488" spans="1:7" ht="16.2">
      <c r="B488" s="156" t="s">
        <v>1124</v>
      </c>
      <c r="C488" s="31"/>
      <c r="D488" s="154" t="s">
        <v>1119</v>
      </c>
      <c r="E488" s="31"/>
      <c r="F488" s="31"/>
      <c r="G488" s="31"/>
    </row>
    <row r="489" spans="1:7" ht="16.2">
      <c r="B489" s="26" t="s">
        <v>1125</v>
      </c>
      <c r="C489" s="31"/>
      <c r="D489" s="154" t="e">
        <f>($D$481-($D$485))</f>
        <v>#VALUE!</v>
      </c>
      <c r="E489" s="31"/>
      <c r="F489" s="31"/>
      <c r="G489" s="31"/>
    </row>
    <row r="490" spans="1:7" ht="16.2">
      <c r="B490" s="156" t="s">
        <v>1126</v>
      </c>
      <c r="C490" s="31"/>
      <c r="D490" s="31" t="e">
        <f>($D$489)*100/($D$481)</f>
        <v>#VALUE!</v>
      </c>
      <c r="E490" s="31" t="s">
        <v>1127</v>
      </c>
      <c r="F490" s="31"/>
      <c r="G490" s="31"/>
    </row>
    <row r="491" spans="1:7">
      <c r="A491" s="33" t="s">
        <v>1128</v>
      </c>
      <c r="B491" s="144" t="s">
        <v>669</v>
      </c>
      <c r="C491" s="31"/>
      <c r="E491" s="31"/>
      <c r="F491" s="31"/>
      <c r="G491" s="31"/>
    </row>
    <row r="492" spans="1:7" ht="16.2">
      <c r="A492" s="33" t="s">
        <v>551</v>
      </c>
      <c r="B492" s="27" t="s">
        <v>1129</v>
      </c>
      <c r="C492" s="31"/>
      <c r="D492" s="151">
        <v>0</v>
      </c>
      <c r="E492" s="31"/>
      <c r="F492" s="31"/>
      <c r="G492" s="31"/>
    </row>
    <row r="493" spans="1:7" ht="16.2">
      <c r="A493" s="33" t="s">
        <v>553</v>
      </c>
      <c r="B493" s="144" t="s">
        <v>1130</v>
      </c>
      <c r="C493" s="31"/>
      <c r="E493" s="31"/>
      <c r="F493" s="31"/>
      <c r="G493" s="31"/>
    </row>
    <row r="494" spans="1:7" ht="16.2">
      <c r="B494" s="100" t="s">
        <v>671</v>
      </c>
      <c r="C494" s="31"/>
      <c r="E494" s="31"/>
      <c r="F494" s="31"/>
      <c r="G494" s="31"/>
    </row>
    <row r="495" spans="1:7">
      <c r="B495" s="100" t="s">
        <v>1131</v>
      </c>
      <c r="C495" s="31"/>
      <c r="D495" s="31">
        <f>($D$492)</f>
        <v>0</v>
      </c>
      <c r="E495" s="31"/>
      <c r="F495" s="31"/>
      <c r="G495" s="31"/>
    </row>
    <row r="496" spans="1:7">
      <c r="B496" s="100" t="s">
        <v>1132</v>
      </c>
      <c r="C496" s="31"/>
      <c r="D496" s="31" t="str">
        <f>($D$439)</f>
        <v>xxxx</v>
      </c>
      <c r="E496" s="31"/>
      <c r="F496" s="31"/>
      <c r="G496" s="31"/>
    </row>
    <row r="497" spans="1:7" ht="15.75" customHeight="1">
      <c r="B497" s="153" t="s">
        <v>1133</v>
      </c>
      <c r="C497" s="31"/>
      <c r="D497" s="152" t="s">
        <v>1109</v>
      </c>
      <c r="E497" s="31"/>
      <c r="F497" s="31"/>
      <c r="G497" s="31"/>
    </row>
    <row r="498" spans="1:7" ht="16.2">
      <c r="B498" s="36" t="s">
        <v>1134</v>
      </c>
      <c r="C498" s="31"/>
      <c r="D498" s="151">
        <v>0</v>
      </c>
      <c r="E498" s="31" t="s">
        <v>1135</v>
      </c>
      <c r="F498" s="31"/>
      <c r="G498" s="31"/>
    </row>
    <row r="499" spans="1:7" ht="16.2">
      <c r="A499" s="33" t="s">
        <v>555</v>
      </c>
      <c r="B499" s="157" t="s">
        <v>1136</v>
      </c>
      <c r="C499" s="31"/>
      <c r="E499" s="31"/>
      <c r="F499" s="31"/>
      <c r="G499" s="31"/>
    </row>
    <row r="500" spans="1:7" ht="16.2">
      <c r="B500" s="40" t="s">
        <v>1137</v>
      </c>
      <c r="C500" s="31"/>
      <c r="D500" s="31" t="str">
        <f>($D$433)</f>
        <v>vmax</v>
      </c>
      <c r="E500" s="31"/>
      <c r="F500" s="31"/>
      <c r="G500" s="31"/>
    </row>
    <row r="501" spans="1:7">
      <c r="A501" s="33" t="s">
        <v>1138</v>
      </c>
      <c r="B501" s="144" t="s">
        <v>1139</v>
      </c>
      <c r="C501" s="31"/>
      <c r="E501" s="31"/>
      <c r="F501" s="31"/>
      <c r="G501" s="31"/>
    </row>
    <row r="502" spans="1:7" ht="16.2">
      <c r="B502" s="27" t="s">
        <v>1140</v>
      </c>
      <c r="C502" s="35"/>
      <c r="E502" s="31"/>
      <c r="F502" s="31"/>
      <c r="G502" s="31"/>
    </row>
    <row r="503" spans="1:7">
      <c r="B503" s="40" t="s">
        <v>1141</v>
      </c>
      <c r="C503" s="58"/>
      <c r="D503" s="152" t="s">
        <v>1109</v>
      </c>
      <c r="E503" s="31"/>
      <c r="F503" s="31"/>
      <c r="G503" s="31"/>
    </row>
    <row r="504" spans="1:7">
      <c r="B504" s="158" t="s">
        <v>1142</v>
      </c>
      <c r="C504" s="35"/>
      <c r="D504" s="154">
        <v>0</v>
      </c>
      <c r="E504" s="31" t="s">
        <v>1110</v>
      </c>
      <c r="F504" s="31"/>
      <c r="G504" s="31"/>
    </row>
    <row r="505" spans="1:7">
      <c r="B505" s="27" t="s">
        <v>1143</v>
      </c>
      <c r="C505" s="35"/>
      <c r="D505" s="31">
        <f>($D$492)</f>
        <v>0</v>
      </c>
      <c r="E505" s="31"/>
      <c r="F505" s="31"/>
      <c r="G505" s="31"/>
    </row>
    <row r="506" spans="1:7">
      <c r="B506" s="27" t="s">
        <v>1144</v>
      </c>
      <c r="C506" s="35"/>
      <c r="E506" s="31"/>
      <c r="F506" s="31"/>
      <c r="G506" s="31"/>
    </row>
    <row r="507" spans="1:7" ht="16.2">
      <c r="B507" s="40" t="s">
        <v>1145</v>
      </c>
      <c r="C507" s="35"/>
      <c r="D507" s="152" t="s">
        <v>1109</v>
      </c>
      <c r="E507" s="31"/>
      <c r="F507" s="31"/>
      <c r="G507" s="31"/>
    </row>
    <row r="508" spans="1:7" ht="16.2">
      <c r="B508" s="36" t="s">
        <v>1146</v>
      </c>
      <c r="C508" s="35"/>
      <c r="D508" s="154">
        <v>0</v>
      </c>
      <c r="E508" s="31" t="s">
        <v>1110</v>
      </c>
      <c r="F508" s="31"/>
      <c r="G508" s="31"/>
    </row>
    <row r="509" spans="1:7" s="30" customFormat="1" ht="27.6">
      <c r="A509" s="159"/>
      <c r="B509" s="153" t="s">
        <v>1147</v>
      </c>
      <c r="C509" s="149"/>
      <c r="D509" s="150"/>
      <c r="E509" s="150"/>
      <c r="F509" s="150"/>
      <c r="G509" s="150"/>
    </row>
    <row r="510" spans="1:7" s="30" customFormat="1" ht="17.399999999999999">
      <c r="A510" s="159"/>
      <c r="B510" s="153" t="s">
        <v>1148</v>
      </c>
      <c r="C510" s="149"/>
      <c r="D510" s="150"/>
      <c r="E510" s="150"/>
      <c r="F510" s="150"/>
      <c r="G510" s="150"/>
    </row>
    <row r="511" spans="1:7" s="30" customFormat="1" ht="16.2">
      <c r="A511" s="159"/>
      <c r="B511" s="157" t="s">
        <v>1149</v>
      </c>
      <c r="C511" s="149"/>
      <c r="D511" s="150" t="e">
        <f>($D$508)*(1+((($D$500)*(10^3)/3600)^2)/1500)</f>
        <v>#VALUE!</v>
      </c>
      <c r="E511" s="150"/>
      <c r="F511" s="150"/>
      <c r="G511" s="150"/>
    </row>
    <row r="512" spans="1:7" s="30" customFormat="1">
      <c r="A512" s="159"/>
      <c r="B512" s="157" t="s">
        <v>1150</v>
      </c>
      <c r="C512" s="149"/>
      <c r="D512" s="160" t="s">
        <v>1109</v>
      </c>
      <c r="E512" s="150"/>
      <c r="F512" s="150"/>
      <c r="G512" s="150"/>
    </row>
    <row r="513" spans="1:7" s="30" customFormat="1">
      <c r="A513" s="159"/>
      <c r="B513" s="157" t="s">
        <v>1151</v>
      </c>
      <c r="C513" s="149"/>
      <c r="D513" s="161">
        <v>0</v>
      </c>
      <c r="E513" s="150" t="s">
        <v>1110</v>
      </c>
      <c r="F513" s="150"/>
      <c r="G513" s="150"/>
    </row>
    <row r="514" spans="1:7" s="30" customFormat="1">
      <c r="A514" s="159" t="s">
        <v>1152</v>
      </c>
      <c r="B514" s="157" t="s">
        <v>699</v>
      </c>
      <c r="C514" s="149"/>
      <c r="D514" s="150"/>
      <c r="E514" s="150"/>
      <c r="F514" s="150"/>
    </row>
    <row r="515" spans="1:7">
      <c r="A515" s="33" t="s">
        <v>551</v>
      </c>
      <c r="B515" s="36" t="s">
        <v>700</v>
      </c>
      <c r="C515" s="66"/>
      <c r="E515" s="34"/>
    </row>
    <row r="516" spans="1:7">
      <c r="B516" s="27" t="s">
        <v>1153</v>
      </c>
      <c r="C516" s="66"/>
      <c r="E516" s="34"/>
    </row>
    <row r="517" spans="1:7">
      <c r="B517" s="40" t="s">
        <v>1154</v>
      </c>
      <c r="C517" s="31"/>
      <c r="E517" s="31"/>
    </row>
    <row r="518" spans="1:7" ht="16.2">
      <c r="B518" s="40" t="s">
        <v>1155</v>
      </c>
      <c r="C518" s="35"/>
      <c r="E518" s="31"/>
    </row>
    <row r="519" spans="1:7" ht="16.2">
      <c r="B519" s="40" t="s">
        <v>1156</v>
      </c>
      <c r="C519" s="35"/>
      <c r="E519" s="31"/>
    </row>
    <row r="520" spans="1:7" ht="16.2">
      <c r="B520" s="40" t="s">
        <v>1157</v>
      </c>
      <c r="C520" s="35"/>
      <c r="E520" s="31"/>
    </row>
    <row r="521" spans="1:7">
      <c r="B521" s="27" t="s">
        <v>1158</v>
      </c>
      <c r="C521" s="66"/>
      <c r="D521" s="31" t="str">
        <f>($D$439)</f>
        <v>xxxx</v>
      </c>
      <c r="E521" s="34"/>
    </row>
    <row r="522" spans="1:7">
      <c r="B522" s="40" t="s">
        <v>1159</v>
      </c>
      <c r="C522" s="31"/>
      <c r="E522" s="34"/>
    </row>
    <row r="523" spans="1:7" ht="16.2">
      <c r="B523" s="40" t="s">
        <v>1160</v>
      </c>
      <c r="C523" s="150"/>
      <c r="D523" s="152" t="s">
        <v>1109</v>
      </c>
      <c r="E523" s="34"/>
    </row>
    <row r="524" spans="1:7" ht="16.2">
      <c r="B524" s="40" t="s">
        <v>1161</v>
      </c>
      <c r="D524" s="154">
        <v>0</v>
      </c>
      <c r="E524" s="31" t="s">
        <v>1162</v>
      </c>
    </row>
    <row r="525" spans="1:7" ht="16.2">
      <c r="B525" s="40" t="s">
        <v>1163</v>
      </c>
      <c r="C525" s="35"/>
      <c r="D525" s="152" t="s">
        <v>1109</v>
      </c>
      <c r="E525" s="31"/>
    </row>
    <row r="526" spans="1:7" ht="16.2">
      <c r="B526" s="40" t="s">
        <v>1164</v>
      </c>
      <c r="C526" s="35"/>
      <c r="D526" s="154">
        <v>0</v>
      </c>
      <c r="E526" s="31" t="s">
        <v>1162</v>
      </c>
    </row>
    <row r="527" spans="1:7">
      <c r="A527" s="33" t="s">
        <v>553</v>
      </c>
      <c r="B527" s="36" t="s">
        <v>699</v>
      </c>
      <c r="C527" s="31"/>
      <c r="E527" s="31"/>
    </row>
    <row r="528" spans="1:7" ht="27.6">
      <c r="B528" s="40" t="s">
        <v>1165</v>
      </c>
      <c r="C528" s="31"/>
      <c r="E528" s="31"/>
    </row>
    <row r="529" spans="2:7">
      <c r="B529" s="36" t="s">
        <v>1166</v>
      </c>
      <c r="C529" s="31"/>
      <c r="D529" s="31" t="str">
        <f>($D$521)</f>
        <v>xxxx</v>
      </c>
      <c r="E529" s="31"/>
    </row>
    <row r="530" spans="2:7" ht="16.2">
      <c r="B530" s="40" t="s">
        <v>1167</v>
      </c>
      <c r="C530" s="31"/>
      <c r="D530" s="154">
        <v>0</v>
      </c>
      <c r="E530" s="31"/>
      <c r="F530" s="31"/>
      <c r="G530" s="31"/>
    </row>
    <row r="531" spans="2:7">
      <c r="B531" s="40" t="s">
        <v>1168</v>
      </c>
      <c r="C531" s="31"/>
      <c r="D531" s="154" t="s">
        <v>1109</v>
      </c>
      <c r="E531" s="31"/>
      <c r="F531" s="31"/>
      <c r="G531" s="31"/>
    </row>
    <row r="532" spans="2:7">
      <c r="B532" s="40" t="s">
        <v>1169</v>
      </c>
      <c r="C532" s="35"/>
      <c r="E532" s="31"/>
    </row>
    <row r="533" spans="2:7" ht="17.399999999999999">
      <c r="B533" s="40" t="s">
        <v>1170</v>
      </c>
      <c r="C533" s="35"/>
      <c r="E533" s="31"/>
    </row>
    <row r="534" spans="2:7">
      <c r="B534" s="40" t="s">
        <v>1171</v>
      </c>
      <c r="C534" s="35"/>
      <c r="E534" s="31"/>
    </row>
    <row r="535" spans="2:7" ht="16.2">
      <c r="B535" s="40" t="s">
        <v>1172</v>
      </c>
      <c r="C535" s="35"/>
      <c r="D535" s="31">
        <f>($D$524)</f>
        <v>0</v>
      </c>
      <c r="E535" s="31"/>
    </row>
    <row r="536" spans="2:7" ht="16.2">
      <c r="B536" s="40" t="s">
        <v>1173</v>
      </c>
      <c r="C536" s="35"/>
      <c r="D536" s="31">
        <f>($D$526)</f>
        <v>0</v>
      </c>
      <c r="E536" s="31"/>
    </row>
    <row r="537" spans="2:7">
      <c r="B537" s="40" t="s">
        <v>1174</v>
      </c>
      <c r="C537" s="35"/>
      <c r="D537" s="31">
        <f>0.8*($D$535*$D$536)/(10^6)</f>
        <v>0</v>
      </c>
      <c r="E537" s="31" t="s">
        <v>1162</v>
      </c>
    </row>
    <row r="538" spans="2:7">
      <c r="B538" s="40" t="s">
        <v>1175</v>
      </c>
      <c r="C538" s="31"/>
      <c r="E538" s="31"/>
    </row>
    <row r="539" spans="2:7" ht="16.2">
      <c r="B539" s="40" t="s">
        <v>1176</v>
      </c>
      <c r="C539" s="31"/>
      <c r="D539" s="154" t="s">
        <v>1109</v>
      </c>
      <c r="E539" s="31"/>
    </row>
    <row r="540" spans="2:7">
      <c r="B540" s="40" t="s">
        <v>1177</v>
      </c>
      <c r="C540" s="31"/>
      <c r="D540" s="154">
        <v>0</v>
      </c>
      <c r="E540" s="31" t="s">
        <v>1162</v>
      </c>
    </row>
    <row r="541" spans="2:7">
      <c r="B541" s="40" t="s">
        <v>1178</v>
      </c>
      <c r="C541" s="35"/>
      <c r="E541" s="31"/>
    </row>
    <row r="542" spans="2:7" ht="16.2">
      <c r="B542" s="40" t="s">
        <v>1179</v>
      </c>
      <c r="C542" s="35"/>
      <c r="D542" s="154" t="s">
        <v>1109</v>
      </c>
      <c r="E542" s="31"/>
    </row>
    <row r="543" spans="2:7" ht="27.6">
      <c r="B543" s="40" t="s">
        <v>754</v>
      </c>
      <c r="C543" s="35"/>
      <c r="E543" s="31"/>
    </row>
    <row r="544" spans="2:7" ht="16.2">
      <c r="B544" s="40" t="s">
        <v>755</v>
      </c>
      <c r="C544" s="35"/>
      <c r="E544" s="31"/>
    </row>
    <row r="545" spans="1:45">
      <c r="B545" s="40" t="s">
        <v>1180</v>
      </c>
      <c r="C545" s="31"/>
      <c r="D545" s="31">
        <f>($D$537)*($D$540)</f>
        <v>0</v>
      </c>
      <c r="E545" s="31" t="s">
        <v>1162</v>
      </c>
      <c r="F545" s="31"/>
      <c r="G545" s="31"/>
    </row>
    <row r="546" spans="1:45" s="24" customFormat="1">
      <c r="A546" s="33" t="s">
        <v>1181</v>
      </c>
      <c r="B546" s="36" t="s">
        <v>1182</v>
      </c>
      <c r="C546" s="58"/>
      <c r="D546" s="58"/>
      <c r="E546" s="58"/>
    </row>
    <row r="547" spans="1:45" s="24" customFormat="1">
      <c r="A547" s="33"/>
      <c r="B547" s="40" t="s">
        <v>1183</v>
      </c>
      <c r="C547" s="58"/>
      <c r="D547" s="58"/>
      <c r="E547" s="58"/>
    </row>
    <row r="548" spans="1:45" s="24" customFormat="1">
      <c r="A548" s="33"/>
      <c r="B548" s="36" t="s">
        <v>1184</v>
      </c>
      <c r="C548" s="58"/>
      <c r="D548" s="58"/>
      <c r="E548" s="58"/>
    </row>
    <row r="549" spans="1:45" s="24" customFormat="1">
      <c r="A549" s="33"/>
      <c r="B549" s="40" t="s">
        <v>1185</v>
      </c>
      <c r="C549" s="58"/>
      <c r="D549" s="58"/>
      <c r="E549" s="58"/>
    </row>
    <row r="550" spans="1:45" s="24" customFormat="1">
      <c r="A550" s="33"/>
      <c r="B550" s="40" t="s">
        <v>1186</v>
      </c>
      <c r="C550" s="58"/>
      <c r="D550" s="58"/>
      <c r="E550" s="58"/>
    </row>
    <row r="551" spans="1:45" s="24" customFormat="1">
      <c r="A551" s="33"/>
      <c r="B551" s="36" t="s">
        <v>1187</v>
      </c>
      <c r="C551" s="58"/>
      <c r="D551" s="58"/>
      <c r="E551" s="58"/>
    </row>
    <row r="552" spans="1:45" s="24" customFormat="1">
      <c r="A552" s="33"/>
      <c r="B552" s="40" t="s">
        <v>1185</v>
      </c>
      <c r="C552" s="58"/>
      <c r="D552" s="58"/>
      <c r="E552" s="58"/>
    </row>
    <row r="553" spans="1:45" s="24" customFormat="1">
      <c r="A553" s="33" t="s">
        <v>1188</v>
      </c>
      <c r="B553" s="36" t="s">
        <v>783</v>
      </c>
      <c r="C553" s="33"/>
      <c r="D553" s="58"/>
      <c r="E553" s="58"/>
      <c r="F553" s="58"/>
      <c r="G553" s="58"/>
    </row>
    <row r="554" spans="1:45" s="24" customFormat="1" ht="27.6" customHeight="1">
      <c r="A554" s="33" t="s">
        <v>551</v>
      </c>
      <c r="B554" s="36" t="s">
        <v>784</v>
      </c>
      <c r="C554" s="33"/>
      <c r="D554" s="58"/>
      <c r="E554" s="58"/>
      <c r="F554" s="58"/>
      <c r="G554" s="58"/>
    </row>
    <row r="555" spans="1:45" s="24" customFormat="1">
      <c r="A555" s="33"/>
      <c r="B555" s="101" t="s">
        <v>1189</v>
      </c>
      <c r="C555" s="33"/>
      <c r="D555" s="155" t="s">
        <v>1190</v>
      </c>
      <c r="E555" s="58"/>
      <c r="F555" s="40"/>
      <c r="G555" s="58"/>
      <c r="H555" s="58"/>
      <c r="I555" s="58"/>
      <c r="O555" s="40"/>
      <c r="P555" s="58"/>
      <c r="Q555" s="58"/>
      <c r="T555" s="40"/>
      <c r="U555" s="58"/>
      <c r="V555" s="58"/>
      <c r="W555" s="58"/>
      <c r="X555" s="58"/>
      <c r="Y555" s="40"/>
      <c r="Z555" s="58"/>
      <c r="AA555" s="58"/>
      <c r="AD555" s="40"/>
      <c r="AE555" s="58"/>
      <c r="AF555" s="58"/>
      <c r="AI555" s="40"/>
      <c r="AO555" s="40"/>
      <c r="AS555" s="40"/>
    </row>
    <row r="556" spans="1:45" s="24" customFormat="1">
      <c r="A556" s="33"/>
      <c r="B556" s="40" t="s">
        <v>1191</v>
      </c>
      <c r="C556" s="33"/>
      <c r="D556" s="155" t="s">
        <v>1192</v>
      </c>
      <c r="E556" s="58"/>
      <c r="F556" s="40"/>
      <c r="G556" s="58"/>
      <c r="H556" s="58"/>
      <c r="I556" s="58"/>
      <c r="O556" s="40"/>
      <c r="P556" s="58"/>
      <c r="Q556" s="58"/>
      <c r="T556" s="40"/>
      <c r="U556" s="58"/>
      <c r="V556" s="58"/>
      <c r="W556" s="58"/>
      <c r="X556" s="58"/>
      <c r="Y556" s="40"/>
      <c r="Z556" s="58"/>
      <c r="AA556" s="58"/>
      <c r="AD556" s="40"/>
      <c r="AE556" s="58"/>
      <c r="AF556" s="58"/>
    </row>
    <row r="557" spans="1:45">
      <c r="B557" s="40" t="s">
        <v>1193</v>
      </c>
      <c r="C557" s="31"/>
      <c r="D557" s="151" t="s">
        <v>1194</v>
      </c>
      <c r="E557" s="58"/>
      <c r="F557" s="31"/>
      <c r="G557" s="31"/>
    </row>
    <row r="558" spans="1:45" s="24" customFormat="1">
      <c r="A558" s="33" t="s">
        <v>553</v>
      </c>
      <c r="B558" s="101" t="s">
        <v>1195</v>
      </c>
      <c r="C558" s="33"/>
      <c r="D558" s="58"/>
      <c r="E558" s="58"/>
      <c r="F558" s="40"/>
      <c r="G558" s="58"/>
      <c r="H558" s="58"/>
      <c r="I558" s="58"/>
      <c r="O558" s="40"/>
      <c r="P558" s="58"/>
      <c r="Q558" s="58"/>
      <c r="T558" s="40"/>
      <c r="U558" s="58"/>
      <c r="V558" s="58"/>
      <c r="W558" s="58"/>
      <c r="X558" s="58"/>
      <c r="Y558" s="40"/>
      <c r="Z558" s="58"/>
      <c r="AA558" s="58"/>
      <c r="AD558" s="40"/>
      <c r="AE558" s="58"/>
      <c r="AF558" s="58"/>
    </row>
    <row r="559" spans="1:45">
      <c r="B559" s="40" t="s">
        <v>1196</v>
      </c>
      <c r="D559" s="151" t="s">
        <v>1197</v>
      </c>
      <c r="E559" s="58"/>
    </row>
    <row r="560" spans="1:45" s="24" customFormat="1">
      <c r="A560" s="33"/>
      <c r="B560" s="40" t="s">
        <v>1198</v>
      </c>
      <c r="C560" s="33"/>
      <c r="D560" s="58"/>
      <c r="E560" s="58"/>
      <c r="F560" s="40"/>
      <c r="G560" s="58"/>
      <c r="H560" s="58"/>
      <c r="I560" s="58"/>
      <c r="O560" s="40"/>
      <c r="P560" s="58"/>
      <c r="Q560" s="58"/>
      <c r="T560" s="40"/>
      <c r="U560" s="58"/>
      <c r="V560" s="58"/>
      <c r="W560" s="58"/>
      <c r="X560" s="58"/>
      <c r="Y560" s="40"/>
      <c r="Z560" s="58"/>
      <c r="AA560" s="58"/>
      <c r="AD560" s="40"/>
      <c r="AE560" s="58"/>
      <c r="AF560" s="58"/>
    </row>
    <row r="561" spans="1:43" s="24" customFormat="1">
      <c r="A561" s="33"/>
      <c r="B561" s="40" t="s">
        <v>1199</v>
      </c>
      <c r="C561" s="33"/>
      <c r="D561" s="152" t="str">
        <f>($D$557)</f>
        <v>xăng/diesel</v>
      </c>
      <c r="E561" s="58"/>
      <c r="F561" s="40"/>
      <c r="G561" s="58"/>
      <c r="H561" s="58"/>
      <c r="I561" s="58"/>
      <c r="O561" s="40"/>
      <c r="P561" s="58"/>
      <c r="Q561" s="58"/>
      <c r="T561" s="40"/>
      <c r="U561" s="58"/>
      <c r="V561" s="58"/>
      <c r="W561" s="58"/>
      <c r="X561" s="58"/>
      <c r="Y561" s="40"/>
      <c r="Z561" s="58"/>
      <c r="AA561" s="58"/>
      <c r="AD561" s="40"/>
      <c r="AE561" s="58"/>
      <c r="AF561" s="58"/>
    </row>
    <row r="562" spans="1:43" s="24" customFormat="1">
      <c r="A562" s="33"/>
      <c r="B562" s="40" t="s">
        <v>1200</v>
      </c>
      <c r="C562" s="33"/>
      <c r="D562" s="152" t="str">
        <f>($D$559)</f>
        <v>có/không có</v>
      </c>
      <c r="E562" s="58"/>
      <c r="F562" s="40"/>
      <c r="G562" s="58"/>
      <c r="H562" s="58"/>
      <c r="I562" s="58"/>
      <c r="O562" s="40"/>
      <c r="P562" s="58"/>
      <c r="Q562" s="58"/>
      <c r="T562" s="40"/>
      <c r="U562" s="58"/>
      <c r="V562" s="58"/>
      <c r="W562" s="58"/>
      <c r="X562" s="58"/>
      <c r="Y562" s="40"/>
      <c r="Z562" s="58"/>
      <c r="AA562" s="58"/>
      <c r="AD562" s="40"/>
      <c r="AE562" s="58"/>
      <c r="AF562" s="58"/>
    </row>
    <row r="563" spans="1:43" s="24" customFormat="1">
      <c r="A563" s="33"/>
      <c r="B563" s="40" t="s">
        <v>1201</v>
      </c>
      <c r="C563" s="33"/>
      <c r="D563" s="58"/>
      <c r="E563" s="58"/>
      <c r="F563" s="40"/>
      <c r="G563" s="58"/>
      <c r="H563" s="58"/>
      <c r="I563" s="58"/>
      <c r="O563" s="40"/>
      <c r="P563" s="58"/>
      <c r="Q563" s="58"/>
      <c r="T563" s="40"/>
      <c r="U563" s="58"/>
      <c r="V563" s="58"/>
      <c r="W563" s="58"/>
      <c r="X563" s="58"/>
      <c r="Y563" s="40"/>
      <c r="Z563" s="58"/>
      <c r="AA563" s="58"/>
      <c r="AD563" s="40"/>
      <c r="AE563" s="58"/>
      <c r="AF563" s="58"/>
    </row>
    <row r="564" spans="1:43" s="24" customFormat="1" ht="28.2" customHeight="1">
      <c r="A564" s="33"/>
      <c r="B564" s="40" t="s">
        <v>1202</v>
      </c>
      <c r="C564" s="33"/>
      <c r="D564" s="152" t="s">
        <v>1109</v>
      </c>
      <c r="E564" s="58"/>
      <c r="F564" s="40"/>
      <c r="G564" s="58"/>
      <c r="H564" s="58"/>
      <c r="I564" s="58"/>
      <c r="O564" s="40"/>
      <c r="P564" s="58"/>
      <c r="Q564" s="58"/>
      <c r="T564" s="40"/>
      <c r="U564" s="58"/>
      <c r="V564" s="58"/>
      <c r="W564" s="58"/>
      <c r="X564" s="58"/>
      <c r="Y564" s="40"/>
      <c r="Z564" s="58"/>
      <c r="AA564" s="58"/>
      <c r="AD564" s="40"/>
      <c r="AE564" s="58"/>
      <c r="AF564" s="58"/>
    </row>
    <row r="565" spans="1:43" s="27" customFormat="1" ht="15" customHeight="1">
      <c r="A565" s="33"/>
      <c r="B565" s="36" t="s">
        <v>1203</v>
      </c>
      <c r="C565" s="33"/>
      <c r="D565" s="152">
        <v>0</v>
      </c>
      <c r="E565" s="58" t="s">
        <v>1204</v>
      </c>
      <c r="F565" s="40"/>
      <c r="G565" s="58"/>
      <c r="H565" s="58"/>
      <c r="I565" s="58"/>
      <c r="O565" s="40"/>
      <c r="P565" s="58"/>
      <c r="Q565" s="58"/>
      <c r="T565" s="40"/>
      <c r="U565" s="58"/>
      <c r="V565" s="58"/>
      <c r="W565" s="58"/>
      <c r="X565" s="58"/>
      <c r="Y565" s="40"/>
      <c r="Z565" s="58"/>
      <c r="AA565" s="58"/>
      <c r="AD565" s="40"/>
      <c r="AE565" s="58"/>
      <c r="AF565" s="58"/>
    </row>
    <row r="566" spans="1:43" s="27" customFormat="1" ht="32.4">
      <c r="A566" s="33"/>
      <c r="B566" s="40" t="s">
        <v>1205</v>
      </c>
      <c r="C566" s="33"/>
      <c r="D566" s="152" t="s">
        <v>1109</v>
      </c>
      <c r="E566" s="58"/>
      <c r="F566" s="40"/>
      <c r="G566" s="58"/>
      <c r="H566" s="58"/>
      <c r="I566" s="58"/>
      <c r="O566" s="40"/>
      <c r="P566" s="58"/>
      <c r="Q566" s="58"/>
      <c r="T566" s="40"/>
      <c r="U566" s="58"/>
      <c r="V566" s="58"/>
      <c r="W566" s="58"/>
      <c r="X566" s="58"/>
      <c r="Y566" s="40"/>
      <c r="Z566" s="58"/>
      <c r="AA566" s="58"/>
      <c r="AD566" s="40"/>
      <c r="AE566" s="58"/>
      <c r="AF566" s="58"/>
    </row>
    <row r="567" spans="1:43" s="24" customFormat="1">
      <c r="A567" s="33"/>
      <c r="B567" s="40" t="s">
        <v>1206</v>
      </c>
      <c r="C567" s="33"/>
      <c r="D567" s="155">
        <v>0</v>
      </c>
      <c r="E567" s="58" t="s">
        <v>1162</v>
      </c>
      <c r="F567" s="40"/>
      <c r="G567" s="58"/>
      <c r="H567" s="58"/>
      <c r="I567" s="58"/>
      <c r="O567" s="40"/>
      <c r="P567" s="58"/>
      <c r="Q567" s="58"/>
      <c r="T567" s="40"/>
      <c r="U567" s="58"/>
      <c r="V567" s="58"/>
      <c r="W567" s="58"/>
      <c r="X567" s="58"/>
      <c r="Y567" s="40"/>
      <c r="Z567" s="58"/>
      <c r="AA567" s="58"/>
      <c r="AD567" s="40"/>
      <c r="AE567" s="58"/>
      <c r="AF567" s="58"/>
    </row>
    <row r="568" spans="1:43" s="24" customFormat="1">
      <c r="A568" s="33" t="s">
        <v>555</v>
      </c>
      <c r="B568" s="36" t="s">
        <v>1207</v>
      </c>
      <c r="C568" s="33"/>
      <c r="D568" s="58"/>
      <c r="E568" s="58"/>
      <c r="F568" s="40"/>
      <c r="G568" s="58"/>
      <c r="H568" s="58"/>
      <c r="I568" s="58"/>
      <c r="O568" s="40"/>
      <c r="P568" s="58"/>
      <c r="Q568" s="58"/>
      <c r="T568" s="40"/>
      <c r="U568" s="58"/>
      <c r="V568" s="58"/>
      <c r="W568" s="58"/>
      <c r="X568" s="58"/>
      <c r="Y568" s="40"/>
      <c r="Z568" s="58"/>
      <c r="AA568" s="58"/>
      <c r="AD568" s="40"/>
      <c r="AE568" s="58"/>
      <c r="AF568" s="58"/>
    </row>
    <row r="569" spans="1:43" s="24" customFormat="1" ht="30">
      <c r="A569" s="33"/>
      <c r="B569" s="40" t="s">
        <v>1208</v>
      </c>
      <c r="C569" s="33"/>
      <c r="D569" s="58"/>
      <c r="E569" s="162"/>
      <c r="F569" s="40"/>
      <c r="G569" s="58"/>
      <c r="H569" s="58"/>
      <c r="I569" s="58"/>
      <c r="O569" s="40"/>
      <c r="P569" s="58"/>
      <c r="Q569" s="58"/>
      <c r="T569" s="40"/>
      <c r="U569" s="58"/>
      <c r="V569" s="58"/>
      <c r="W569" s="58"/>
      <c r="X569" s="58"/>
      <c r="Y569" s="40"/>
      <c r="Z569" s="58"/>
      <c r="AA569" s="58"/>
      <c r="AD569" s="40"/>
      <c r="AE569" s="58"/>
      <c r="AF569" s="58"/>
    </row>
    <row r="570" spans="1:43" s="24" customFormat="1">
      <c r="A570" s="33"/>
      <c r="B570" s="40" t="s">
        <v>1209</v>
      </c>
      <c r="C570" s="33"/>
      <c r="D570" s="58"/>
      <c r="E570" s="162"/>
      <c r="F570" s="40"/>
      <c r="G570" s="58"/>
      <c r="H570" s="58"/>
      <c r="I570" s="58"/>
      <c r="O570" s="40"/>
      <c r="P570" s="58"/>
      <c r="Q570" s="58"/>
      <c r="T570" s="40"/>
      <c r="U570" s="58"/>
      <c r="V570" s="58"/>
      <c r="W570" s="58"/>
      <c r="X570" s="58"/>
      <c r="Y570" s="40"/>
      <c r="Z570" s="58"/>
      <c r="AA570" s="58"/>
      <c r="AD570" s="40"/>
      <c r="AE570" s="58"/>
      <c r="AF570" s="58"/>
    </row>
    <row r="571" spans="1:43" s="24" customFormat="1">
      <c r="A571" s="33"/>
      <c r="B571" s="40" t="s">
        <v>1210</v>
      </c>
      <c r="C571" s="33"/>
      <c r="D571" s="152" t="str">
        <f>($D$557)</f>
        <v>xăng/diesel</v>
      </c>
      <c r="E571" s="162"/>
      <c r="F571" s="40"/>
      <c r="G571" s="58"/>
      <c r="H571" s="58"/>
      <c r="I571" s="58"/>
      <c r="O571" s="40"/>
      <c r="P571" s="58"/>
      <c r="Q571" s="58"/>
      <c r="T571" s="40"/>
      <c r="U571" s="58"/>
      <c r="V571" s="58"/>
      <c r="W571" s="58"/>
      <c r="X571" s="58"/>
      <c r="Y571" s="40"/>
      <c r="Z571" s="58"/>
      <c r="AA571" s="58"/>
      <c r="AD571" s="40"/>
      <c r="AE571" s="58"/>
      <c r="AF571" s="58"/>
    </row>
    <row r="572" spans="1:43">
      <c r="B572" s="40" t="s">
        <v>1211</v>
      </c>
      <c r="C572" s="31"/>
      <c r="D572" s="163" t="s">
        <v>1212</v>
      </c>
      <c r="E572" s="31"/>
      <c r="F572" s="31"/>
      <c r="G572" s="31"/>
    </row>
    <row r="573" spans="1:43">
      <c r="B573" s="40" t="s">
        <v>1213</v>
      </c>
      <c r="C573" s="31"/>
      <c r="D573" s="154" t="s">
        <v>1214</v>
      </c>
      <c r="E573" s="31"/>
      <c r="F573" s="31"/>
      <c r="G573" s="31"/>
    </row>
    <row r="574" spans="1:43">
      <c r="B574" s="40" t="s">
        <v>1215</v>
      </c>
      <c r="C574" s="31"/>
      <c r="E574" s="34"/>
      <c r="G574" s="26"/>
      <c r="H574" s="31"/>
      <c r="I574" s="26"/>
      <c r="O574" s="379"/>
      <c r="P574" s="379"/>
      <c r="Q574" s="379"/>
      <c r="T574" s="25"/>
      <c r="U574" s="25"/>
      <c r="V574" s="25"/>
      <c r="W574" s="26"/>
      <c r="X574" s="26"/>
      <c r="Y574" s="26"/>
      <c r="Z574" s="26"/>
      <c r="AA574" s="26"/>
      <c r="AD574" s="26"/>
      <c r="AE574" s="26"/>
      <c r="AF574" s="26"/>
      <c r="AO574" s="26"/>
      <c r="AP574" s="26"/>
      <c r="AQ574" s="26"/>
    </row>
    <row r="575" spans="1:43">
      <c r="B575" s="40" t="s">
        <v>1216</v>
      </c>
      <c r="C575" s="31"/>
      <c r="D575" s="151">
        <v>1</v>
      </c>
      <c r="E575" s="34"/>
      <c r="G575" s="26"/>
      <c r="H575" s="34"/>
      <c r="I575" s="26"/>
      <c r="O575" s="26"/>
      <c r="P575" s="26"/>
      <c r="Q575" s="26"/>
      <c r="T575" s="26"/>
      <c r="U575" s="26"/>
      <c r="V575" s="26"/>
      <c r="W575" s="26"/>
      <c r="X575" s="26"/>
      <c r="Y575" s="26"/>
      <c r="Z575" s="26"/>
      <c r="AA575" s="26"/>
      <c r="AD575" s="26"/>
      <c r="AE575" s="26"/>
      <c r="AF575" s="26"/>
      <c r="AO575" s="26"/>
      <c r="AP575" s="26"/>
      <c r="AQ575" s="26"/>
    </row>
    <row r="576" spans="1:43">
      <c r="B576" s="40" t="s">
        <v>1217</v>
      </c>
      <c r="C576" s="31"/>
      <c r="D576" s="151">
        <v>1</v>
      </c>
      <c r="E576" s="34"/>
      <c r="G576" s="26"/>
      <c r="H576" s="34"/>
      <c r="I576" s="26"/>
      <c r="O576" s="26"/>
      <c r="P576" s="26"/>
      <c r="Q576" s="26"/>
      <c r="T576" s="26"/>
      <c r="U576" s="26"/>
      <c r="V576" s="26"/>
      <c r="W576" s="26"/>
      <c r="X576" s="26"/>
      <c r="Y576" s="26"/>
      <c r="Z576" s="26"/>
      <c r="AA576" s="26"/>
      <c r="AD576" s="26"/>
      <c r="AE576" s="26"/>
      <c r="AF576" s="26"/>
      <c r="AO576" s="26"/>
      <c r="AP576" s="26"/>
      <c r="AQ576" s="26"/>
    </row>
    <row r="577" spans="1:43">
      <c r="B577" s="40" t="s">
        <v>1218</v>
      </c>
      <c r="C577" s="31"/>
      <c r="D577" s="151">
        <v>1</v>
      </c>
      <c r="E577" s="34"/>
      <c r="G577" s="26"/>
      <c r="H577" s="34"/>
      <c r="I577" s="26"/>
      <c r="O577" s="26"/>
      <c r="P577" s="26"/>
      <c r="Q577" s="26"/>
      <c r="T577" s="26"/>
      <c r="U577" s="26"/>
      <c r="V577" s="26"/>
      <c r="W577" s="26"/>
      <c r="X577" s="26"/>
      <c r="Y577" s="26"/>
      <c r="Z577" s="26"/>
      <c r="AA577" s="26"/>
      <c r="AD577" s="26"/>
      <c r="AE577" s="26"/>
      <c r="AF577" s="26"/>
      <c r="AO577" s="26"/>
      <c r="AP577" s="26"/>
      <c r="AQ577" s="26"/>
    </row>
    <row r="578" spans="1:43">
      <c r="A578" s="33" t="s">
        <v>1219</v>
      </c>
      <c r="B578" s="36" t="s">
        <v>1220</v>
      </c>
      <c r="C578" s="35"/>
      <c r="D578" s="151" t="s">
        <v>1221</v>
      </c>
      <c r="E578" s="31"/>
      <c r="F578" s="31"/>
      <c r="G578" s="31"/>
    </row>
    <row r="579" spans="1:43">
      <c r="A579" s="33" t="s">
        <v>1222</v>
      </c>
      <c r="B579" s="144" t="s">
        <v>1223</v>
      </c>
      <c r="C579" s="35"/>
      <c r="E579" s="34"/>
      <c r="F579" s="25"/>
      <c r="G579" s="25"/>
      <c r="H579" s="26"/>
      <c r="I579" s="26"/>
      <c r="O579" s="26"/>
      <c r="P579" s="26"/>
      <c r="Q579" s="26"/>
    </row>
    <row r="580" spans="1:43">
      <c r="A580" s="72" t="s">
        <v>551</v>
      </c>
      <c r="B580" s="65" t="s">
        <v>845</v>
      </c>
      <c r="C580" s="66"/>
      <c r="E580" s="34"/>
      <c r="F580" s="25"/>
      <c r="G580" s="25"/>
      <c r="H580" s="26"/>
      <c r="I580" s="26"/>
      <c r="O580" s="26"/>
      <c r="P580" s="26"/>
      <c r="Q580" s="26"/>
    </row>
    <row r="581" spans="1:43">
      <c r="B581" s="25" t="s">
        <v>1224</v>
      </c>
      <c r="C581" s="31"/>
      <c r="D581" s="151" t="s">
        <v>1225</v>
      </c>
      <c r="E581" s="34"/>
      <c r="F581" s="25"/>
      <c r="G581" s="25"/>
      <c r="H581" s="25"/>
      <c r="I581" s="25"/>
      <c r="O581" s="25"/>
      <c r="P581" s="25"/>
      <c r="Q581" s="25"/>
    </row>
    <row r="582" spans="1:43">
      <c r="B582" s="40" t="s">
        <v>1226</v>
      </c>
      <c r="C582" s="31"/>
      <c r="E582" s="34"/>
      <c r="F582" s="26"/>
      <c r="G582" s="26"/>
      <c r="H582" s="26"/>
      <c r="I582" s="26"/>
      <c r="O582" s="26"/>
      <c r="P582" s="26"/>
      <c r="Q582" s="26"/>
    </row>
    <row r="583" spans="1:43">
      <c r="B583" s="40" t="s">
        <v>1227</v>
      </c>
      <c r="C583" s="31"/>
      <c r="E583" s="34"/>
      <c r="F583" s="26"/>
      <c r="G583" s="26"/>
      <c r="H583" s="26"/>
      <c r="I583" s="26"/>
      <c r="O583" s="26"/>
      <c r="P583" s="26"/>
      <c r="Q583" s="26"/>
    </row>
    <row r="584" spans="1:43">
      <c r="B584" s="40" t="s">
        <v>1228</v>
      </c>
      <c r="C584" s="31"/>
      <c r="E584" s="34"/>
      <c r="F584" s="26"/>
      <c r="G584" s="26"/>
      <c r="H584" s="26"/>
      <c r="I584" s="26"/>
      <c r="O584" s="26"/>
      <c r="P584" s="26"/>
      <c r="Q584" s="26"/>
    </row>
    <row r="585" spans="1:43">
      <c r="A585" s="72" t="s">
        <v>553</v>
      </c>
      <c r="B585" s="65" t="s">
        <v>851</v>
      </c>
      <c r="C585" s="31"/>
      <c r="E585" s="34"/>
      <c r="F585" s="26"/>
      <c r="G585" s="26"/>
      <c r="H585" s="26"/>
      <c r="I585" s="26"/>
      <c r="O585" s="26"/>
      <c r="P585" s="26"/>
      <c r="Q585" s="26"/>
    </row>
    <row r="586" spans="1:43">
      <c r="B586" s="25" t="s">
        <v>1224</v>
      </c>
      <c r="C586" s="31"/>
      <c r="D586" s="151" t="s">
        <v>1225</v>
      </c>
      <c r="E586" s="34"/>
      <c r="F586" s="25"/>
      <c r="G586" s="25"/>
      <c r="H586" s="25"/>
      <c r="I586" s="25"/>
      <c r="O586" s="25"/>
      <c r="P586" s="25"/>
      <c r="Q586" s="25"/>
    </row>
    <row r="587" spans="1:43">
      <c r="B587" s="40" t="s">
        <v>1226</v>
      </c>
      <c r="C587" s="31"/>
      <c r="E587" s="34"/>
      <c r="F587" s="26"/>
      <c r="G587" s="26"/>
      <c r="H587" s="26"/>
      <c r="I587" s="26"/>
      <c r="O587" s="26"/>
      <c r="P587" s="26"/>
      <c r="Q587" s="26"/>
    </row>
    <row r="588" spans="1:43">
      <c r="B588" s="40" t="s">
        <v>1227</v>
      </c>
      <c r="C588" s="31"/>
      <c r="E588" s="34"/>
      <c r="F588" s="26"/>
      <c r="G588" s="26"/>
      <c r="H588" s="26"/>
      <c r="I588" s="26"/>
      <c r="O588" s="26"/>
      <c r="P588" s="26"/>
      <c r="Q588" s="26"/>
    </row>
    <row r="589" spans="1:43">
      <c r="B589" s="40" t="s">
        <v>1228</v>
      </c>
      <c r="C589" s="31"/>
      <c r="E589" s="34"/>
      <c r="F589" s="26"/>
      <c r="G589" s="26"/>
      <c r="H589" s="26"/>
      <c r="I589" s="26"/>
      <c r="O589" s="26"/>
      <c r="P589" s="26"/>
      <c r="Q589" s="26"/>
    </row>
    <row r="590" spans="1:43">
      <c r="B590" s="26"/>
      <c r="C590" s="31"/>
      <c r="E590" s="34"/>
      <c r="F590" s="25"/>
      <c r="G590" s="25"/>
      <c r="H590" s="25"/>
      <c r="I590" s="25"/>
      <c r="O590" s="25"/>
      <c r="P590" s="25"/>
      <c r="Q590" s="25"/>
    </row>
    <row r="591" spans="1:43">
      <c r="A591" s="33" t="s">
        <v>1229</v>
      </c>
      <c r="B591" s="144" t="s">
        <v>1230</v>
      </c>
      <c r="C591" s="35"/>
      <c r="E591" s="34"/>
      <c r="F591" s="25"/>
      <c r="G591" s="25"/>
      <c r="H591" s="26"/>
      <c r="I591" s="26"/>
      <c r="O591" s="26"/>
      <c r="P591" s="26"/>
      <c r="Q591" s="26"/>
    </row>
    <row r="592" spans="1:43">
      <c r="A592" s="33" t="s">
        <v>551</v>
      </c>
      <c r="B592" s="36" t="s">
        <v>1231</v>
      </c>
      <c r="C592" s="35"/>
      <c r="E592" s="34"/>
      <c r="F592" s="25"/>
      <c r="G592" s="25"/>
      <c r="H592" s="26"/>
      <c r="I592" s="26"/>
      <c r="O592" s="26"/>
      <c r="P592" s="26"/>
      <c r="Q592" s="26"/>
    </row>
    <row r="593" spans="1:17" ht="27.6">
      <c r="B593" s="40" t="s">
        <v>1232</v>
      </c>
      <c r="C593" s="35"/>
      <c r="E593" s="34"/>
      <c r="F593" s="25"/>
      <c r="G593" s="25"/>
      <c r="H593" s="26"/>
      <c r="I593" s="26"/>
      <c r="O593" s="26"/>
      <c r="P593" s="26"/>
      <c r="Q593" s="26"/>
    </row>
    <row r="594" spans="1:17">
      <c r="B594" s="40" t="s">
        <v>1233</v>
      </c>
      <c r="C594" s="35"/>
      <c r="E594" s="34"/>
      <c r="F594" s="25"/>
      <c r="G594" s="25"/>
      <c r="H594" s="26"/>
      <c r="I594" s="26"/>
      <c r="O594" s="26"/>
      <c r="P594" s="26"/>
      <c r="Q594" s="26"/>
    </row>
    <row r="595" spans="1:17">
      <c r="B595" s="40" t="s">
        <v>1234</v>
      </c>
      <c r="C595" s="31"/>
      <c r="D595" s="151" t="s">
        <v>1235</v>
      </c>
      <c r="E595" s="34"/>
      <c r="F595" s="25"/>
      <c r="G595" s="25"/>
      <c r="H595" s="26"/>
      <c r="I595" s="26"/>
      <c r="O595" s="26"/>
      <c r="P595" s="26"/>
      <c r="Q595" s="26"/>
    </row>
    <row r="596" spans="1:17">
      <c r="B596" s="40" t="s">
        <v>1236</v>
      </c>
      <c r="C596" s="31"/>
      <c r="D596" s="151" t="s">
        <v>1237</v>
      </c>
      <c r="E596" s="34"/>
      <c r="F596" s="25"/>
      <c r="G596" s="25"/>
      <c r="H596" s="26"/>
      <c r="I596" s="26"/>
      <c r="O596" s="26"/>
      <c r="P596" s="26"/>
      <c r="Q596" s="26"/>
    </row>
    <row r="597" spans="1:17" ht="16.2">
      <c r="B597" s="40" t="s">
        <v>1238</v>
      </c>
      <c r="C597" s="31"/>
      <c r="E597" s="34"/>
      <c r="F597" s="25"/>
      <c r="G597" s="25"/>
      <c r="H597" s="26"/>
      <c r="I597" s="26"/>
      <c r="O597" s="26"/>
      <c r="P597" s="26"/>
      <c r="Q597" s="26"/>
    </row>
    <row r="598" spans="1:17" ht="16.2">
      <c r="B598" s="40" t="s">
        <v>1239</v>
      </c>
      <c r="C598" s="31"/>
      <c r="D598" s="31">
        <f>($D$447)</f>
        <v>0</v>
      </c>
      <c r="E598" s="34"/>
      <c r="F598" s="25"/>
      <c r="G598" s="25"/>
      <c r="H598" s="26"/>
      <c r="I598" s="26"/>
      <c r="O598" s="26"/>
      <c r="P598" s="26"/>
      <c r="Q598" s="26"/>
    </row>
    <row r="599" spans="1:17" ht="16.2">
      <c r="B599" s="40" t="s">
        <v>1240</v>
      </c>
      <c r="C599" s="31"/>
      <c r="D599" s="31">
        <f>($D$455)</f>
        <v>0</v>
      </c>
      <c r="E599" s="34"/>
      <c r="F599" s="25"/>
      <c r="G599" s="25"/>
      <c r="H599" s="26"/>
      <c r="I599" s="26"/>
      <c r="O599" s="26"/>
      <c r="P599" s="26"/>
      <c r="Q599" s="26"/>
    </row>
    <row r="600" spans="1:17" ht="16.2">
      <c r="B600" s="40" t="s">
        <v>1241</v>
      </c>
      <c r="C600" s="31"/>
      <c r="E600" s="34"/>
      <c r="F600" s="25"/>
      <c r="G600" s="25"/>
      <c r="H600" s="26"/>
      <c r="I600" s="26"/>
      <c r="O600" s="26"/>
      <c r="P600" s="26"/>
      <c r="Q600" s="26"/>
    </row>
    <row r="601" spans="1:17">
      <c r="B601" s="40" t="s">
        <v>1242</v>
      </c>
      <c r="C601" s="31"/>
      <c r="D601" s="31">
        <f>($D$513)</f>
        <v>0</v>
      </c>
      <c r="E601" s="34"/>
      <c r="F601" s="25"/>
      <c r="G601" s="25"/>
      <c r="H601" s="26"/>
      <c r="I601" s="26"/>
      <c r="O601" s="26"/>
      <c r="P601" s="26"/>
      <c r="Q601" s="26"/>
    </row>
    <row r="602" spans="1:17" ht="16.2">
      <c r="B602" s="40" t="s">
        <v>1243</v>
      </c>
      <c r="C602" s="31"/>
      <c r="D602" s="31">
        <f>($D$601)*($D$599)*($D$598)</f>
        <v>0</v>
      </c>
      <c r="E602" s="34"/>
      <c r="F602" s="25"/>
      <c r="G602" s="25"/>
      <c r="H602" s="26"/>
      <c r="I602" s="26"/>
      <c r="O602" s="26"/>
      <c r="P602" s="26"/>
      <c r="Q602" s="26"/>
    </row>
    <row r="603" spans="1:17">
      <c r="A603" s="33" t="s">
        <v>553</v>
      </c>
      <c r="B603" s="36" t="s">
        <v>1244</v>
      </c>
      <c r="C603" s="35"/>
      <c r="E603" s="34"/>
      <c r="F603" s="25"/>
      <c r="G603" s="25"/>
      <c r="H603" s="26"/>
      <c r="I603" s="26"/>
      <c r="O603" s="26"/>
      <c r="P603" s="26"/>
      <c r="Q603" s="26"/>
    </row>
    <row r="604" spans="1:17">
      <c r="A604" s="33" t="s">
        <v>905</v>
      </c>
      <c r="B604" s="36" t="s">
        <v>1245</v>
      </c>
      <c r="C604" s="31"/>
      <c r="E604" s="34"/>
      <c r="F604" s="25"/>
      <c r="G604" s="25"/>
      <c r="H604" s="26"/>
      <c r="I604" s="26"/>
      <c r="O604" s="26"/>
      <c r="P604" s="26"/>
      <c r="Q604" s="26"/>
    </row>
    <row r="605" spans="1:17">
      <c r="B605" s="40" t="s">
        <v>1246</v>
      </c>
      <c r="C605" s="35"/>
      <c r="E605" s="34"/>
      <c r="F605" s="25"/>
      <c r="G605" s="25"/>
      <c r="H605" s="26"/>
      <c r="I605" s="26"/>
      <c r="O605" s="26"/>
      <c r="P605" s="26"/>
      <c r="Q605" s="26"/>
    </row>
    <row r="606" spans="1:17" ht="16.2">
      <c r="B606" s="40" t="s">
        <v>1247</v>
      </c>
      <c r="C606" s="35"/>
      <c r="D606" s="31">
        <f>($D$485)</f>
        <v>0</v>
      </c>
      <c r="E606" s="34"/>
      <c r="F606" s="25"/>
      <c r="G606" s="25"/>
      <c r="H606" s="26"/>
      <c r="I606" s="26"/>
      <c r="O606" s="26"/>
      <c r="P606" s="26"/>
      <c r="Q606" s="26"/>
    </row>
    <row r="607" spans="1:17" ht="16.2">
      <c r="A607" s="58"/>
      <c r="B607" s="26" t="s">
        <v>1248</v>
      </c>
      <c r="C607" s="31"/>
      <c r="D607" s="31">
        <f>($D$606)/2</f>
        <v>0</v>
      </c>
      <c r="E607" s="34"/>
      <c r="F607" s="25"/>
      <c r="G607" s="25"/>
      <c r="H607" s="26"/>
      <c r="I607" s="26"/>
      <c r="O607" s="26"/>
      <c r="P607" s="26"/>
      <c r="Q607" s="26"/>
    </row>
    <row r="608" spans="1:17" ht="16.2">
      <c r="B608" s="40" t="s">
        <v>1249</v>
      </c>
      <c r="C608" s="35"/>
      <c r="D608" s="31" t="e">
        <f>($D$489)/2</f>
        <v>#VALUE!</v>
      </c>
      <c r="E608" s="34"/>
      <c r="F608" s="25"/>
      <c r="G608" s="25"/>
      <c r="H608" s="26"/>
      <c r="I608" s="26"/>
      <c r="O608" s="26"/>
      <c r="P608" s="26"/>
      <c r="Q608" s="26"/>
    </row>
    <row r="609" spans="1:17" ht="16.2">
      <c r="A609" s="58"/>
      <c r="B609" s="26" t="s">
        <v>1250</v>
      </c>
      <c r="C609" s="31"/>
      <c r="D609" s="31">
        <f>($D$455)/2</f>
        <v>0</v>
      </c>
      <c r="E609" s="34"/>
      <c r="F609" s="25"/>
      <c r="G609" s="25"/>
      <c r="H609" s="26"/>
      <c r="I609" s="26"/>
      <c r="O609" s="26"/>
      <c r="P609" s="26"/>
      <c r="Q609" s="26"/>
    </row>
    <row r="610" spans="1:17" ht="16.2">
      <c r="A610" s="33" t="s">
        <v>909</v>
      </c>
      <c r="B610" s="36" t="s">
        <v>1251</v>
      </c>
      <c r="C610" s="35"/>
      <c r="D610" s="31" t="str">
        <f>($D$433)</f>
        <v>vmax</v>
      </c>
      <c r="E610" s="34"/>
      <c r="F610" s="25"/>
      <c r="G610" s="25"/>
      <c r="H610" s="26"/>
      <c r="I610" s="26"/>
      <c r="O610" s="26"/>
      <c r="P610" s="26"/>
      <c r="Q610" s="26"/>
    </row>
    <row r="611" spans="1:17">
      <c r="A611" s="33" t="s">
        <v>1252</v>
      </c>
      <c r="B611" s="36" t="s">
        <v>1253</v>
      </c>
      <c r="C611" s="35"/>
      <c r="E611" s="34"/>
      <c r="F611" s="25"/>
      <c r="G611" s="25"/>
      <c r="H611" s="26"/>
      <c r="I611" s="26"/>
      <c r="O611" s="26"/>
      <c r="P611" s="26"/>
      <c r="Q611" s="26"/>
    </row>
    <row r="612" spans="1:17">
      <c r="B612" s="40" t="s">
        <v>1254</v>
      </c>
      <c r="C612" s="35"/>
      <c r="D612" s="31" t="str">
        <f>($D$439)</f>
        <v>xxxx</v>
      </c>
      <c r="E612" s="34"/>
      <c r="F612" s="25"/>
      <c r="G612" s="25"/>
      <c r="H612" s="26"/>
      <c r="I612" s="26"/>
      <c r="O612" s="26"/>
      <c r="P612" s="26"/>
      <c r="Q612" s="26"/>
    </row>
    <row r="613" spans="1:17">
      <c r="B613" s="40" t="s">
        <v>1255</v>
      </c>
      <c r="C613" s="31"/>
      <c r="D613" s="151" t="s">
        <v>1256</v>
      </c>
      <c r="E613" s="31"/>
      <c r="F613" s="25"/>
      <c r="G613" s="25"/>
      <c r="H613" s="26"/>
      <c r="I613" s="26"/>
      <c r="O613" s="26"/>
      <c r="P613" s="26"/>
      <c r="Q613" s="26"/>
    </row>
    <row r="614" spans="1:17">
      <c r="B614" s="40" t="s">
        <v>1257</v>
      </c>
      <c r="C614" s="31"/>
      <c r="D614" s="152" t="s">
        <v>1109</v>
      </c>
      <c r="E614" s="58"/>
      <c r="F614" s="25"/>
      <c r="G614" s="25"/>
      <c r="H614" s="26"/>
      <c r="I614" s="26"/>
      <c r="O614" s="26"/>
      <c r="P614" s="26"/>
      <c r="Q614" s="26"/>
    </row>
    <row r="615" spans="1:17">
      <c r="B615" s="40" t="s">
        <v>1258</v>
      </c>
      <c r="C615" s="31"/>
      <c r="D615" s="151">
        <v>0</v>
      </c>
      <c r="E615" s="58" t="s">
        <v>1162</v>
      </c>
      <c r="F615" s="25"/>
      <c r="G615" s="25"/>
      <c r="H615" s="26"/>
      <c r="I615" s="26"/>
      <c r="O615" s="26"/>
      <c r="P615" s="26"/>
      <c r="Q615" s="26"/>
    </row>
    <row r="616" spans="1:17">
      <c r="B616" s="40" t="s">
        <v>1259</v>
      </c>
      <c r="C616" s="35"/>
      <c r="D616" s="33" t="s">
        <v>1260</v>
      </c>
      <c r="E616" s="34"/>
      <c r="F616" s="25"/>
      <c r="G616" s="25"/>
      <c r="H616" s="26"/>
      <c r="I616" s="26"/>
      <c r="O616" s="26"/>
      <c r="P616" s="26"/>
      <c r="Q616" s="26"/>
    </row>
    <row r="617" spans="1:17">
      <c r="B617" s="40" t="s">
        <v>600</v>
      </c>
      <c r="C617" s="31"/>
      <c r="E617" s="34"/>
      <c r="F617" s="25"/>
      <c r="G617" s="25"/>
      <c r="H617" s="26"/>
      <c r="I617" s="26"/>
      <c r="O617" s="26"/>
      <c r="P617" s="26"/>
      <c r="Q617" s="26"/>
    </row>
    <row r="618" spans="1:17">
      <c r="B618" s="40" t="s">
        <v>1261</v>
      </c>
      <c r="C618" s="31"/>
      <c r="E618" s="34"/>
      <c r="F618" s="25"/>
      <c r="G618" s="25"/>
      <c r="H618" s="26"/>
      <c r="I618" s="26"/>
      <c r="O618" s="26"/>
      <c r="P618" s="26"/>
      <c r="Q618" s="26"/>
    </row>
    <row r="619" spans="1:17">
      <c r="B619" s="40" t="s">
        <v>1262</v>
      </c>
      <c r="C619" s="31"/>
      <c r="E619" s="34"/>
      <c r="F619" s="25"/>
      <c r="G619" s="25"/>
      <c r="H619" s="26"/>
      <c r="I619" s="26"/>
      <c r="O619" s="26"/>
      <c r="P619" s="26"/>
      <c r="Q619" s="26"/>
    </row>
    <row r="620" spans="1:17">
      <c r="B620" s="40" t="s">
        <v>1263</v>
      </c>
      <c r="C620" s="31"/>
      <c r="E620" s="34"/>
      <c r="F620" s="25"/>
      <c r="G620" s="25"/>
      <c r="H620" s="26"/>
      <c r="I620" s="26"/>
      <c r="O620" s="26"/>
      <c r="P620" s="26"/>
      <c r="Q620" s="26"/>
    </row>
    <row r="621" spans="1:17">
      <c r="B621" s="40" t="s">
        <v>1264</v>
      </c>
      <c r="C621" s="31"/>
      <c r="E621" s="34"/>
      <c r="F621" s="25"/>
      <c r="G621" s="25"/>
      <c r="H621" s="26"/>
      <c r="I621" s="26"/>
      <c r="O621" s="26"/>
      <c r="P621" s="26"/>
      <c r="Q621" s="26"/>
    </row>
    <row r="622" spans="1:17">
      <c r="B622" s="40" t="s">
        <v>1265</v>
      </c>
      <c r="C622" s="31"/>
      <c r="E622" s="34"/>
      <c r="F622" s="25"/>
      <c r="G622" s="25"/>
      <c r="H622" s="26"/>
      <c r="I622" s="26"/>
      <c r="O622" s="26"/>
      <c r="P622" s="26"/>
      <c r="Q622" s="26"/>
    </row>
    <row r="623" spans="1:17">
      <c r="B623" s="40" t="s">
        <v>1266</v>
      </c>
      <c r="C623" s="31"/>
      <c r="E623" s="34"/>
      <c r="F623" s="25"/>
      <c r="G623" s="25"/>
      <c r="H623" s="26"/>
      <c r="I623" s="26"/>
      <c r="O623" s="26"/>
      <c r="P623" s="26"/>
      <c r="Q623" s="26"/>
    </row>
    <row r="624" spans="1:17">
      <c r="B624" s="26" t="s">
        <v>1267</v>
      </c>
      <c r="C624" s="31"/>
      <c r="E624" s="31"/>
      <c r="F624" s="25"/>
      <c r="G624" s="25"/>
      <c r="H624" s="26"/>
      <c r="I624" s="26"/>
      <c r="O624" s="26"/>
      <c r="P624" s="26"/>
      <c r="Q624" s="26"/>
    </row>
    <row r="625" spans="1:43" ht="16.2">
      <c r="B625" s="26" t="s">
        <v>1268</v>
      </c>
      <c r="C625" s="31"/>
      <c r="E625" s="31"/>
      <c r="F625" s="25"/>
      <c r="G625" s="25"/>
      <c r="H625" s="26"/>
      <c r="I625" s="26"/>
      <c r="O625" s="26"/>
      <c r="P625" s="26"/>
      <c r="Q625" s="26"/>
    </row>
    <row r="626" spans="1:43" ht="16.2">
      <c r="B626" s="35" t="s">
        <v>1269</v>
      </c>
      <c r="C626" s="35"/>
      <c r="E626" s="31"/>
      <c r="F626" s="25"/>
      <c r="G626" s="25"/>
      <c r="H626" s="26"/>
      <c r="I626" s="26"/>
      <c r="O626" s="26"/>
      <c r="P626" s="26"/>
      <c r="Q626" s="26"/>
    </row>
    <row r="627" spans="1:43" ht="16.2">
      <c r="B627" s="144" t="s">
        <v>1270</v>
      </c>
      <c r="C627" s="35"/>
      <c r="D627" s="35">
        <v>0</v>
      </c>
      <c r="E627" s="31"/>
      <c r="F627" s="25"/>
      <c r="G627" s="25"/>
      <c r="H627" s="26"/>
      <c r="I627" s="26"/>
      <c r="O627" s="26"/>
      <c r="P627" s="26"/>
      <c r="Q627" s="26"/>
    </row>
    <row r="628" spans="1:43" ht="16.2">
      <c r="B628" s="26" t="s">
        <v>1271</v>
      </c>
      <c r="C628" s="31"/>
      <c r="E628" s="31"/>
      <c r="F628" s="25"/>
      <c r="G628" s="25"/>
      <c r="H628" s="26"/>
      <c r="I628" s="26"/>
      <c r="O628" s="26"/>
      <c r="P628" s="26"/>
      <c r="Q628" s="26"/>
    </row>
    <row r="629" spans="1:43" ht="16.2">
      <c r="B629" s="144" t="s">
        <v>1272</v>
      </c>
      <c r="C629" s="35"/>
      <c r="D629" s="31">
        <f>($D$627)*($D$615)</f>
        <v>0</v>
      </c>
      <c r="E629" s="31"/>
      <c r="F629" s="25"/>
      <c r="G629" s="25"/>
      <c r="H629" s="26"/>
      <c r="I629" s="26"/>
      <c r="O629" s="26"/>
      <c r="P629" s="26"/>
      <c r="Q629" s="26"/>
    </row>
    <row r="630" spans="1:43">
      <c r="A630" s="33" t="s">
        <v>1273</v>
      </c>
      <c r="B630" s="144" t="s">
        <v>1274</v>
      </c>
      <c r="C630" s="35"/>
      <c r="E630" s="34"/>
      <c r="F630" s="25"/>
      <c r="G630" s="25"/>
      <c r="H630" s="26"/>
      <c r="I630" s="26"/>
      <c r="O630" s="26"/>
      <c r="P630" s="26"/>
      <c r="Q630" s="26"/>
    </row>
    <row r="631" spans="1:43">
      <c r="A631" s="33">
        <v>1</v>
      </c>
      <c r="B631" s="144" t="s">
        <v>1275</v>
      </c>
      <c r="C631" s="35"/>
      <c r="E631" s="34"/>
      <c r="F631" s="25"/>
      <c r="G631" s="25"/>
      <c r="H631" s="26"/>
      <c r="I631" s="26"/>
      <c r="O631" s="26"/>
      <c r="P631" s="26"/>
      <c r="Q631" s="26"/>
    </row>
    <row r="632" spans="1:43">
      <c r="B632" s="26" t="s">
        <v>878</v>
      </c>
      <c r="C632" s="31"/>
      <c r="E632" s="34"/>
      <c r="F632" s="31"/>
      <c r="G632" s="31"/>
      <c r="H632" s="31"/>
      <c r="I632" s="25"/>
      <c r="O632" s="31"/>
      <c r="P632" s="31"/>
      <c r="Q632" s="25"/>
    </row>
    <row r="633" spans="1:43" ht="16.2">
      <c r="B633" s="25" t="s">
        <v>879</v>
      </c>
      <c r="C633" s="31"/>
      <c r="E633" s="34"/>
      <c r="F633" s="25"/>
      <c r="G633" s="25"/>
      <c r="H633" s="26"/>
      <c r="I633" s="26"/>
      <c r="O633" s="26"/>
      <c r="P633" s="26"/>
      <c r="Q633" s="26"/>
    </row>
    <row r="634" spans="1:43">
      <c r="B634" s="25" t="s">
        <v>880</v>
      </c>
      <c r="C634" s="31"/>
      <c r="E634" s="34"/>
      <c r="F634" s="25"/>
      <c r="G634" s="25"/>
      <c r="H634" s="26"/>
      <c r="I634" s="26"/>
      <c r="O634" s="26"/>
      <c r="P634" s="26"/>
      <c r="Q634" s="26"/>
    </row>
    <row r="635" spans="1:43">
      <c r="B635" s="25" t="s">
        <v>881</v>
      </c>
      <c r="C635" s="31"/>
      <c r="E635" s="34"/>
      <c r="F635" s="25"/>
      <c r="G635" s="25"/>
      <c r="H635" s="26"/>
      <c r="I635" s="26"/>
      <c r="O635" s="26"/>
      <c r="P635" s="26"/>
      <c r="Q635" s="26"/>
    </row>
    <row r="636" spans="1:43" ht="16.2">
      <c r="B636" s="25" t="s">
        <v>882</v>
      </c>
      <c r="C636" s="31"/>
      <c r="E636" s="34"/>
      <c r="F636" s="25"/>
      <c r="G636" s="25"/>
      <c r="H636" s="26"/>
      <c r="I636" s="26"/>
      <c r="O636" s="26"/>
      <c r="P636" s="26"/>
      <c r="Q636" s="26"/>
    </row>
    <row r="637" spans="1:43">
      <c r="B637" s="25" t="s">
        <v>888</v>
      </c>
      <c r="C637" s="31"/>
      <c r="E637" s="34"/>
      <c r="F637" s="25"/>
      <c r="G637" s="25"/>
      <c r="H637" s="26"/>
      <c r="I637" s="26"/>
      <c r="O637" s="26"/>
      <c r="P637" s="26"/>
      <c r="Q637" s="26"/>
    </row>
    <row r="638" spans="1:43" ht="16.2">
      <c r="B638" s="25" t="s">
        <v>884</v>
      </c>
      <c r="C638" s="31"/>
      <c r="E638" s="34"/>
      <c r="F638" s="25"/>
      <c r="G638" s="25"/>
      <c r="H638" s="26"/>
      <c r="I638" s="26"/>
      <c r="O638" s="26"/>
      <c r="P638" s="26"/>
      <c r="Q638" s="26"/>
    </row>
    <row r="639" spans="1:43" ht="16.2">
      <c r="B639" s="25" t="s">
        <v>885</v>
      </c>
      <c r="C639" s="31"/>
      <c r="E639" s="34"/>
      <c r="F639" s="25"/>
      <c r="G639" s="25"/>
      <c r="H639" s="26"/>
      <c r="I639" s="26"/>
      <c r="O639" s="26"/>
      <c r="P639" s="26"/>
      <c r="Q639" s="26"/>
      <c r="T639" s="25"/>
      <c r="U639" s="25"/>
      <c r="V639" s="25"/>
      <c r="W639" s="26"/>
      <c r="X639" s="26"/>
      <c r="Y639" s="26"/>
      <c r="Z639" s="26"/>
      <c r="AA639" s="26"/>
      <c r="AD639" s="26"/>
      <c r="AE639" s="26"/>
      <c r="AF639" s="26"/>
      <c r="AO639" s="26"/>
      <c r="AP639" s="26"/>
      <c r="AQ639" s="26"/>
    </row>
    <row r="640" spans="1:43">
      <c r="B640" s="25" t="s">
        <v>886</v>
      </c>
      <c r="C640" s="31"/>
      <c r="E640" s="34"/>
      <c r="F640" s="25"/>
      <c r="G640" s="25"/>
      <c r="H640" s="26"/>
      <c r="I640" s="26"/>
      <c r="O640" s="26"/>
      <c r="P640" s="26"/>
      <c r="Q640" s="26"/>
      <c r="T640" s="25"/>
      <c r="U640" s="25"/>
      <c r="V640" s="25"/>
      <c r="W640" s="26"/>
      <c r="X640" s="26"/>
      <c r="Y640" s="26"/>
      <c r="Z640" s="26"/>
      <c r="AA640" s="26"/>
      <c r="AD640" s="26"/>
      <c r="AE640" s="26"/>
      <c r="AF640" s="26"/>
      <c r="AO640" s="26"/>
      <c r="AP640" s="26"/>
      <c r="AQ640" s="26"/>
    </row>
    <row r="641" spans="2:43" ht="16.2">
      <c r="B641" s="25" t="s">
        <v>887</v>
      </c>
      <c r="C641" s="31"/>
      <c r="E641" s="34"/>
      <c r="F641" s="25"/>
      <c r="G641" s="25"/>
      <c r="H641" s="26"/>
      <c r="I641" s="26"/>
      <c r="O641" s="26"/>
      <c r="P641" s="26"/>
      <c r="Q641" s="26"/>
      <c r="T641" s="25"/>
      <c r="U641" s="25"/>
      <c r="V641" s="25"/>
      <c r="W641" s="26"/>
      <c r="X641" s="26"/>
      <c r="Y641" s="26"/>
      <c r="Z641" s="26"/>
      <c r="AA641" s="26"/>
      <c r="AD641" s="26"/>
      <c r="AE641" s="26"/>
      <c r="AF641" s="26"/>
      <c r="AO641" s="26"/>
      <c r="AP641" s="26"/>
      <c r="AQ641" s="26"/>
    </row>
    <row r="642" spans="2:43">
      <c r="B642" s="25" t="s">
        <v>888</v>
      </c>
      <c r="C642" s="31"/>
      <c r="E642" s="34"/>
      <c r="F642" s="25"/>
      <c r="G642" s="25"/>
      <c r="H642" s="26"/>
      <c r="I642" s="26"/>
      <c r="O642" s="26"/>
      <c r="P642" s="26"/>
      <c r="Q642" s="26"/>
      <c r="T642" s="25"/>
      <c r="U642" s="25"/>
      <c r="V642" s="25"/>
      <c r="W642" s="26"/>
      <c r="X642" s="26"/>
      <c r="Y642" s="26"/>
      <c r="Z642" s="26"/>
      <c r="AA642" s="26"/>
      <c r="AD642" s="26"/>
      <c r="AE642" s="26"/>
      <c r="AF642" s="26"/>
      <c r="AO642" s="26"/>
      <c r="AP642" s="26"/>
      <c r="AQ642" s="26"/>
    </row>
    <row r="643" spans="2:43" ht="16.2">
      <c r="B643" s="25" t="s">
        <v>1276</v>
      </c>
      <c r="C643" s="31"/>
      <c r="E643" s="34"/>
      <c r="F643" s="25"/>
      <c r="G643" s="25"/>
      <c r="H643" s="26"/>
      <c r="I643" s="26"/>
      <c r="O643" s="26"/>
      <c r="P643" s="26"/>
      <c r="Q643" s="26"/>
      <c r="T643" s="25"/>
      <c r="U643" s="25"/>
      <c r="V643" s="25"/>
      <c r="W643" s="26"/>
      <c r="X643" s="26"/>
      <c r="Y643" s="26"/>
      <c r="Z643" s="26"/>
      <c r="AA643" s="26"/>
      <c r="AD643" s="26"/>
      <c r="AE643" s="26"/>
      <c r="AF643" s="26"/>
      <c r="AO643" s="26"/>
      <c r="AP643" s="26"/>
      <c r="AQ643" s="26"/>
    </row>
    <row r="644" spans="2:43" ht="16.2">
      <c r="B644" s="25" t="s">
        <v>1277</v>
      </c>
      <c r="C644" s="31"/>
      <c r="E644" s="34"/>
      <c r="F644" s="25"/>
      <c r="G644" s="25"/>
      <c r="H644" s="26"/>
      <c r="I644" s="26"/>
      <c r="O644" s="26"/>
      <c r="P644" s="26"/>
      <c r="Q644" s="26"/>
      <c r="T644" s="25"/>
      <c r="U644" s="25"/>
      <c r="V644" s="25"/>
      <c r="W644" s="26"/>
      <c r="X644" s="26"/>
      <c r="Y644" s="26"/>
      <c r="Z644" s="26"/>
      <c r="AA644" s="26"/>
      <c r="AD644" s="26"/>
      <c r="AE644" s="26"/>
      <c r="AF644" s="26"/>
      <c r="AO644" s="26"/>
      <c r="AP644" s="26"/>
      <c r="AQ644" s="26"/>
    </row>
    <row r="645" spans="2:43">
      <c r="B645" s="25" t="s">
        <v>892</v>
      </c>
      <c r="C645" s="31"/>
      <c r="E645" s="34"/>
      <c r="F645" s="25"/>
      <c r="G645" s="25"/>
      <c r="H645" s="26"/>
      <c r="I645" s="26"/>
      <c r="O645" s="26"/>
      <c r="P645" s="26"/>
      <c r="Q645" s="26"/>
      <c r="T645" s="25"/>
      <c r="U645" s="25"/>
      <c r="V645" s="25"/>
      <c r="W645" s="26"/>
      <c r="X645" s="26"/>
      <c r="Y645" s="26"/>
      <c r="Z645" s="26"/>
      <c r="AA645" s="26"/>
      <c r="AD645" s="26"/>
      <c r="AE645" s="26"/>
      <c r="AF645" s="26"/>
      <c r="AO645" s="26"/>
      <c r="AP645" s="26"/>
      <c r="AQ645" s="26"/>
    </row>
    <row r="646" spans="2:43" ht="16.2">
      <c r="B646" s="25" t="s">
        <v>893</v>
      </c>
      <c r="C646" s="31"/>
      <c r="E646" s="34"/>
      <c r="F646" s="25"/>
      <c r="G646" s="25"/>
      <c r="H646" s="26"/>
      <c r="I646" s="26"/>
      <c r="O646" s="26"/>
      <c r="P646" s="26"/>
      <c r="Q646" s="26"/>
      <c r="T646" s="25"/>
      <c r="U646" s="25"/>
      <c r="V646" s="25"/>
      <c r="W646" s="26"/>
      <c r="X646" s="26"/>
      <c r="Y646" s="26"/>
      <c r="Z646" s="26"/>
      <c r="AA646" s="26"/>
      <c r="AD646" s="26"/>
      <c r="AE646" s="26"/>
      <c r="AF646" s="26"/>
      <c r="AO646" s="26"/>
      <c r="AP646" s="26"/>
      <c r="AQ646" s="26"/>
    </row>
    <row r="647" spans="2:43">
      <c r="B647" s="25" t="s">
        <v>894</v>
      </c>
      <c r="C647" s="31"/>
      <c r="E647" s="34"/>
      <c r="F647" s="25"/>
      <c r="G647" s="25"/>
      <c r="H647" s="26"/>
      <c r="I647" s="26"/>
      <c r="O647" s="26"/>
      <c r="P647" s="26"/>
      <c r="Q647" s="26"/>
      <c r="T647" s="25"/>
      <c r="U647" s="25"/>
      <c r="V647" s="25"/>
      <c r="W647" s="26"/>
      <c r="X647" s="26"/>
      <c r="Y647" s="26"/>
      <c r="Z647" s="26"/>
      <c r="AA647" s="26"/>
      <c r="AD647" s="26"/>
      <c r="AE647" s="26"/>
      <c r="AF647" s="26"/>
      <c r="AO647" s="26"/>
      <c r="AP647" s="26"/>
      <c r="AQ647" s="26"/>
    </row>
    <row r="648" spans="2:43" ht="16.2">
      <c r="B648" s="25" t="s">
        <v>895</v>
      </c>
      <c r="C648" s="31"/>
      <c r="E648" s="34"/>
      <c r="F648" s="25"/>
      <c r="G648" s="25"/>
      <c r="H648" s="26"/>
      <c r="I648" s="26"/>
      <c r="O648" s="26"/>
      <c r="P648" s="26"/>
      <c r="Q648" s="26"/>
      <c r="T648" s="25"/>
      <c r="U648" s="25"/>
      <c r="V648" s="25"/>
      <c r="W648" s="26"/>
      <c r="X648" s="26"/>
      <c r="Y648" s="26"/>
      <c r="Z648" s="26"/>
      <c r="AA648" s="26"/>
      <c r="AD648" s="26"/>
      <c r="AE648" s="26"/>
      <c r="AF648" s="26"/>
      <c r="AO648" s="26"/>
      <c r="AP648" s="26"/>
      <c r="AQ648" s="26"/>
    </row>
    <row r="649" spans="2:43" ht="16.2">
      <c r="B649" s="25" t="s">
        <v>896</v>
      </c>
      <c r="C649" s="31"/>
      <c r="E649" s="34"/>
      <c r="F649" s="25"/>
      <c r="G649" s="25"/>
      <c r="H649" s="26"/>
      <c r="I649" s="26"/>
      <c r="O649" s="26"/>
      <c r="P649" s="26"/>
      <c r="Q649" s="26"/>
      <c r="T649" s="25"/>
      <c r="U649" s="25"/>
      <c r="V649" s="25"/>
      <c r="W649" s="26"/>
      <c r="X649" s="26"/>
      <c r="Y649" s="26"/>
      <c r="Z649" s="26"/>
      <c r="AA649" s="26"/>
      <c r="AD649" s="26"/>
      <c r="AE649" s="26"/>
      <c r="AF649" s="26"/>
      <c r="AO649" s="26"/>
      <c r="AP649" s="26"/>
      <c r="AQ649" s="26"/>
    </row>
    <row r="650" spans="2:43">
      <c r="B650" s="25" t="s">
        <v>897</v>
      </c>
      <c r="C650" s="31"/>
      <c r="E650" s="34"/>
      <c r="F650" s="25"/>
      <c r="G650" s="25"/>
      <c r="H650" s="26"/>
      <c r="I650" s="26"/>
      <c r="O650" s="26"/>
      <c r="P650" s="26"/>
      <c r="Q650" s="26"/>
      <c r="T650" s="25"/>
      <c r="U650" s="25"/>
      <c r="V650" s="25"/>
      <c r="W650" s="26"/>
      <c r="X650" s="26"/>
      <c r="Y650" s="26"/>
      <c r="Z650" s="26"/>
      <c r="AA650" s="26"/>
      <c r="AD650" s="26"/>
      <c r="AE650" s="26"/>
      <c r="AF650" s="26"/>
      <c r="AO650" s="26"/>
      <c r="AP650" s="26"/>
      <c r="AQ650" s="26"/>
    </row>
    <row r="651" spans="2:43" ht="16.2">
      <c r="B651" s="25" t="s">
        <v>898</v>
      </c>
      <c r="C651" s="31"/>
      <c r="E651" s="34"/>
      <c r="F651" s="25"/>
      <c r="G651" s="25"/>
      <c r="H651" s="26"/>
      <c r="I651" s="26"/>
      <c r="O651" s="26"/>
      <c r="P651" s="26"/>
      <c r="Q651" s="26"/>
      <c r="T651" s="25"/>
      <c r="U651" s="25"/>
      <c r="V651" s="25"/>
      <c r="W651" s="26"/>
      <c r="X651" s="26"/>
      <c r="Y651" s="26"/>
      <c r="Z651" s="26"/>
      <c r="AA651" s="26"/>
      <c r="AD651" s="26"/>
      <c r="AE651" s="26"/>
      <c r="AF651" s="26"/>
      <c r="AO651" s="26"/>
      <c r="AP651" s="26"/>
      <c r="AQ651" s="26"/>
    </row>
    <row r="652" spans="2:43" ht="16.2">
      <c r="B652" s="25" t="s">
        <v>1278</v>
      </c>
      <c r="C652" s="31"/>
      <c r="E652" s="34"/>
      <c r="F652" s="25"/>
      <c r="G652" s="25"/>
      <c r="H652" s="26"/>
      <c r="I652" s="26"/>
      <c r="O652" s="26"/>
      <c r="P652" s="26"/>
      <c r="Q652" s="26"/>
      <c r="T652" s="25"/>
      <c r="U652" s="25"/>
      <c r="V652" s="25"/>
      <c r="W652" s="26"/>
      <c r="X652" s="26"/>
      <c r="Y652" s="26"/>
      <c r="Z652" s="26"/>
      <c r="AA652" s="26"/>
      <c r="AD652" s="26"/>
      <c r="AE652" s="26"/>
      <c r="AF652" s="26"/>
      <c r="AO652" s="26"/>
      <c r="AP652" s="26"/>
      <c r="AQ652" s="26"/>
    </row>
    <row r="653" spans="2:43" ht="16.2">
      <c r="B653" s="25" t="s">
        <v>1279</v>
      </c>
      <c r="C653" s="31"/>
      <c r="E653" s="34"/>
      <c r="F653" s="25"/>
      <c r="G653" s="25"/>
      <c r="H653" s="26"/>
      <c r="I653" s="26"/>
      <c r="O653" s="26"/>
      <c r="P653" s="26"/>
      <c r="Q653" s="26"/>
      <c r="T653" s="25"/>
      <c r="U653" s="25"/>
      <c r="V653" s="25"/>
      <c r="W653" s="26"/>
      <c r="X653" s="26"/>
      <c r="Y653" s="26"/>
      <c r="Z653" s="26"/>
      <c r="AA653" s="26"/>
      <c r="AD653" s="26"/>
      <c r="AE653" s="26"/>
      <c r="AF653" s="26"/>
      <c r="AO653" s="26"/>
      <c r="AP653" s="26"/>
      <c r="AQ653" s="26"/>
    </row>
    <row r="654" spans="2:43">
      <c r="B654" s="25" t="s">
        <v>901</v>
      </c>
      <c r="C654" s="31"/>
      <c r="E654" s="34"/>
      <c r="F654" s="25"/>
      <c r="G654" s="25"/>
      <c r="H654" s="26"/>
      <c r="I654" s="26"/>
      <c r="O654" s="26"/>
      <c r="P654" s="26"/>
      <c r="Q654" s="26"/>
      <c r="T654" s="25"/>
      <c r="U654" s="25"/>
      <c r="V654" s="25"/>
      <c r="W654" s="26"/>
      <c r="X654" s="26"/>
      <c r="Y654" s="26"/>
      <c r="Z654" s="26"/>
      <c r="AA654" s="26"/>
      <c r="AD654" s="26"/>
      <c r="AE654" s="26"/>
      <c r="AF654" s="26"/>
      <c r="AO654" s="26"/>
      <c r="AP654" s="26"/>
      <c r="AQ654" s="26"/>
    </row>
    <row r="655" spans="2:43" ht="16.2">
      <c r="B655" s="25" t="s">
        <v>902</v>
      </c>
      <c r="C655" s="31"/>
      <c r="E655" s="34"/>
      <c r="F655" s="25"/>
      <c r="G655" s="25"/>
      <c r="H655" s="26"/>
      <c r="I655" s="26"/>
      <c r="O655" s="26"/>
      <c r="P655" s="26"/>
      <c r="Q655" s="26"/>
      <c r="T655" s="25"/>
      <c r="U655" s="25"/>
      <c r="V655" s="25"/>
      <c r="W655" s="26"/>
      <c r="X655" s="26"/>
      <c r="Y655" s="26"/>
      <c r="Z655" s="26"/>
      <c r="AA655" s="26"/>
      <c r="AD655" s="26"/>
      <c r="AE655" s="26"/>
      <c r="AF655" s="26"/>
      <c r="AO655" s="26"/>
      <c r="AP655" s="26"/>
      <c r="AQ655" s="26"/>
    </row>
    <row r="656" spans="2:43" ht="16.2">
      <c r="B656" s="25" t="s">
        <v>1280</v>
      </c>
      <c r="C656" s="31"/>
      <c r="E656" s="34"/>
      <c r="F656" s="25"/>
      <c r="G656" s="25"/>
      <c r="H656" s="26"/>
      <c r="I656" s="26"/>
      <c r="O656" s="26"/>
      <c r="P656" s="26"/>
      <c r="Q656" s="26"/>
      <c r="T656" s="25"/>
      <c r="U656" s="25"/>
      <c r="V656" s="25"/>
      <c r="W656" s="26"/>
      <c r="X656" s="26"/>
      <c r="Y656" s="26"/>
      <c r="Z656" s="26"/>
      <c r="AA656" s="26"/>
      <c r="AD656" s="26"/>
      <c r="AE656" s="26"/>
      <c r="AF656" s="26"/>
      <c r="AO656" s="26"/>
      <c r="AP656" s="26"/>
      <c r="AQ656" s="26"/>
    </row>
    <row r="657" spans="1:43" ht="16.2">
      <c r="B657" s="132" t="s">
        <v>1281</v>
      </c>
      <c r="C657" s="31"/>
      <c r="E657" s="34"/>
      <c r="F657" s="25"/>
      <c r="G657" s="25"/>
      <c r="H657" s="26"/>
      <c r="I657" s="26"/>
      <c r="O657" s="26"/>
      <c r="P657" s="26"/>
      <c r="Q657" s="26"/>
      <c r="T657" s="25"/>
      <c r="U657" s="25"/>
      <c r="V657" s="25"/>
      <c r="W657" s="26"/>
      <c r="X657" s="26"/>
      <c r="Y657" s="26"/>
      <c r="Z657" s="26"/>
      <c r="AA657" s="26"/>
      <c r="AD657" s="26"/>
      <c r="AE657" s="26"/>
      <c r="AF657" s="26"/>
      <c r="AO657" s="26"/>
      <c r="AP657" s="26"/>
      <c r="AQ657" s="26"/>
    </row>
    <row r="658" spans="1:43">
      <c r="B658" s="25" t="s">
        <v>1282</v>
      </c>
      <c r="C658" s="31"/>
      <c r="E658" s="34"/>
      <c r="F658" s="25"/>
      <c r="G658" s="25"/>
      <c r="H658" s="26"/>
      <c r="I658" s="26"/>
      <c r="O658" s="26"/>
      <c r="P658" s="26"/>
      <c r="Q658" s="26"/>
      <c r="T658" s="25"/>
      <c r="U658" s="25"/>
      <c r="V658" s="25"/>
      <c r="W658" s="26"/>
      <c r="X658" s="26"/>
      <c r="Y658" s="26"/>
      <c r="Z658" s="26"/>
      <c r="AA658" s="26"/>
      <c r="AD658" s="26"/>
      <c r="AE658" s="26"/>
      <c r="AF658" s="26"/>
      <c r="AO658" s="26"/>
      <c r="AP658" s="26"/>
      <c r="AQ658" s="26"/>
    </row>
    <row r="659" spans="1:43" ht="16.2">
      <c r="B659" s="35" t="s">
        <v>908</v>
      </c>
      <c r="C659" s="31"/>
      <c r="E659" s="34"/>
      <c r="F659" s="25"/>
      <c r="G659" s="25"/>
      <c r="H659" s="26"/>
      <c r="I659" s="26"/>
      <c r="O659" s="26"/>
      <c r="P659" s="26"/>
      <c r="Q659" s="26"/>
      <c r="T659" s="25"/>
      <c r="U659" s="25"/>
      <c r="V659" s="25"/>
      <c r="W659" s="26"/>
      <c r="X659" s="26"/>
      <c r="Y659" s="26"/>
      <c r="Z659" s="26"/>
      <c r="AA659" s="26"/>
      <c r="AD659" s="26"/>
      <c r="AE659" s="26"/>
      <c r="AF659" s="26"/>
      <c r="AO659" s="26"/>
      <c r="AP659" s="26"/>
      <c r="AQ659" s="26"/>
    </row>
    <row r="660" spans="1:43" ht="16.2">
      <c r="B660" s="132" t="s">
        <v>1283</v>
      </c>
      <c r="C660" s="31"/>
      <c r="E660" s="34"/>
      <c r="F660" s="25"/>
      <c r="G660" s="25"/>
      <c r="H660" s="26"/>
      <c r="I660" s="26"/>
      <c r="O660" s="26"/>
      <c r="P660" s="26"/>
      <c r="Q660" s="26"/>
      <c r="T660" s="25"/>
      <c r="U660" s="25"/>
      <c r="V660" s="25"/>
      <c r="W660" s="26"/>
      <c r="X660" s="26"/>
      <c r="Y660" s="26"/>
      <c r="Z660" s="26"/>
      <c r="AA660" s="26"/>
      <c r="AD660" s="26"/>
      <c r="AE660" s="26"/>
      <c r="AF660" s="26"/>
      <c r="AO660" s="26"/>
      <c r="AP660" s="26"/>
      <c r="AQ660" s="26"/>
    </row>
    <row r="661" spans="1:43">
      <c r="B661" s="25" t="s">
        <v>1282</v>
      </c>
      <c r="C661" s="31"/>
      <c r="E661" s="34"/>
      <c r="F661" s="25"/>
      <c r="G661" s="25"/>
      <c r="H661" s="26"/>
      <c r="I661" s="26"/>
      <c r="O661" s="26"/>
      <c r="P661" s="26"/>
      <c r="Q661" s="26"/>
      <c r="T661" s="25"/>
      <c r="U661" s="25"/>
      <c r="V661" s="25"/>
      <c r="W661" s="26"/>
      <c r="X661" s="26"/>
      <c r="Y661" s="26"/>
      <c r="Z661" s="26"/>
      <c r="AA661" s="26"/>
      <c r="AD661" s="26"/>
      <c r="AE661" s="26"/>
      <c r="AF661" s="26"/>
      <c r="AO661" s="26"/>
      <c r="AP661" s="26"/>
      <c r="AQ661" s="26"/>
    </row>
    <row r="662" spans="1:43" ht="16.2">
      <c r="B662" s="35" t="s">
        <v>1284</v>
      </c>
      <c r="C662" s="31"/>
      <c r="E662" s="34"/>
      <c r="F662" s="25"/>
      <c r="G662" s="25"/>
      <c r="H662" s="26"/>
      <c r="I662" s="26"/>
      <c r="O662" s="26"/>
      <c r="P662" s="26"/>
      <c r="Q662" s="26"/>
      <c r="T662" s="25"/>
      <c r="U662" s="25"/>
      <c r="V662" s="25"/>
      <c r="W662" s="26"/>
      <c r="X662" s="26"/>
      <c r="Y662" s="26"/>
      <c r="Z662" s="26"/>
      <c r="AA662" s="26"/>
      <c r="AD662" s="26"/>
      <c r="AE662" s="26"/>
      <c r="AF662" s="26"/>
      <c r="AO662" s="26"/>
      <c r="AP662" s="26"/>
      <c r="AQ662" s="26"/>
    </row>
    <row r="663" spans="1:43" ht="27.6">
      <c r="B663" s="27" t="s">
        <v>1285</v>
      </c>
      <c r="C663" s="31"/>
      <c r="D663" s="31" t="str">
        <f>($D$529)</f>
        <v>xxxx</v>
      </c>
      <c r="E663" s="34"/>
      <c r="F663" s="25"/>
      <c r="G663" s="25"/>
      <c r="H663" s="26"/>
      <c r="I663" s="26"/>
      <c r="O663" s="26"/>
      <c r="P663" s="26"/>
      <c r="Q663" s="26"/>
      <c r="T663" s="25"/>
      <c r="U663" s="25"/>
      <c r="V663" s="25"/>
      <c r="W663" s="26"/>
      <c r="X663" s="26"/>
      <c r="Y663" s="26"/>
      <c r="Z663" s="26"/>
      <c r="AA663" s="26"/>
      <c r="AD663" s="26"/>
      <c r="AE663" s="26"/>
      <c r="AF663" s="26"/>
      <c r="AO663" s="26"/>
      <c r="AP663" s="26"/>
      <c r="AQ663" s="26"/>
    </row>
    <row r="664" spans="1:43" s="31" customFormat="1" ht="16.2">
      <c r="A664" s="33"/>
      <c r="B664" s="26" t="s">
        <v>1286</v>
      </c>
      <c r="D664" s="151">
        <v>0</v>
      </c>
    </row>
    <row r="665" spans="1:43" s="31" customFormat="1">
      <c r="A665" s="33"/>
      <c r="B665" s="80"/>
      <c r="D665" s="35"/>
    </row>
    <row r="666" spans="1:43">
      <c r="A666" s="33" t="s">
        <v>1287</v>
      </c>
      <c r="B666" s="144" t="s">
        <v>1086</v>
      </c>
      <c r="C666" s="35"/>
      <c r="E666" s="34"/>
      <c r="F666" s="25"/>
      <c r="G666" s="25"/>
      <c r="H666" s="26"/>
      <c r="I666" s="26"/>
      <c r="O666" s="26"/>
      <c r="P666" s="26"/>
      <c r="Q666" s="26"/>
      <c r="T666" s="25"/>
      <c r="U666" s="25"/>
      <c r="V666" s="25"/>
      <c r="W666" s="26"/>
      <c r="X666" s="26"/>
      <c r="Y666" s="26"/>
      <c r="Z666" s="26"/>
      <c r="AA666" s="26"/>
      <c r="AD666" s="26"/>
      <c r="AE666" s="26"/>
      <c r="AF666" s="26"/>
      <c r="AO666" s="26"/>
      <c r="AP666" s="26"/>
      <c r="AQ666" s="26"/>
    </row>
    <row r="667" spans="1:43">
      <c r="B667" s="26" t="s">
        <v>1288</v>
      </c>
      <c r="C667" s="31"/>
      <c r="E667" s="34"/>
      <c r="F667" s="25"/>
      <c r="G667" s="25"/>
      <c r="H667" s="25"/>
      <c r="I667" s="25"/>
      <c r="O667" s="26"/>
      <c r="P667" s="26"/>
      <c r="Q667" s="26"/>
      <c r="T667" s="25"/>
      <c r="U667" s="25"/>
      <c r="V667" s="25"/>
      <c r="W667" s="26"/>
      <c r="X667" s="26"/>
      <c r="Y667" s="26"/>
      <c r="Z667" s="26"/>
      <c r="AA667" s="26"/>
      <c r="AD667" s="26"/>
      <c r="AE667" s="26"/>
      <c r="AF667" s="26"/>
      <c r="AO667" s="26"/>
      <c r="AP667" s="26"/>
      <c r="AQ667" s="26"/>
    </row>
    <row r="668" spans="1:43">
      <c r="B668" s="26" t="s">
        <v>1288</v>
      </c>
      <c r="C668" s="31"/>
      <c r="E668" s="34"/>
      <c r="F668" s="25"/>
      <c r="G668" s="25"/>
      <c r="H668" s="26"/>
      <c r="I668" s="26"/>
      <c r="O668" s="26"/>
      <c r="P668" s="26"/>
      <c r="Q668" s="26"/>
      <c r="T668" s="25"/>
      <c r="U668" s="25"/>
      <c r="V668" s="25"/>
      <c r="W668" s="26"/>
      <c r="X668" s="26"/>
      <c r="Y668" s="26"/>
      <c r="Z668" s="26"/>
      <c r="AA668" s="26"/>
      <c r="AD668" s="26"/>
      <c r="AE668" s="26"/>
      <c r="AF668" s="26"/>
      <c r="AO668" s="26"/>
      <c r="AP668" s="26"/>
      <c r="AQ668" s="26"/>
    </row>
    <row r="669" spans="1:43">
      <c r="A669" s="33" t="s">
        <v>1289</v>
      </c>
      <c r="B669" s="144" t="s">
        <v>1290</v>
      </c>
      <c r="C669" s="35"/>
      <c r="E669" s="34"/>
      <c r="F669" s="25"/>
      <c r="G669" s="25"/>
      <c r="H669" s="26"/>
      <c r="I669" s="26"/>
      <c r="O669" s="26"/>
      <c r="P669" s="26"/>
      <c r="Q669" s="26"/>
      <c r="T669" s="25"/>
      <c r="U669" s="25"/>
      <c r="V669" s="25"/>
      <c r="W669" s="26"/>
      <c r="X669" s="26"/>
      <c r="Y669" s="26"/>
      <c r="Z669" s="26"/>
      <c r="AA669" s="26"/>
      <c r="AD669" s="26"/>
      <c r="AE669" s="26"/>
      <c r="AF669" s="26"/>
      <c r="AO669" s="26"/>
      <c r="AP669" s="26"/>
      <c r="AQ669" s="26"/>
    </row>
    <row r="670" spans="1:43">
      <c r="A670" s="33" t="s">
        <v>551</v>
      </c>
      <c r="B670" s="26" t="s">
        <v>1291</v>
      </c>
      <c r="C670" s="31"/>
      <c r="E670" s="34"/>
      <c r="F670" s="25"/>
      <c r="G670" s="25"/>
      <c r="H670" s="26"/>
      <c r="I670" s="26"/>
      <c r="O670" s="26"/>
      <c r="P670" s="26"/>
      <c r="Q670" s="26"/>
      <c r="T670" s="25"/>
      <c r="U670" s="25"/>
      <c r="V670" s="25"/>
      <c r="W670" s="26"/>
      <c r="X670" s="26"/>
      <c r="Y670" s="26"/>
      <c r="Z670" s="26"/>
      <c r="AA670" s="26"/>
      <c r="AD670" s="26"/>
      <c r="AE670" s="26"/>
      <c r="AF670" s="26"/>
      <c r="AO670" s="26"/>
      <c r="AP670" s="26"/>
      <c r="AQ670" s="26"/>
    </row>
    <row r="671" spans="1:43">
      <c r="A671" s="33" t="s">
        <v>553</v>
      </c>
      <c r="B671" s="26" t="s">
        <v>1292</v>
      </c>
      <c r="C671" s="31"/>
      <c r="E671" s="34"/>
      <c r="F671" s="25"/>
      <c r="G671" s="25"/>
      <c r="H671" s="26"/>
      <c r="I671" s="26"/>
      <c r="O671" s="26"/>
      <c r="P671" s="26"/>
      <c r="Q671" s="26"/>
      <c r="T671" s="25"/>
      <c r="U671" s="25"/>
      <c r="V671" s="25"/>
      <c r="W671" s="26"/>
      <c r="X671" s="26"/>
      <c r="Y671" s="26"/>
      <c r="Z671" s="26"/>
      <c r="AA671" s="26"/>
      <c r="AD671" s="26"/>
      <c r="AE671" s="26"/>
      <c r="AF671" s="26"/>
      <c r="AO671" s="26"/>
      <c r="AP671" s="26"/>
      <c r="AQ671" s="26"/>
    </row>
    <row r="672" spans="1:43">
      <c r="B672" s="26" t="s">
        <v>1293</v>
      </c>
      <c r="C672" s="31"/>
      <c r="E672" s="34"/>
      <c r="F672" s="25"/>
      <c r="G672" s="25"/>
      <c r="H672" s="25"/>
      <c r="I672" s="25"/>
      <c r="O672" s="26"/>
      <c r="P672" s="26"/>
      <c r="Q672" s="26"/>
      <c r="T672" s="25"/>
      <c r="U672" s="25"/>
      <c r="V672" s="25"/>
      <c r="W672" s="26"/>
      <c r="X672" s="26"/>
      <c r="Y672" s="26"/>
      <c r="Z672" s="26"/>
      <c r="AA672" s="26"/>
      <c r="AD672" s="26"/>
      <c r="AE672" s="26"/>
      <c r="AF672" s="26"/>
      <c r="AO672" s="26"/>
      <c r="AP672" s="26"/>
      <c r="AQ672" s="26"/>
    </row>
    <row r="673" spans="1:43">
      <c r="B673" s="26" t="s">
        <v>1294</v>
      </c>
      <c r="C673" s="31"/>
      <c r="E673" s="34"/>
      <c r="F673" s="25"/>
      <c r="G673" s="25"/>
      <c r="H673" s="25"/>
      <c r="I673" s="25"/>
      <c r="O673" s="26"/>
      <c r="P673" s="26"/>
      <c r="Q673" s="26"/>
      <c r="T673" s="25"/>
      <c r="U673" s="25"/>
      <c r="V673" s="25"/>
      <c r="W673" s="26"/>
      <c r="X673" s="26"/>
      <c r="Y673" s="26"/>
      <c r="Z673" s="26"/>
      <c r="AA673" s="26"/>
      <c r="AD673" s="26"/>
      <c r="AE673" s="26"/>
      <c r="AF673" s="26"/>
      <c r="AO673" s="26"/>
      <c r="AP673" s="26"/>
      <c r="AQ673" s="26"/>
    </row>
    <row r="674" spans="1:43">
      <c r="A674" s="33" t="s">
        <v>555</v>
      </c>
      <c r="B674" s="26" t="s">
        <v>1295</v>
      </c>
      <c r="C674" s="31"/>
      <c r="E674" s="34"/>
      <c r="F674" s="25"/>
      <c r="G674" s="25"/>
      <c r="H674" s="25"/>
      <c r="I674" s="25"/>
      <c r="O674" s="26"/>
      <c r="P674" s="26"/>
      <c r="Q674" s="26"/>
      <c r="T674" s="25"/>
      <c r="U674" s="25"/>
      <c r="V674" s="25"/>
      <c r="W674" s="26"/>
      <c r="X674" s="26"/>
      <c r="Y674" s="26"/>
      <c r="Z674" s="26"/>
      <c r="AA674" s="26"/>
      <c r="AD674" s="26"/>
      <c r="AE674" s="26"/>
      <c r="AF674" s="26"/>
      <c r="AO674" s="26"/>
      <c r="AP674" s="26"/>
      <c r="AQ674" s="26"/>
    </row>
    <row r="675" spans="1:43" s="25" customFormat="1">
      <c r="A675" s="33" t="s">
        <v>1296</v>
      </c>
      <c r="B675" s="144" t="s">
        <v>1297</v>
      </c>
      <c r="C675" s="31"/>
      <c r="D675" s="31"/>
      <c r="E675" s="31"/>
    </row>
    <row r="676" spans="1:43" s="25" customFormat="1">
      <c r="A676" s="33"/>
      <c r="B676" s="144"/>
      <c r="C676" s="31"/>
      <c r="D676" s="31"/>
      <c r="E676" s="31"/>
    </row>
    <row r="677" spans="1:43" s="25" customFormat="1" ht="16.2">
      <c r="A677" s="33" t="s">
        <v>551</v>
      </c>
      <c r="B677" s="144" t="s">
        <v>1298</v>
      </c>
      <c r="C677" s="31"/>
      <c r="D677" s="31"/>
      <c r="E677" s="31"/>
    </row>
    <row r="678" spans="1:43" s="25" customFormat="1" ht="17.399999999999999">
      <c r="A678" s="33"/>
      <c r="B678" s="27" t="s">
        <v>1299</v>
      </c>
      <c r="C678" s="31"/>
      <c r="D678" s="31"/>
      <c r="E678" s="31"/>
    </row>
    <row r="679" spans="1:43" s="25" customFormat="1" ht="17.399999999999999">
      <c r="A679" s="33"/>
      <c r="B679" s="27" t="s">
        <v>1300</v>
      </c>
      <c r="C679" s="31"/>
      <c r="D679" s="31"/>
      <c r="E679" s="31"/>
    </row>
    <row r="680" spans="1:43" s="25" customFormat="1">
      <c r="A680" s="33"/>
      <c r="B680" s="27" t="s">
        <v>600</v>
      </c>
      <c r="C680" s="31"/>
      <c r="D680" s="31"/>
      <c r="E680" s="31"/>
    </row>
    <row r="681" spans="1:43" s="25" customFormat="1" ht="16.2">
      <c r="A681" s="33"/>
      <c r="B681" s="27" t="s">
        <v>1301</v>
      </c>
      <c r="C681" s="31"/>
      <c r="D681" s="31">
        <f>($D$664)</f>
        <v>0</v>
      </c>
      <c r="E681" s="31"/>
    </row>
    <row r="682" spans="1:43" s="25" customFormat="1" ht="16.2">
      <c r="A682" s="33"/>
      <c r="B682" s="27" t="s">
        <v>1302</v>
      </c>
      <c r="C682" s="31"/>
      <c r="D682" s="31" t="e">
        <f>($D$511)</f>
        <v>#VALUE!</v>
      </c>
      <c r="E682" s="31"/>
    </row>
    <row r="683" spans="1:43" s="25" customFormat="1" ht="16.2">
      <c r="A683" s="33"/>
      <c r="B683" s="27" t="s">
        <v>1303</v>
      </c>
      <c r="C683" s="31"/>
      <c r="D683" s="31">
        <f>($D$504)</f>
        <v>0</v>
      </c>
      <c r="E683" s="31"/>
    </row>
    <row r="684" spans="1:43" s="25" customFormat="1">
      <c r="A684" s="33"/>
      <c r="B684" s="27" t="s">
        <v>1304</v>
      </c>
      <c r="C684" s="31"/>
      <c r="D684" s="31"/>
      <c r="E684" s="31"/>
    </row>
    <row r="685" spans="1:43" s="25" customFormat="1" ht="16.2">
      <c r="A685" s="33"/>
      <c r="B685" s="36" t="s">
        <v>1305</v>
      </c>
      <c r="C685" s="31"/>
      <c r="D685" s="31" t="e">
        <f>($D$481)</f>
        <v>#VALUE!</v>
      </c>
      <c r="E685" s="31"/>
    </row>
    <row r="686" spans="1:43" s="25" customFormat="1" ht="16.2">
      <c r="A686" s="33"/>
      <c r="B686" s="27" t="s">
        <v>1306</v>
      </c>
      <c r="C686" s="31"/>
      <c r="D686" s="31"/>
      <c r="E686" s="31"/>
    </row>
    <row r="687" spans="1:43" s="25" customFormat="1" ht="16.2">
      <c r="A687" s="33"/>
      <c r="B687" s="36" t="s">
        <v>1307</v>
      </c>
      <c r="C687" s="31"/>
      <c r="D687" s="31" t="str">
        <f>($D$433)</f>
        <v>vmax</v>
      </c>
      <c r="E687" s="31"/>
    </row>
    <row r="688" spans="1:43" s="25" customFormat="1" ht="16.2">
      <c r="A688" s="33"/>
      <c r="B688" s="27" t="s">
        <v>1308</v>
      </c>
      <c r="C688" s="31"/>
      <c r="D688" s="31"/>
      <c r="E688" s="31"/>
    </row>
    <row r="689" spans="1:5" s="25" customFormat="1">
      <c r="A689" s="33"/>
      <c r="B689" s="36" t="s">
        <v>1309</v>
      </c>
      <c r="C689" s="31"/>
      <c r="D689" s="31">
        <f>($D$545)</f>
        <v>0</v>
      </c>
      <c r="E689" s="31"/>
    </row>
    <row r="690" spans="1:5" s="31" customFormat="1" ht="16.2">
      <c r="A690" s="33"/>
      <c r="B690" s="40" t="s">
        <v>1310</v>
      </c>
      <c r="D690" s="35" t="e">
        <f>((1/($D$681))*(((($D$682)+($D$683))*(($D$685)*10)*((($D$687)*10^3)/3600))+(($D$689)*(((($D$687)*10^3)/3600)^3)))/10^3)</f>
        <v>#DIV/0!</v>
      </c>
    </row>
    <row r="691" spans="1:5" s="25" customFormat="1">
      <c r="A691" s="33"/>
      <c r="B691" s="27"/>
      <c r="C691" s="31"/>
      <c r="D691" s="31"/>
      <c r="E691" s="31"/>
    </row>
    <row r="692" spans="1:5" s="26" customFormat="1" ht="16.2">
      <c r="A692" s="33" t="s">
        <v>553</v>
      </c>
      <c r="B692" s="144" t="s">
        <v>1311</v>
      </c>
      <c r="C692" s="31"/>
      <c r="D692" s="31"/>
      <c r="E692" s="31"/>
    </row>
    <row r="693" spans="1:5" s="27" customFormat="1" ht="30">
      <c r="A693" s="33"/>
      <c r="B693" s="27" t="s">
        <v>1312</v>
      </c>
      <c r="C693" s="58"/>
      <c r="D693" s="58"/>
    </row>
    <row r="694" spans="1:5" s="26" customFormat="1" ht="16.2">
      <c r="A694" s="33"/>
      <c r="B694" s="26" t="s">
        <v>1313</v>
      </c>
      <c r="C694" s="31"/>
      <c r="D694" s="31"/>
      <c r="E694" s="31"/>
    </row>
    <row r="695" spans="1:5" s="26" customFormat="1" ht="32.4">
      <c r="A695" s="33"/>
      <c r="B695" s="27" t="s">
        <v>1314</v>
      </c>
      <c r="C695" s="31"/>
      <c r="D695" s="31"/>
      <c r="E695" s="31"/>
    </row>
    <row r="696" spans="1:5" s="26" customFormat="1" ht="16.2">
      <c r="A696" s="33"/>
      <c r="B696" s="27" t="s">
        <v>1315</v>
      </c>
      <c r="C696" s="31"/>
      <c r="D696" s="31"/>
      <c r="E696" s="31"/>
    </row>
    <row r="697" spans="1:5" s="26" customFormat="1" ht="16.2">
      <c r="A697" s="33"/>
      <c r="B697" s="26" t="s">
        <v>941</v>
      </c>
      <c r="C697" s="31"/>
      <c r="D697" s="31"/>
      <c r="E697" s="31"/>
    </row>
    <row r="698" spans="1:5" s="26" customFormat="1" ht="16.2">
      <c r="A698" s="33"/>
      <c r="B698" s="26" t="s">
        <v>1316</v>
      </c>
      <c r="C698" s="31"/>
      <c r="D698" s="31"/>
      <c r="E698" s="31"/>
    </row>
    <row r="699" spans="1:5" s="25" customFormat="1">
      <c r="A699" s="33"/>
      <c r="B699" s="27" t="s">
        <v>600</v>
      </c>
      <c r="C699" s="31"/>
      <c r="D699" s="31"/>
      <c r="E699" s="31"/>
    </row>
    <row r="700" spans="1:5" s="25" customFormat="1" ht="16.2">
      <c r="A700" s="33"/>
      <c r="B700" s="27" t="s">
        <v>1317</v>
      </c>
      <c r="C700" s="31"/>
      <c r="D700" s="35" t="e">
        <f>($D$690)</f>
        <v>#DIV/0!</v>
      </c>
      <c r="E700" s="31"/>
    </row>
    <row r="701" spans="1:5" s="25" customFormat="1" ht="47.55" customHeight="1">
      <c r="A701" s="33"/>
      <c r="B701" s="27" t="s">
        <v>1318</v>
      </c>
      <c r="C701" s="31"/>
      <c r="D701" s="31"/>
      <c r="E701" s="31"/>
    </row>
    <row r="702" spans="1:5" s="25" customFormat="1">
      <c r="A702" s="33"/>
      <c r="B702" s="40" t="s">
        <v>1319</v>
      </c>
      <c r="C702" s="31"/>
      <c r="D702" s="154" t="str">
        <f>($D$571)</f>
        <v>xăng/diesel</v>
      </c>
      <c r="E702" s="31"/>
    </row>
    <row r="703" spans="1:5" s="25" customFormat="1">
      <c r="A703" s="33"/>
      <c r="B703" s="40" t="s">
        <v>1320</v>
      </c>
      <c r="C703" s="31"/>
      <c r="D703" s="154" t="str">
        <f>($D$562)</f>
        <v>có/không có</v>
      </c>
      <c r="E703" s="31"/>
    </row>
    <row r="704" spans="1:5" s="25" customFormat="1" ht="16.2">
      <c r="A704" s="33"/>
      <c r="B704" s="36" t="s">
        <v>1321</v>
      </c>
      <c r="C704" s="31"/>
      <c r="D704" s="151">
        <v>0</v>
      </c>
      <c r="E704" s="58" t="s">
        <v>1162</v>
      </c>
    </row>
    <row r="705" spans="1:6" s="25" customFormat="1">
      <c r="A705" s="33"/>
      <c r="B705" s="27" t="s">
        <v>1322</v>
      </c>
      <c r="C705" s="31"/>
      <c r="D705" s="31"/>
      <c r="E705" s="58"/>
    </row>
    <row r="706" spans="1:6" s="25" customFormat="1" ht="16.2">
      <c r="A706" s="33"/>
      <c r="B706" s="26" t="s">
        <v>1323</v>
      </c>
      <c r="C706" s="31"/>
      <c r="D706" s="31"/>
      <c r="E706" s="58"/>
    </row>
    <row r="707" spans="1:6" s="25" customFormat="1">
      <c r="A707" s="33"/>
      <c r="B707" s="27" t="s">
        <v>1324</v>
      </c>
      <c r="C707" s="31"/>
      <c r="D707" s="31"/>
      <c r="E707" s="58"/>
    </row>
    <row r="708" spans="1:6" s="25" customFormat="1" ht="16.2">
      <c r="A708" s="33"/>
      <c r="B708" s="36" t="s">
        <v>1325</v>
      </c>
      <c r="C708" s="31"/>
      <c r="D708" s="31" t="e">
        <f>($D$700)</f>
        <v>#DIV/0!</v>
      </c>
      <c r="E708" s="58"/>
    </row>
    <row r="709" spans="1:6" s="25" customFormat="1">
      <c r="A709" s="33"/>
      <c r="B709" s="144" t="s">
        <v>1216</v>
      </c>
      <c r="C709" s="31"/>
      <c r="D709" s="151">
        <v>0</v>
      </c>
      <c r="E709" s="31"/>
    </row>
    <row r="710" spans="1:6" s="25" customFormat="1">
      <c r="A710" s="33"/>
      <c r="B710" s="144" t="s">
        <v>1217</v>
      </c>
      <c r="C710" s="31"/>
      <c r="D710" s="151">
        <v>0</v>
      </c>
      <c r="E710" s="31"/>
    </row>
    <row r="711" spans="1:6" s="25" customFormat="1">
      <c r="A711" s="33"/>
      <c r="B711" s="144" t="s">
        <v>1218</v>
      </c>
      <c r="C711" s="31"/>
      <c r="D711" s="151">
        <v>0</v>
      </c>
      <c r="E711" s="31"/>
    </row>
    <row r="712" spans="1:6" s="25" customFormat="1" ht="16.2">
      <c r="A712" s="33"/>
      <c r="B712" s="144" t="s">
        <v>1326</v>
      </c>
      <c r="C712" s="149"/>
      <c r="D712" s="35" t="e">
        <f>($D$708)/((($D$709)*($D$704))+(($D$710)*($D$704)^2)-(($D$711)*($D$704)^3))</f>
        <v>#DIV/0!</v>
      </c>
      <c r="E712" s="31"/>
    </row>
    <row r="713" spans="1:6" s="25" customFormat="1">
      <c r="A713" s="33"/>
      <c r="B713" s="144" t="s">
        <v>1327</v>
      </c>
      <c r="C713" s="149"/>
      <c r="D713" s="35"/>
      <c r="E713" s="31"/>
    </row>
    <row r="714" spans="1:6" s="25" customFormat="1" ht="16.2">
      <c r="A714" s="33"/>
      <c r="B714" s="144" t="s">
        <v>1328</v>
      </c>
      <c r="C714" s="149"/>
      <c r="D714" s="151">
        <v>0</v>
      </c>
      <c r="E714" s="31"/>
    </row>
    <row r="715" spans="1:6" s="25" customFormat="1" ht="16.2">
      <c r="A715" s="33"/>
      <c r="B715" s="144" t="s">
        <v>1329</v>
      </c>
      <c r="C715" s="149"/>
      <c r="D715" s="161">
        <v>0</v>
      </c>
      <c r="E715" s="31"/>
    </row>
    <row r="716" spans="1:6" s="25" customFormat="1">
      <c r="A716" s="33"/>
      <c r="B716" s="144"/>
      <c r="C716" s="149"/>
      <c r="D716" s="149"/>
      <c r="E716" s="31"/>
    </row>
    <row r="717" spans="1:6" s="25" customFormat="1">
      <c r="A717" s="33"/>
      <c r="B717" s="144"/>
      <c r="C717" s="149"/>
      <c r="D717" s="149"/>
      <c r="E717" s="31"/>
    </row>
    <row r="718" spans="1:6" s="25" customFormat="1">
      <c r="A718" s="33"/>
      <c r="B718" s="144"/>
      <c r="C718" s="149"/>
      <c r="D718" s="149"/>
      <c r="E718" s="31"/>
    </row>
    <row r="719" spans="1:6" s="25" customFormat="1">
      <c r="A719" s="33" t="s">
        <v>1330</v>
      </c>
      <c r="B719" s="36" t="s">
        <v>951</v>
      </c>
      <c r="C719" s="31"/>
      <c r="D719" s="35"/>
      <c r="F719" s="31"/>
    </row>
    <row r="720" spans="1:6" s="25" customFormat="1" ht="16.2">
      <c r="A720" s="33" t="s">
        <v>1331</v>
      </c>
      <c r="B720" s="36" t="s">
        <v>1332</v>
      </c>
      <c r="C720" s="31"/>
      <c r="D720" s="31"/>
      <c r="F720" s="31"/>
    </row>
    <row r="721" spans="1:6" s="25" customFormat="1" ht="17.399999999999999">
      <c r="A721" s="33"/>
      <c r="B721" s="27" t="s">
        <v>1333</v>
      </c>
      <c r="C721" s="31"/>
      <c r="D721" s="31" t="str">
        <f>($D$687)</f>
        <v>vmax</v>
      </c>
      <c r="F721" s="31"/>
    </row>
    <row r="722" spans="1:6" s="25" customFormat="1">
      <c r="A722" s="33"/>
      <c r="B722" s="27" t="s">
        <v>1334</v>
      </c>
      <c r="C722" s="31"/>
      <c r="D722" s="31"/>
      <c r="F722" s="31"/>
    </row>
    <row r="723" spans="1:6" s="25" customFormat="1" ht="20.399999999999999">
      <c r="A723" s="33"/>
      <c r="B723" s="164" t="s">
        <v>1335</v>
      </c>
      <c r="C723" s="31"/>
      <c r="D723" s="31">
        <f>($D$715)</f>
        <v>0</v>
      </c>
      <c r="F723" s="31"/>
    </row>
    <row r="724" spans="1:6" s="25" customFormat="1" ht="40.799999999999997">
      <c r="A724" s="33"/>
      <c r="B724" s="164" t="s">
        <v>1336</v>
      </c>
      <c r="C724" s="31"/>
      <c r="D724" s="154" t="s">
        <v>1337</v>
      </c>
      <c r="F724" s="31"/>
    </row>
    <row r="725" spans="1:6" s="25" customFormat="1" ht="20.399999999999999">
      <c r="A725" s="33"/>
      <c r="B725" s="164" t="s">
        <v>1338</v>
      </c>
      <c r="C725" s="31"/>
      <c r="D725" s="154">
        <v>0</v>
      </c>
      <c r="E725" s="58" t="s">
        <v>1162</v>
      </c>
      <c r="F725" s="31"/>
    </row>
    <row r="726" spans="1:6" s="25" customFormat="1" ht="37.200000000000003">
      <c r="A726" s="33"/>
      <c r="B726" s="164" t="s">
        <v>1339</v>
      </c>
      <c r="C726" s="31"/>
      <c r="D726" s="31">
        <v>1</v>
      </c>
      <c r="F726" s="31"/>
    </row>
    <row r="727" spans="1:6" s="25" customFormat="1" ht="20.399999999999999">
      <c r="A727" s="33"/>
      <c r="B727" s="164" t="s">
        <v>1340</v>
      </c>
      <c r="C727" s="31"/>
      <c r="D727" s="31"/>
      <c r="F727" s="31"/>
    </row>
    <row r="728" spans="1:6" s="25" customFormat="1" ht="20.399999999999999">
      <c r="A728" s="33"/>
      <c r="B728" s="164" t="s">
        <v>1341</v>
      </c>
      <c r="C728" s="31"/>
      <c r="D728" s="31"/>
      <c r="F728" s="31"/>
    </row>
    <row r="729" spans="1:6" s="25" customFormat="1" ht="37.200000000000003">
      <c r="A729" s="33"/>
      <c r="B729" s="164" t="s">
        <v>1342</v>
      </c>
      <c r="C729" s="31"/>
      <c r="D729" s="31"/>
      <c r="F729" s="31"/>
    </row>
    <row r="730" spans="1:6" s="25" customFormat="1" ht="20.399999999999999">
      <c r="A730" s="33"/>
      <c r="B730" s="164" t="s">
        <v>1343</v>
      </c>
      <c r="C730" s="31"/>
      <c r="D730" s="31"/>
      <c r="F730" s="31"/>
    </row>
    <row r="731" spans="1:6" s="25" customFormat="1" ht="20.399999999999999">
      <c r="A731" s="33"/>
      <c r="B731" s="164" t="s">
        <v>1344</v>
      </c>
      <c r="C731" s="31"/>
      <c r="D731" s="31" t="e">
        <f>2*PI()*(($D$727)/(10^3))*(($D$723)/60)/((($D$721)*(10^3)/3600)*(($D$725)*(1)))</f>
        <v>#VALUE!</v>
      </c>
      <c r="F731" s="31"/>
    </row>
    <row r="732" spans="1:6" s="25" customFormat="1" ht="16.8">
      <c r="A732" s="33"/>
      <c r="B732" s="164" t="s">
        <v>1345</v>
      </c>
      <c r="C732" s="31"/>
      <c r="D732" s="31" t="str">
        <f>($D$439)</f>
        <v>xxxx</v>
      </c>
      <c r="F732" s="31"/>
    </row>
    <row r="733" spans="1:6" s="25" customFormat="1" ht="20.399999999999999">
      <c r="A733" s="33"/>
      <c r="B733" s="164" t="s">
        <v>1346</v>
      </c>
      <c r="C733" s="31"/>
      <c r="D733" s="152" t="s">
        <v>1109</v>
      </c>
      <c r="F733" s="31"/>
    </row>
    <row r="734" spans="1:6" s="25" customFormat="1" ht="20.399999999999999">
      <c r="A734" s="33"/>
      <c r="B734" s="164" t="s">
        <v>1347</v>
      </c>
      <c r="C734" s="31"/>
      <c r="D734" s="127" t="e">
        <f>($D$731)</f>
        <v>#VALUE!</v>
      </c>
      <c r="E734" s="58" t="s">
        <v>1162</v>
      </c>
      <c r="F734" s="31"/>
    </row>
    <row r="735" spans="1:6" s="25" customFormat="1" ht="37.200000000000003">
      <c r="A735" s="33"/>
      <c r="B735" s="164" t="s">
        <v>1348</v>
      </c>
      <c r="C735" s="31"/>
      <c r="D735" s="31"/>
      <c r="F735" s="31"/>
    </row>
    <row r="736" spans="1:6" s="25" customFormat="1" ht="37.200000000000003">
      <c r="A736" s="33"/>
      <c r="B736" s="164" t="s">
        <v>1349</v>
      </c>
      <c r="C736" s="31"/>
      <c r="D736" s="31" t="e">
        <f>($D$731)</f>
        <v>#VALUE!</v>
      </c>
      <c r="F736" s="31"/>
    </row>
    <row r="737" spans="1:6" s="25" customFormat="1" ht="37.200000000000003">
      <c r="A737" s="33"/>
      <c r="B737" s="164" t="s">
        <v>1350</v>
      </c>
      <c r="C737" s="31"/>
      <c r="D737" s="31" t="e">
        <f>($D$748)</f>
        <v>#VALUE!</v>
      </c>
      <c r="F737" s="31"/>
    </row>
    <row r="738" spans="1:6" s="25" customFormat="1" ht="16.2">
      <c r="A738" s="33" t="s">
        <v>1351</v>
      </c>
      <c r="B738" s="36" t="s">
        <v>1352</v>
      </c>
      <c r="C738" s="31"/>
      <c r="D738" s="31"/>
      <c r="F738" s="31"/>
    </row>
    <row r="739" spans="1:6" s="25" customFormat="1" ht="17.399999999999999">
      <c r="A739" s="33"/>
      <c r="B739" s="27" t="s">
        <v>1353</v>
      </c>
      <c r="C739" s="31"/>
      <c r="D739" s="31">
        <f>($D$498)</f>
        <v>0</v>
      </c>
      <c r="F739" s="31"/>
    </row>
    <row r="740" spans="1:6" s="25" customFormat="1">
      <c r="A740" s="33"/>
      <c r="B740" s="27" t="s">
        <v>1334</v>
      </c>
      <c r="C740" s="31"/>
      <c r="D740" s="31"/>
      <c r="F740" s="31"/>
    </row>
    <row r="741" spans="1:6" s="25" customFormat="1" ht="20.399999999999999">
      <c r="A741" s="33"/>
      <c r="B741" s="164" t="s">
        <v>1354</v>
      </c>
      <c r="C741" s="31"/>
      <c r="D741" s="31">
        <f>($D$565)</f>
        <v>0</v>
      </c>
      <c r="F741" s="31"/>
    </row>
    <row r="742" spans="1:6" s="25" customFormat="1" ht="40.799999999999997">
      <c r="A742" s="33"/>
      <c r="B742" s="164" t="s">
        <v>1355</v>
      </c>
      <c r="C742" s="31"/>
      <c r="D742" s="31"/>
      <c r="F742" s="31"/>
    </row>
    <row r="743" spans="1:6" s="25" customFormat="1" ht="40.799999999999997">
      <c r="A743" s="33"/>
      <c r="B743" s="164" t="s">
        <v>1356</v>
      </c>
      <c r="C743" s="31"/>
      <c r="D743" s="31"/>
      <c r="F743" s="31"/>
    </row>
    <row r="744" spans="1:6" s="25" customFormat="1" ht="20.399999999999999">
      <c r="A744" s="33"/>
      <c r="B744" s="164" t="s">
        <v>1340</v>
      </c>
      <c r="C744" s="31"/>
      <c r="D744" s="31">
        <f>($D$629)</f>
        <v>0</v>
      </c>
      <c r="F744" s="31"/>
    </row>
    <row r="745" spans="1:6" s="25" customFormat="1" ht="20.399999999999999">
      <c r="A745" s="33"/>
      <c r="B745" s="164" t="s">
        <v>1357</v>
      </c>
      <c r="C745" s="31"/>
      <c r="D745" s="31"/>
      <c r="F745" s="31"/>
    </row>
    <row r="746" spans="1:6" s="25" customFormat="1" ht="37.200000000000003">
      <c r="A746" s="33"/>
      <c r="B746" s="164" t="s">
        <v>1358</v>
      </c>
      <c r="C746" s="31"/>
      <c r="D746" s="31"/>
      <c r="F746" s="31"/>
    </row>
    <row r="747" spans="1:6" s="25" customFormat="1" ht="20.399999999999999">
      <c r="A747" s="33"/>
      <c r="B747" s="164" t="s">
        <v>1359</v>
      </c>
      <c r="C747" s="31"/>
      <c r="D747" s="31"/>
      <c r="F747" s="31"/>
    </row>
    <row r="748" spans="1:6" s="25" customFormat="1" ht="20.399999999999999">
      <c r="A748" s="33"/>
      <c r="B748" s="164" t="s">
        <v>1360</v>
      </c>
      <c r="C748" s="31"/>
      <c r="D748" s="31" t="e">
        <f>2*PI()*(($D$744)/(10^3))*(($D$741)/60)/((($D$739)*(10^3)/3600)*($D$731))</f>
        <v>#VALUE!</v>
      </c>
      <c r="F748" s="31"/>
    </row>
    <row r="749" spans="1:6" s="25" customFormat="1" ht="16.8">
      <c r="A749" s="33"/>
      <c r="B749" s="164" t="s">
        <v>1345</v>
      </c>
      <c r="C749" s="31"/>
      <c r="D749" s="31" t="str">
        <f>($D$439)</f>
        <v>xxxx</v>
      </c>
      <c r="F749" s="31"/>
    </row>
    <row r="750" spans="1:6" s="25" customFormat="1" ht="20.399999999999999">
      <c r="A750" s="33"/>
      <c r="B750" s="164" t="s">
        <v>1361</v>
      </c>
      <c r="C750" s="31"/>
      <c r="D750" s="152" t="s">
        <v>1109</v>
      </c>
      <c r="F750" s="31"/>
    </row>
    <row r="751" spans="1:6" s="25" customFormat="1" ht="20.399999999999999">
      <c r="A751" s="33"/>
      <c r="B751" s="164" t="s">
        <v>1362</v>
      </c>
      <c r="C751" s="31"/>
      <c r="D751" s="127" t="e">
        <f>($D$748)</f>
        <v>#VALUE!</v>
      </c>
      <c r="E751" s="58" t="s">
        <v>1162</v>
      </c>
      <c r="F751" s="31"/>
    </row>
    <row r="752" spans="1:6" s="25" customFormat="1" ht="57.6">
      <c r="A752" s="33"/>
      <c r="B752" s="164" t="s">
        <v>1363</v>
      </c>
      <c r="C752" s="31"/>
      <c r="D752" s="31"/>
      <c r="F752" s="31"/>
    </row>
    <row r="753" spans="1:6" s="25" customFormat="1" ht="37.200000000000003">
      <c r="A753" s="33"/>
      <c r="B753" s="164" t="s">
        <v>1364</v>
      </c>
      <c r="C753" s="31"/>
      <c r="D753" s="31" t="e">
        <f>($D$751)</f>
        <v>#VALUE!</v>
      </c>
      <c r="F753" s="31"/>
    </row>
    <row r="754" spans="1:6" s="32" customFormat="1" ht="14.4">
      <c r="A754" s="33" t="s">
        <v>1365</v>
      </c>
      <c r="B754" s="95" t="s">
        <v>1366</v>
      </c>
      <c r="C754" s="68"/>
      <c r="D754" s="68"/>
      <c r="E754" s="68"/>
    </row>
    <row r="755" spans="1:6" s="32" customFormat="1" ht="14.4">
      <c r="A755" s="33" t="s">
        <v>551</v>
      </c>
      <c r="B755" s="40" t="s">
        <v>1367</v>
      </c>
      <c r="C755" s="68"/>
      <c r="D755" s="68"/>
      <c r="E755" s="68"/>
    </row>
    <row r="756" spans="1:6">
      <c r="B756" s="40" t="s">
        <v>1368</v>
      </c>
      <c r="D756" s="151" t="s">
        <v>1369</v>
      </c>
      <c r="E756" s="34"/>
    </row>
    <row r="757" spans="1:6">
      <c r="B757" s="38" t="s">
        <v>1370</v>
      </c>
      <c r="D757" s="35"/>
      <c r="E757" s="34"/>
    </row>
    <row r="758" spans="1:6">
      <c r="B758" s="38" t="s">
        <v>1371</v>
      </c>
      <c r="D758" s="33" t="e">
        <f>(1/($D$725))</f>
        <v>#DIV/0!</v>
      </c>
      <c r="E758" s="58" t="s">
        <v>1110</v>
      </c>
    </row>
    <row r="759" spans="1:6">
      <c r="B759" s="38" t="s">
        <v>1372</v>
      </c>
      <c r="E759" s="34"/>
    </row>
    <row r="760" spans="1:6">
      <c r="B760" s="38" t="s">
        <v>1373</v>
      </c>
      <c r="E760" s="34"/>
    </row>
    <row r="761" spans="1:6" ht="16.2">
      <c r="B761" s="27" t="s">
        <v>1374</v>
      </c>
      <c r="E761" s="34"/>
    </row>
    <row r="762" spans="1:6">
      <c r="B762" s="27" t="s">
        <v>1375</v>
      </c>
      <c r="E762" s="34"/>
    </row>
    <row r="763" spans="1:6">
      <c r="B763" s="27" t="s">
        <v>1376</v>
      </c>
      <c r="D763" s="31" t="e">
        <f>($D$758)</f>
        <v>#DIV/0!</v>
      </c>
      <c r="E763" s="34"/>
    </row>
    <row r="764" spans="1:6" ht="16.2">
      <c r="B764" s="27" t="s">
        <v>1377</v>
      </c>
      <c r="D764" s="31" t="e">
        <f>($D$753)</f>
        <v>#VALUE!</v>
      </c>
      <c r="E764" s="34"/>
    </row>
    <row r="765" spans="1:6" ht="16.2">
      <c r="B765" s="27" t="s">
        <v>1378</v>
      </c>
      <c r="D765" s="31">
        <f>($D$725)</f>
        <v>0</v>
      </c>
      <c r="E765" s="34"/>
    </row>
    <row r="766" spans="1:6">
      <c r="B766" s="27" t="s">
        <v>1379</v>
      </c>
      <c r="D766" s="31" t="e">
        <f>(LOG((($D$764)/($D$765)),($D$758)))+1</f>
        <v>#VALUE!</v>
      </c>
      <c r="E766" s="34"/>
    </row>
    <row r="767" spans="1:6">
      <c r="B767" s="101" t="s">
        <v>1380</v>
      </c>
      <c r="D767" s="35"/>
      <c r="E767" s="34"/>
    </row>
    <row r="768" spans="1:6">
      <c r="B768" s="38" t="s">
        <v>1381</v>
      </c>
      <c r="E768" s="34"/>
    </row>
    <row r="769" spans="1:5" ht="16.2">
      <c r="B769" s="27" t="s">
        <v>1377</v>
      </c>
      <c r="D769" s="31" t="e">
        <f>($D$753)</f>
        <v>#VALUE!</v>
      </c>
      <c r="E769" s="34"/>
    </row>
    <row r="770" spans="1:5" ht="16.2">
      <c r="B770" s="27" t="s">
        <v>1378</v>
      </c>
      <c r="D770" s="31">
        <f>($D$725)</f>
        <v>0</v>
      </c>
      <c r="E770" s="34"/>
    </row>
    <row r="771" spans="1:5">
      <c r="B771" s="27" t="s">
        <v>1376</v>
      </c>
      <c r="D771" s="31" t="e">
        <f>($D$758)</f>
        <v>#DIV/0!</v>
      </c>
      <c r="E771" s="34"/>
    </row>
    <row r="772" spans="1:5">
      <c r="B772" s="27" t="s">
        <v>1382</v>
      </c>
      <c r="D772" s="31" t="e">
        <f>($D$766)</f>
        <v>#VALUE!</v>
      </c>
      <c r="E772" s="34"/>
    </row>
    <row r="773" spans="1:5">
      <c r="B773" s="38" t="s">
        <v>1383</v>
      </c>
      <c r="E773" s="34"/>
    </row>
    <row r="774" spans="1:5">
      <c r="B774" s="38" t="s">
        <v>1384</v>
      </c>
      <c r="E774" s="34"/>
    </row>
    <row r="775" spans="1:5" ht="17.399999999999999">
      <c r="B775" s="40" t="s">
        <v>1385</v>
      </c>
      <c r="D775" s="31" t="e">
        <f>($D$769)/($D$771)</f>
        <v>#VALUE!</v>
      </c>
      <c r="E775" s="34"/>
    </row>
    <row r="776" spans="1:5" ht="17.399999999999999">
      <c r="B776" s="40" t="s">
        <v>1386</v>
      </c>
      <c r="D776" s="31" t="e">
        <f>($D$775)/($D$771)</f>
        <v>#VALUE!</v>
      </c>
      <c r="E776" s="34"/>
    </row>
    <row r="777" spans="1:5" ht="17.399999999999999">
      <c r="B777" s="40" t="s">
        <v>1387</v>
      </c>
      <c r="D777" s="31" t="e">
        <f>($D$776)/($D$771)</f>
        <v>#VALUE!</v>
      </c>
      <c r="E777" s="34"/>
    </row>
    <row r="778" spans="1:5" ht="16.2">
      <c r="B778" s="40" t="s">
        <v>1388</v>
      </c>
      <c r="D778" s="31">
        <v>1</v>
      </c>
      <c r="E778" s="34"/>
    </row>
    <row r="779" spans="1:5" ht="17.399999999999999">
      <c r="B779" s="40" t="s">
        <v>1389</v>
      </c>
      <c r="C779" s="58"/>
      <c r="D779" s="31" t="e">
        <f>($D$778)/($D$771)</f>
        <v>#DIV/0!</v>
      </c>
      <c r="E779" s="34"/>
    </row>
    <row r="780" spans="1:5" s="32" customFormat="1" ht="14.4">
      <c r="A780" s="33" t="s">
        <v>553</v>
      </c>
      <c r="B780" s="40" t="s">
        <v>1367</v>
      </c>
      <c r="C780" s="68"/>
      <c r="D780" s="68"/>
      <c r="E780" s="68"/>
    </row>
    <row r="781" spans="1:5">
      <c r="B781" s="40" t="s">
        <v>1368</v>
      </c>
      <c r="D781" s="151" t="s">
        <v>1390</v>
      </c>
      <c r="E781" s="34"/>
    </row>
    <row r="782" spans="1:5">
      <c r="B782" s="38" t="s">
        <v>1391</v>
      </c>
      <c r="D782" s="33"/>
      <c r="E782" s="34"/>
    </row>
    <row r="783" spans="1:5">
      <c r="B783" s="133" t="s">
        <v>1392</v>
      </c>
      <c r="D783" s="31" t="e">
        <f>(1-($D$725))/($D$725)</f>
        <v>#DIV/0!</v>
      </c>
      <c r="E783" s="58" t="s">
        <v>1110</v>
      </c>
    </row>
    <row r="784" spans="1:5">
      <c r="B784" s="38" t="s">
        <v>1393</v>
      </c>
      <c r="E784" s="34"/>
    </row>
    <row r="785" spans="2:5">
      <c r="B785" s="38" t="s">
        <v>1394</v>
      </c>
      <c r="E785" s="34"/>
    </row>
    <row r="786" spans="2:5" ht="16.2">
      <c r="B786" s="40" t="s">
        <v>1395</v>
      </c>
      <c r="E786" s="34"/>
    </row>
    <row r="787" spans="2:5" ht="16.2">
      <c r="B787" s="40" t="s">
        <v>1396</v>
      </c>
      <c r="E787" s="34"/>
    </row>
    <row r="788" spans="2:5">
      <c r="B788" s="40" t="s">
        <v>1324</v>
      </c>
      <c r="E788" s="34"/>
    </row>
    <row r="789" spans="2:5">
      <c r="B789" s="38" t="s">
        <v>1397</v>
      </c>
      <c r="D789" s="31" t="e">
        <f>($D$783)</f>
        <v>#DIV/0!</v>
      </c>
      <c r="E789" s="34"/>
    </row>
    <row r="790" spans="2:5" ht="16.2">
      <c r="B790" s="27" t="s">
        <v>1377</v>
      </c>
      <c r="D790" s="31" t="e">
        <f>($D$753)</f>
        <v>#VALUE!</v>
      </c>
      <c r="E790" s="34"/>
    </row>
    <row r="791" spans="2:5" ht="16.2">
      <c r="B791" s="27" t="s">
        <v>1378</v>
      </c>
      <c r="D791" s="31">
        <f>($D$725)</f>
        <v>0</v>
      </c>
      <c r="E791" s="34"/>
    </row>
    <row r="792" spans="2:5">
      <c r="B792" s="27" t="s">
        <v>1379</v>
      </c>
      <c r="D792" s="31" t="e">
        <f>((($D$790)-1)/(($D$783)*($D$790)))+1</f>
        <v>#VALUE!</v>
      </c>
      <c r="E792" s="34"/>
    </row>
    <row r="793" spans="2:5">
      <c r="B793" s="101" t="s">
        <v>1380</v>
      </c>
      <c r="D793" s="35"/>
      <c r="E793" s="34"/>
    </row>
    <row r="794" spans="2:5">
      <c r="B794" s="38" t="s">
        <v>1381</v>
      </c>
      <c r="E794" s="34"/>
    </row>
    <row r="795" spans="2:5" ht="16.2">
      <c r="B795" s="27" t="s">
        <v>1377</v>
      </c>
      <c r="D795" s="31" t="e">
        <f>($D$790)</f>
        <v>#VALUE!</v>
      </c>
      <c r="E795" s="34"/>
    </row>
    <row r="796" spans="2:5" ht="16.2">
      <c r="B796" s="27" t="s">
        <v>1378</v>
      </c>
      <c r="D796" s="31">
        <f>($D$791)</f>
        <v>0</v>
      </c>
      <c r="E796" s="34"/>
    </row>
    <row r="797" spans="2:5">
      <c r="B797" s="38" t="s">
        <v>1397</v>
      </c>
      <c r="D797" s="31" t="e">
        <f>($D$783)</f>
        <v>#DIV/0!</v>
      </c>
      <c r="E797" s="34"/>
    </row>
    <row r="798" spans="2:5">
      <c r="B798" s="27" t="s">
        <v>1382</v>
      </c>
      <c r="D798" s="31" t="e">
        <f>($D$792)</f>
        <v>#VALUE!</v>
      </c>
      <c r="E798" s="34"/>
    </row>
    <row r="799" spans="2:5">
      <c r="B799" s="38" t="s">
        <v>1383</v>
      </c>
      <c r="E799" s="34"/>
    </row>
    <row r="800" spans="2:5">
      <c r="B800" s="38" t="s">
        <v>1384</v>
      </c>
      <c r="E800" s="34"/>
    </row>
    <row r="801" spans="1:7" ht="16.2">
      <c r="B801" s="40" t="s">
        <v>1398</v>
      </c>
      <c r="D801" s="31" t="e">
        <f>($D$795)/(1+($D$797)*($D$795))</f>
        <v>#VALUE!</v>
      </c>
      <c r="E801" s="34"/>
    </row>
    <row r="802" spans="1:7" ht="16.2">
      <c r="B802" s="40" t="s">
        <v>1399</v>
      </c>
      <c r="D802" s="31" t="e">
        <f>($D$795)/(1+2*($D$797)*($D$795))</f>
        <v>#VALUE!</v>
      </c>
      <c r="E802" s="34"/>
    </row>
    <row r="803" spans="1:7" ht="16.2">
      <c r="B803" s="40" t="s">
        <v>1400</v>
      </c>
      <c r="D803" s="31" t="e">
        <f>($D$795)/(1+3*($D$797)*($D$795))</f>
        <v>#VALUE!</v>
      </c>
      <c r="E803" s="34"/>
    </row>
    <row r="804" spans="1:7">
      <c r="A804" s="33" t="s">
        <v>1401</v>
      </c>
      <c r="B804" s="73" t="s">
        <v>1064</v>
      </c>
      <c r="E804" s="34"/>
    </row>
    <row r="805" spans="1:7" ht="16.2">
      <c r="B805" s="38" t="s">
        <v>1402</v>
      </c>
      <c r="E805" s="34"/>
    </row>
    <row r="806" spans="1:7" ht="16.2">
      <c r="B806" s="26" t="s">
        <v>1403</v>
      </c>
      <c r="C806" s="149"/>
      <c r="D806" s="165" t="s">
        <v>1109</v>
      </c>
      <c r="E806" s="34" t="s">
        <v>1404</v>
      </c>
    </row>
    <row r="807" spans="1:7" ht="16.2">
      <c r="B807" s="26" t="s">
        <v>1405</v>
      </c>
      <c r="C807" s="149"/>
      <c r="D807" s="31" t="e">
        <f>($D$795)</f>
        <v>#VALUE!</v>
      </c>
      <c r="E807" s="34"/>
    </row>
    <row r="808" spans="1:7" ht="16.2">
      <c r="B808" s="26" t="s">
        <v>1406</v>
      </c>
      <c r="C808" s="149"/>
      <c r="D808" s="150" t="e">
        <f>($D$806)*($D$807)</f>
        <v>#VALUE!</v>
      </c>
      <c r="E808" s="34"/>
    </row>
    <row r="809" spans="1:7">
      <c r="B809" s="26"/>
      <c r="C809" s="149"/>
      <c r="D809" s="150"/>
      <c r="E809" s="34"/>
    </row>
    <row r="810" spans="1:7">
      <c r="B810" s="26"/>
      <c r="C810" s="149"/>
      <c r="D810" s="150"/>
      <c r="E810" s="34"/>
    </row>
    <row r="811" spans="1:7">
      <c r="A811" s="33" t="s">
        <v>553</v>
      </c>
      <c r="B811" s="40" t="s">
        <v>1072</v>
      </c>
      <c r="C811" s="35"/>
      <c r="D811" s="35"/>
      <c r="E811" s="25"/>
      <c r="F811" s="25"/>
      <c r="G811" s="31"/>
    </row>
    <row r="812" spans="1:7" ht="27.6">
      <c r="A812" s="33" t="s">
        <v>905</v>
      </c>
      <c r="B812" s="40" t="s">
        <v>1407</v>
      </c>
      <c r="C812" s="35"/>
      <c r="D812" s="58" t="s">
        <v>1408</v>
      </c>
      <c r="E812" s="25"/>
      <c r="F812" s="25"/>
      <c r="G812" s="31"/>
    </row>
    <row r="813" spans="1:7">
      <c r="A813" s="33" t="s">
        <v>909</v>
      </c>
      <c r="B813" s="40" t="s">
        <v>1409</v>
      </c>
      <c r="C813" s="35"/>
      <c r="D813" s="35"/>
      <c r="E813" s="25"/>
      <c r="F813" s="25"/>
      <c r="G813" s="31"/>
    </row>
    <row r="814" spans="1:7">
      <c r="B814" s="27"/>
      <c r="E814" s="34"/>
    </row>
    <row r="821" spans="2:2">
      <c r="B821" s="94"/>
    </row>
    <row r="846" spans="2:2">
      <c r="B846" s="94"/>
    </row>
    <row r="868" spans="2:2">
      <c r="B868" s="94"/>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581"/>
  <sheetViews>
    <sheetView tabSelected="1" topLeftCell="C120" zoomScaleNormal="100" workbookViewId="0">
      <selection activeCell="D125" sqref="D125"/>
    </sheetView>
  </sheetViews>
  <sheetFormatPr defaultColWidth="8.8984375" defaultRowHeight="16.8"/>
  <cols>
    <col min="1" max="1" width="9.59765625" style="266" bestFit="1" customWidth="1"/>
    <col min="2" max="2" width="56.296875" style="264" customWidth="1"/>
    <col min="3" max="3" width="25" style="300" customWidth="1"/>
    <col min="4" max="4" width="34" style="290" customWidth="1"/>
    <col min="5" max="5" width="18.296875" style="296" customWidth="1"/>
    <col min="6" max="6" width="18.59765625" style="290" customWidth="1"/>
    <col min="7" max="7" width="11.3984375" style="290" customWidth="1"/>
    <col min="8" max="8" width="18.19921875" style="290" customWidth="1"/>
    <col min="9" max="9" width="10.3984375" style="290" bestFit="1" customWidth="1"/>
    <col min="10" max="16" width="8.8984375" style="290"/>
    <col min="17" max="17" width="14.796875" style="294" bestFit="1" customWidth="1"/>
    <col min="18" max="16384" width="8.8984375" style="290"/>
  </cols>
  <sheetData>
    <row r="2" spans="1:17" s="267" customFormat="1">
      <c r="A2" s="266" t="s">
        <v>1099</v>
      </c>
      <c r="B2" s="266" t="s">
        <v>1572</v>
      </c>
      <c r="C2" s="299"/>
      <c r="E2" s="273"/>
      <c r="Q2" s="344"/>
    </row>
    <row r="3" spans="1:17">
      <c r="A3" s="266" t="s">
        <v>551</v>
      </c>
      <c r="B3" s="264" t="s">
        <v>1570</v>
      </c>
      <c r="C3" s="300" t="s">
        <v>1564</v>
      </c>
      <c r="D3" s="294">
        <v>3</v>
      </c>
      <c r="F3" s="264"/>
      <c r="G3" s="264"/>
      <c r="H3" s="290" t="s">
        <v>7</v>
      </c>
    </row>
    <row r="4" spans="1:17" ht="20.399999999999999">
      <c r="A4" s="266" t="s">
        <v>553</v>
      </c>
      <c r="B4" s="264" t="s">
        <v>1569</v>
      </c>
      <c r="C4" s="300" t="s">
        <v>1591</v>
      </c>
      <c r="D4" s="294">
        <v>5000</v>
      </c>
      <c r="F4" s="264"/>
      <c r="G4" s="264"/>
      <c r="H4" s="290" t="s">
        <v>1565</v>
      </c>
    </row>
    <row r="5" spans="1:17">
      <c r="A5" s="266" t="s">
        <v>555</v>
      </c>
      <c r="B5" s="264" t="s">
        <v>1568</v>
      </c>
      <c r="F5" s="264"/>
      <c r="G5" s="264"/>
    </row>
    <row r="6" spans="1:17" ht="20.399999999999999">
      <c r="B6" s="264" t="s">
        <v>1566</v>
      </c>
      <c r="C6" s="300" t="s">
        <v>1592</v>
      </c>
      <c r="D6" s="294">
        <v>76</v>
      </c>
      <c r="F6" s="264"/>
      <c r="G6" s="264"/>
      <c r="H6" s="290" t="s">
        <v>80</v>
      </c>
    </row>
    <row r="7" spans="1:17" ht="20.399999999999999">
      <c r="B7" s="264" t="s">
        <v>1571</v>
      </c>
      <c r="D7" s="294" t="s">
        <v>2437</v>
      </c>
      <c r="F7" s="264"/>
      <c r="G7" s="264"/>
    </row>
    <row r="8" spans="1:17">
      <c r="A8" s="266" t="s">
        <v>1105</v>
      </c>
      <c r="B8" s="291" t="s">
        <v>1574</v>
      </c>
      <c r="C8" s="301"/>
    </row>
    <row r="9" spans="1:17">
      <c r="A9" s="322" t="s">
        <v>1575</v>
      </c>
      <c r="B9" s="268" t="s">
        <v>1576</v>
      </c>
      <c r="C9" s="301"/>
    </row>
    <row r="10" spans="1:17">
      <c r="B10" s="292" t="s">
        <v>1600</v>
      </c>
      <c r="C10" s="301"/>
    </row>
    <row r="11" spans="1:17">
      <c r="B11" s="295" t="s">
        <v>1599</v>
      </c>
      <c r="C11" s="301"/>
      <c r="D11" s="294" t="s">
        <v>2436</v>
      </c>
    </row>
    <row r="12" spans="1:17">
      <c r="A12" s="322" t="s">
        <v>1578</v>
      </c>
      <c r="B12" s="268" t="s">
        <v>1577</v>
      </c>
      <c r="C12" s="301"/>
      <c r="D12" s="294"/>
    </row>
    <row r="13" spans="1:17" ht="19.2">
      <c r="A13" s="266" t="s">
        <v>551</v>
      </c>
      <c r="B13" s="291" t="s">
        <v>1579</v>
      </c>
      <c r="C13" s="301"/>
      <c r="D13" s="294"/>
    </row>
    <row r="14" spans="1:17">
      <c r="B14" s="292" t="s">
        <v>1601</v>
      </c>
      <c r="C14" s="301"/>
      <c r="D14" s="296" t="str">
        <f>$D$11</f>
        <v>xe tải 5 tấn</v>
      </c>
    </row>
    <row r="15" spans="1:17" ht="37.200000000000003">
      <c r="B15" s="292" t="s">
        <v>1602</v>
      </c>
      <c r="C15" s="302" t="s">
        <v>1593</v>
      </c>
      <c r="D15" s="272" t="s">
        <v>2438</v>
      </c>
      <c r="E15" s="276"/>
      <c r="H15" s="290" t="s">
        <v>9</v>
      </c>
    </row>
    <row r="16" spans="1:17" ht="20.399999999999999">
      <c r="B16" s="292" t="s">
        <v>1609</v>
      </c>
      <c r="C16" s="302" t="s">
        <v>1594</v>
      </c>
      <c r="D16" s="272">
        <v>4300</v>
      </c>
      <c r="E16" s="276" t="s">
        <v>1991</v>
      </c>
      <c r="F16" s="290" t="str">
        <f>$D$15</f>
        <v>(1745 ÷ 6400)</v>
      </c>
      <c r="H16" s="290" t="s">
        <v>9</v>
      </c>
      <c r="I16" s="262">
        <v>-2.1</v>
      </c>
    </row>
    <row r="17" spans="1:17" ht="20.399999999999999">
      <c r="B17" s="264" t="s">
        <v>1603</v>
      </c>
      <c r="C17" s="302"/>
      <c r="D17" s="262"/>
      <c r="E17" s="276"/>
    </row>
    <row r="18" spans="1:17" ht="20.399999999999999">
      <c r="B18" s="292" t="s">
        <v>1573</v>
      </c>
      <c r="C18" s="302"/>
      <c r="I18" s="262">
        <v>-2.2000000000000002</v>
      </c>
    </row>
    <row r="19" spans="1:17">
      <c r="B19" s="292" t="s">
        <v>1580</v>
      </c>
      <c r="C19" s="301"/>
      <c r="D19" s="262"/>
      <c r="E19" s="276"/>
    </row>
    <row r="20" spans="1:17" ht="20.399999999999999">
      <c r="B20" s="292" t="s">
        <v>1581</v>
      </c>
      <c r="C20" s="301"/>
      <c r="D20" s="262"/>
      <c r="E20" s="276"/>
    </row>
    <row r="21" spans="1:17" ht="20.399999999999999">
      <c r="B21" s="292" t="s">
        <v>1582</v>
      </c>
      <c r="C21" s="301"/>
      <c r="D21" s="262"/>
      <c r="E21" s="276"/>
    </row>
    <row r="22" spans="1:17" ht="37.200000000000003">
      <c r="B22" s="292" t="s">
        <v>1680</v>
      </c>
      <c r="C22" s="302" t="s">
        <v>1595</v>
      </c>
      <c r="D22" s="272" t="s">
        <v>2439</v>
      </c>
      <c r="E22" s="276" t="s">
        <v>1589</v>
      </c>
      <c r="I22" s="262" t="s">
        <v>1584</v>
      </c>
    </row>
    <row r="23" spans="1:17" ht="20.399999999999999">
      <c r="B23" s="292" t="s">
        <v>1604</v>
      </c>
      <c r="C23" s="302" t="s">
        <v>1586</v>
      </c>
      <c r="D23" s="272">
        <v>2300</v>
      </c>
      <c r="E23" s="276"/>
      <c r="H23" s="290" t="s">
        <v>9</v>
      </c>
      <c r="I23" s="262" t="s">
        <v>1583</v>
      </c>
    </row>
    <row r="24" spans="1:17" ht="20.399999999999999">
      <c r="B24" s="292" t="s">
        <v>1606</v>
      </c>
      <c r="C24" s="301"/>
      <c r="D24" s="262"/>
      <c r="E24" s="276"/>
    </row>
    <row r="25" spans="1:17" ht="20.399999999999999">
      <c r="B25" s="292" t="s">
        <v>1585</v>
      </c>
      <c r="C25" s="302"/>
      <c r="F25" s="278"/>
      <c r="G25" s="278"/>
      <c r="H25" s="288"/>
      <c r="I25" s="262">
        <v>-2.5</v>
      </c>
    </row>
    <row r="26" spans="1:17" s="264" customFormat="1" ht="20.399999999999999">
      <c r="A26" s="266"/>
      <c r="B26" s="263" t="s">
        <v>1605</v>
      </c>
      <c r="C26" s="302" t="s">
        <v>1596</v>
      </c>
      <c r="D26" s="262">
        <f>($D$23/$D$16)*100</f>
        <v>53.488372093023251</v>
      </c>
      <c r="E26" s="276" t="s">
        <v>1611</v>
      </c>
      <c r="F26" s="276" t="str">
        <f>($D$22)</f>
        <v>(28 ÷ 74)</v>
      </c>
      <c r="G26" s="276" t="s">
        <v>1589</v>
      </c>
      <c r="H26" s="272"/>
      <c r="I26" s="290"/>
      <c r="Q26" s="345"/>
    </row>
    <row r="27" spans="1:17" s="264" customFormat="1">
      <c r="A27" s="266"/>
      <c r="B27" s="263" t="s">
        <v>1607</v>
      </c>
      <c r="C27" s="302"/>
      <c r="D27" s="262"/>
      <c r="E27" s="276"/>
      <c r="F27" s="276"/>
      <c r="G27" s="276"/>
      <c r="H27" s="272"/>
      <c r="I27" s="290"/>
      <c r="Q27" s="345"/>
    </row>
    <row r="28" spans="1:17" s="264" customFormat="1" ht="20.399999999999999">
      <c r="A28" s="266"/>
      <c r="B28" s="292" t="s">
        <v>1608</v>
      </c>
      <c r="C28" s="302"/>
      <c r="D28" s="262"/>
      <c r="E28" s="276"/>
      <c r="F28" s="276"/>
      <c r="G28" s="276"/>
      <c r="H28" s="272"/>
      <c r="I28" s="290">
        <v>2.6</v>
      </c>
      <c r="Q28" s="345"/>
    </row>
    <row r="29" spans="1:17" s="294" customFormat="1" ht="20.399999999999999">
      <c r="A29" s="321"/>
      <c r="B29" s="263" t="s">
        <v>1610</v>
      </c>
      <c r="C29" s="302" t="s">
        <v>1597</v>
      </c>
      <c r="D29" s="272">
        <f>$D$16-$D$23</f>
        <v>2000</v>
      </c>
      <c r="E29" s="276"/>
      <c r="F29" s="275"/>
      <c r="G29" s="275"/>
      <c r="H29" s="276" t="s">
        <v>9</v>
      </c>
      <c r="I29" s="296">
        <v>2.7</v>
      </c>
    </row>
    <row r="30" spans="1:17" ht="20.399999999999999">
      <c r="B30" s="292" t="s">
        <v>1612</v>
      </c>
      <c r="C30" s="302"/>
      <c r="D30" s="262"/>
      <c r="E30" s="276"/>
      <c r="F30" s="278"/>
      <c r="G30" s="278"/>
      <c r="H30" s="288"/>
    </row>
    <row r="31" spans="1:17" ht="20.399999999999999">
      <c r="B31" s="292" t="s">
        <v>1613</v>
      </c>
      <c r="C31" s="302"/>
      <c r="D31" s="262"/>
      <c r="E31" s="276"/>
      <c r="F31" s="278"/>
      <c r="G31" s="278"/>
      <c r="H31" s="288"/>
      <c r="I31" s="290">
        <v>2.8</v>
      </c>
    </row>
    <row r="32" spans="1:17" ht="20.399999999999999">
      <c r="B32" s="292" t="s">
        <v>1681</v>
      </c>
      <c r="C32" s="301" t="s">
        <v>1598</v>
      </c>
      <c r="D32" s="290">
        <f>(($D$29)/($D$16))*100</f>
        <v>46.511627906976742</v>
      </c>
      <c r="E32" s="276" t="s">
        <v>1617</v>
      </c>
      <c r="F32" s="275"/>
      <c r="G32" s="275"/>
      <c r="I32" s="290">
        <v>2.9</v>
      </c>
    </row>
    <row r="33" spans="2:9" ht="37.200000000000003">
      <c r="B33" s="292" t="s">
        <v>1676</v>
      </c>
      <c r="C33" s="302" t="s">
        <v>1588</v>
      </c>
      <c r="D33" s="272" t="s">
        <v>2440</v>
      </c>
      <c r="E33" s="276" t="s">
        <v>1589</v>
      </c>
      <c r="I33" s="262" t="s">
        <v>1615</v>
      </c>
    </row>
    <row r="34" spans="2:9" ht="20.399999999999999">
      <c r="B34" s="292" t="s">
        <v>1616</v>
      </c>
      <c r="C34" s="301" t="s">
        <v>1598</v>
      </c>
      <c r="D34" s="290">
        <f>$D$32</f>
        <v>46.511627906976742</v>
      </c>
      <c r="E34" s="276" t="s">
        <v>1614</v>
      </c>
      <c r="F34" s="297" t="str">
        <f>$D$33</f>
        <v>(27 ÷ 72)</v>
      </c>
      <c r="G34" s="297" t="s">
        <v>1589</v>
      </c>
    </row>
    <row r="35" spans="2:9">
      <c r="B35" s="271" t="s">
        <v>1618</v>
      </c>
    </row>
    <row r="36" spans="2:9" ht="19.2">
      <c r="B36" s="291" t="s">
        <v>1619</v>
      </c>
      <c r="C36" s="303"/>
      <c r="D36" s="262"/>
    </row>
    <row r="37" spans="2:9" ht="20.399999999999999">
      <c r="B37" s="292" t="s">
        <v>1620</v>
      </c>
      <c r="C37" s="303"/>
      <c r="D37" s="262"/>
    </row>
    <row r="38" spans="2:9" ht="20.399999999999999">
      <c r="B38" s="292" t="s">
        <v>1624</v>
      </c>
      <c r="C38" s="304"/>
      <c r="D38" s="262"/>
      <c r="I38" s="290">
        <v>2.11</v>
      </c>
    </row>
    <row r="39" spans="2:9">
      <c r="B39" s="292" t="s">
        <v>1621</v>
      </c>
      <c r="C39" s="303"/>
      <c r="D39" s="262"/>
    </row>
    <row r="40" spans="2:9" ht="37.200000000000003">
      <c r="B40" s="264" t="s">
        <v>1625</v>
      </c>
      <c r="C40" s="304"/>
      <c r="D40" s="262"/>
    </row>
    <row r="41" spans="2:9" ht="20.399999999999999">
      <c r="B41" s="292" t="s">
        <v>1626</v>
      </c>
      <c r="C41" s="304"/>
      <c r="D41" s="262"/>
    </row>
    <row r="42" spans="2:9">
      <c r="B42" s="291" t="s">
        <v>1622</v>
      </c>
      <c r="C42" s="303"/>
      <c r="D42" s="262"/>
    </row>
    <row r="43" spans="2:9" ht="37.200000000000003">
      <c r="B43" s="292" t="s">
        <v>1623</v>
      </c>
      <c r="C43" s="303"/>
      <c r="D43" s="262"/>
    </row>
    <row r="44" spans="2:9" ht="20.399999999999999">
      <c r="B44" s="292" t="s">
        <v>1627</v>
      </c>
      <c r="C44" s="303"/>
      <c r="D44" s="262"/>
      <c r="I44" s="290">
        <v>2.12</v>
      </c>
    </row>
    <row r="45" spans="2:9">
      <c r="B45" s="292" t="s">
        <v>1542</v>
      </c>
      <c r="C45" s="303"/>
      <c r="D45" s="262"/>
    </row>
    <row r="46" spans="2:9" ht="20.399999999999999">
      <c r="B46" s="292" t="s">
        <v>1628</v>
      </c>
      <c r="C46" s="304"/>
      <c r="D46" s="262"/>
    </row>
    <row r="47" spans="2:9" ht="20.399999999999999">
      <c r="B47" s="263" t="s">
        <v>1631</v>
      </c>
      <c r="C47" s="304" t="s">
        <v>1630</v>
      </c>
      <c r="D47" s="272" t="s">
        <v>2441</v>
      </c>
      <c r="H47" s="290" t="s">
        <v>9</v>
      </c>
      <c r="I47" s="290">
        <v>2.13</v>
      </c>
    </row>
    <row r="48" spans="2:9" ht="20.399999999999999">
      <c r="B48" s="292" t="s">
        <v>1609</v>
      </c>
      <c r="C48" s="304" t="s">
        <v>1632</v>
      </c>
      <c r="D48" s="262">
        <v>65</v>
      </c>
      <c r="E48" s="262" t="s">
        <v>1992</v>
      </c>
      <c r="F48" s="276" t="str">
        <f>$D$47</f>
        <v>(65 ÷ 75)</v>
      </c>
      <c r="H48" s="290" t="s">
        <v>9</v>
      </c>
      <c r="I48" s="290">
        <v>2.14</v>
      </c>
    </row>
    <row r="49" spans="2:9" ht="20.399999999999999">
      <c r="B49" s="292" t="s">
        <v>1629</v>
      </c>
      <c r="C49" s="304"/>
      <c r="D49" s="262"/>
      <c r="E49" s="262"/>
    </row>
    <row r="50" spans="2:9" ht="33.6">
      <c r="B50" s="292" t="s">
        <v>1634</v>
      </c>
      <c r="C50" s="304" t="s">
        <v>1633</v>
      </c>
      <c r="D50" s="272" t="s">
        <v>2444</v>
      </c>
      <c r="E50" s="262"/>
      <c r="H50" s="290" t="s">
        <v>9</v>
      </c>
      <c r="I50" s="290">
        <v>2.15</v>
      </c>
    </row>
    <row r="51" spans="2:9" ht="20.399999999999999">
      <c r="B51" s="292" t="s">
        <v>1609</v>
      </c>
      <c r="C51" s="304" t="s">
        <v>1635</v>
      </c>
      <c r="D51" s="272">
        <v>4</v>
      </c>
      <c r="E51" s="262" t="s">
        <v>1993</v>
      </c>
      <c r="F51" s="290" t="str">
        <f>$D$50</f>
        <v>(4 ÷ 5)</v>
      </c>
      <c r="H51" s="290" t="s">
        <v>9</v>
      </c>
      <c r="I51" s="290">
        <v>2.16</v>
      </c>
    </row>
    <row r="52" spans="2:9" ht="33.6">
      <c r="B52" s="292" t="s">
        <v>1640</v>
      </c>
      <c r="C52" s="302" t="s">
        <v>1564</v>
      </c>
      <c r="D52" s="262">
        <f>$D$3</f>
        <v>3</v>
      </c>
      <c r="H52" s="290" t="s">
        <v>7</v>
      </c>
    </row>
    <row r="53" spans="2:9" ht="20.399999999999999">
      <c r="B53" s="292" t="s">
        <v>1636</v>
      </c>
      <c r="C53" s="304" t="s">
        <v>1637</v>
      </c>
      <c r="D53" s="262">
        <f>(($D$48)+($D$51))*($D$52)</f>
        <v>207</v>
      </c>
      <c r="H53" s="290" t="s">
        <v>9</v>
      </c>
    </row>
    <row r="54" spans="2:9" ht="20.399999999999999">
      <c r="B54" s="292" t="s">
        <v>1639</v>
      </c>
      <c r="C54" s="304" t="s">
        <v>1567</v>
      </c>
      <c r="D54" s="262">
        <f>($D$4)</f>
        <v>5000</v>
      </c>
      <c r="H54" s="290" t="s">
        <v>9</v>
      </c>
    </row>
    <row r="55" spans="2:9" ht="20.399999999999999">
      <c r="B55" s="292" t="s">
        <v>1677</v>
      </c>
      <c r="C55" s="304" t="s">
        <v>1638</v>
      </c>
      <c r="D55" s="262">
        <f>($D$53)+($D$54)</f>
        <v>5207</v>
      </c>
      <c r="H55" s="290" t="s">
        <v>9</v>
      </c>
      <c r="I55" s="290">
        <v>2.17</v>
      </c>
    </row>
    <row r="56" spans="2:9">
      <c r="B56" s="291" t="s">
        <v>1641</v>
      </c>
      <c r="C56" s="303"/>
      <c r="D56" s="262"/>
    </row>
    <row r="57" spans="2:9" ht="20.399999999999999">
      <c r="B57" s="292" t="s">
        <v>1642</v>
      </c>
      <c r="C57" s="303"/>
      <c r="D57" s="262"/>
    </row>
    <row r="58" spans="2:9" ht="20.399999999999999">
      <c r="B58" s="292" t="s">
        <v>1643</v>
      </c>
      <c r="C58" s="304"/>
      <c r="D58" s="262"/>
      <c r="I58" s="290">
        <v>2.1800000000000002</v>
      </c>
    </row>
    <row r="59" spans="2:9">
      <c r="B59" s="292" t="s">
        <v>1621</v>
      </c>
      <c r="C59" s="303"/>
      <c r="D59" s="262"/>
    </row>
    <row r="60" spans="2:9" ht="20.399999999999999">
      <c r="B60" s="292" t="s">
        <v>1650</v>
      </c>
      <c r="C60" s="304" t="s">
        <v>1649</v>
      </c>
      <c r="D60" s="262">
        <f>$D$16</f>
        <v>4300</v>
      </c>
      <c r="H60" s="290" t="s">
        <v>9</v>
      </c>
    </row>
    <row r="61" spans="2:9" ht="20.399999999999999">
      <c r="B61" s="292" t="s">
        <v>1651</v>
      </c>
      <c r="C61" s="304" t="s">
        <v>1652</v>
      </c>
      <c r="D61" s="262">
        <f>$D$55</f>
        <v>5207</v>
      </c>
      <c r="H61" s="290" t="s">
        <v>9</v>
      </c>
    </row>
    <row r="62" spans="2:9" ht="20.399999999999999">
      <c r="B62" s="263" t="s">
        <v>1653</v>
      </c>
      <c r="C62" s="304" t="s">
        <v>1654</v>
      </c>
      <c r="D62" s="262">
        <f>$D$60+$D$61</f>
        <v>9507</v>
      </c>
      <c r="H62" s="290" t="s">
        <v>9</v>
      </c>
      <c r="I62" s="290">
        <v>2.19</v>
      </c>
    </row>
    <row r="63" spans="2:9" ht="33.6">
      <c r="B63" s="292" t="s">
        <v>1644</v>
      </c>
      <c r="C63" s="303"/>
      <c r="D63" s="262"/>
    </row>
    <row r="64" spans="2:9" ht="20.399999999999999">
      <c r="B64" s="292" t="s">
        <v>1645</v>
      </c>
      <c r="C64" s="304"/>
      <c r="D64" s="262"/>
      <c r="I64" s="290" t="s">
        <v>1655</v>
      </c>
    </row>
    <row r="65" spans="1:17">
      <c r="B65" s="292" t="s">
        <v>1580</v>
      </c>
      <c r="C65" s="303"/>
      <c r="D65" s="262"/>
    </row>
    <row r="66" spans="1:17" ht="20.399999999999999">
      <c r="B66" s="263" t="s">
        <v>1646</v>
      </c>
      <c r="C66" s="303"/>
      <c r="D66" s="262"/>
    </row>
    <row r="67" spans="1:17" ht="20.399999999999999">
      <c r="B67" s="292" t="s">
        <v>1647</v>
      </c>
      <c r="C67" s="303"/>
      <c r="D67" s="262"/>
    </row>
    <row r="68" spans="1:17" ht="37.200000000000003">
      <c r="B68" s="292" t="s">
        <v>1678</v>
      </c>
      <c r="C68" s="302" t="s">
        <v>1656</v>
      </c>
      <c r="D68" s="272" t="s">
        <v>2442</v>
      </c>
      <c r="E68" s="276" t="s">
        <v>1657</v>
      </c>
      <c r="I68" s="262">
        <v>2.21</v>
      </c>
    </row>
    <row r="69" spans="1:17" ht="20.399999999999999">
      <c r="B69" s="292" t="s">
        <v>1679</v>
      </c>
      <c r="C69" s="302" t="s">
        <v>1658</v>
      </c>
      <c r="D69" s="272">
        <v>3200</v>
      </c>
      <c r="E69" s="276"/>
      <c r="H69" s="290" t="s">
        <v>9</v>
      </c>
      <c r="I69" s="262">
        <v>2.2200000000000002</v>
      </c>
    </row>
    <row r="70" spans="1:17" ht="20.399999999999999">
      <c r="B70" s="263" t="s">
        <v>1682</v>
      </c>
      <c r="C70" s="301"/>
      <c r="D70" s="262"/>
      <c r="E70" s="276"/>
    </row>
    <row r="71" spans="1:17" ht="20.399999999999999">
      <c r="B71" s="292" t="s">
        <v>1648</v>
      </c>
      <c r="C71" s="302"/>
      <c r="F71" s="278"/>
      <c r="G71" s="278"/>
      <c r="H71" s="288"/>
      <c r="I71" s="262">
        <v>2.23</v>
      </c>
    </row>
    <row r="72" spans="1:17" s="264" customFormat="1" ht="20.399999999999999">
      <c r="A72" s="266"/>
      <c r="B72" s="263" t="s">
        <v>1659</v>
      </c>
      <c r="C72" s="302" t="s">
        <v>1660</v>
      </c>
      <c r="D72" s="262">
        <f>($D$69/$D$62)*100</f>
        <v>33.659408856631956</v>
      </c>
      <c r="E72" s="276" t="s">
        <v>1672</v>
      </c>
      <c r="F72" s="276"/>
      <c r="G72" s="276"/>
      <c r="H72" s="272"/>
      <c r="I72" s="290">
        <v>2.2400000000000002</v>
      </c>
      <c r="Q72" s="345"/>
    </row>
    <row r="73" spans="1:17" s="264" customFormat="1" ht="20.399999999999999">
      <c r="A73" s="266"/>
      <c r="B73" s="292" t="s">
        <v>1683</v>
      </c>
      <c r="C73" s="302" t="s">
        <v>1660</v>
      </c>
      <c r="D73" s="262">
        <f>($D$69/$D$62)*100</f>
        <v>33.659408856631956</v>
      </c>
      <c r="E73" s="276" t="s">
        <v>1661</v>
      </c>
      <c r="F73" s="296" t="str">
        <f>($D$68)</f>
        <v>(21 ÷ 48)</v>
      </c>
      <c r="G73" s="276" t="s">
        <v>1657</v>
      </c>
      <c r="H73" s="272"/>
      <c r="I73" s="290"/>
      <c r="Q73" s="345"/>
    </row>
    <row r="74" spans="1:17" s="264" customFormat="1">
      <c r="A74" s="266"/>
      <c r="B74" s="271" t="s">
        <v>1684</v>
      </c>
      <c r="C74" s="302"/>
      <c r="D74" s="262"/>
      <c r="E74" s="276"/>
      <c r="F74" s="276"/>
      <c r="G74" s="276"/>
      <c r="H74" s="272"/>
      <c r="I74" s="290"/>
      <c r="Q74" s="345"/>
    </row>
    <row r="75" spans="1:17" s="264" customFormat="1">
      <c r="A75" s="266"/>
      <c r="B75" s="263" t="s">
        <v>1662</v>
      </c>
      <c r="C75" s="302"/>
      <c r="D75" s="262"/>
      <c r="E75" s="276"/>
      <c r="F75" s="276"/>
      <c r="G75" s="276"/>
      <c r="H75" s="272"/>
      <c r="I75" s="290"/>
      <c r="Q75" s="345"/>
    </row>
    <row r="76" spans="1:17" s="264" customFormat="1" ht="20.399999999999999">
      <c r="A76" s="266"/>
      <c r="B76" s="292" t="s">
        <v>1663</v>
      </c>
      <c r="C76" s="302"/>
      <c r="D76" s="262"/>
      <c r="E76" s="276"/>
      <c r="F76" s="276"/>
      <c r="G76" s="276"/>
      <c r="H76" s="272"/>
      <c r="I76" s="290">
        <v>2.25</v>
      </c>
      <c r="Q76" s="345"/>
    </row>
    <row r="77" spans="1:17" s="294" customFormat="1" ht="20.399999999999999">
      <c r="A77" s="321"/>
      <c r="B77" s="263" t="s">
        <v>1664</v>
      </c>
      <c r="C77" s="302" t="s">
        <v>1665</v>
      </c>
      <c r="D77" s="272">
        <f>$D$62-$D$69</f>
        <v>6307</v>
      </c>
      <c r="E77" s="276"/>
      <c r="F77" s="275"/>
      <c r="G77" s="275"/>
      <c r="H77" s="276" t="s">
        <v>9</v>
      </c>
      <c r="I77" s="296">
        <v>2.2599999999999998</v>
      </c>
    </row>
    <row r="78" spans="1:17" ht="20.399999999999999">
      <c r="B78" s="292" t="s">
        <v>1666</v>
      </c>
      <c r="C78" s="302"/>
      <c r="D78" s="262"/>
      <c r="E78" s="276"/>
      <c r="F78" s="278"/>
      <c r="G78" s="278"/>
      <c r="H78" s="288"/>
    </row>
    <row r="79" spans="1:17" ht="20.399999999999999">
      <c r="B79" s="292" t="s">
        <v>1667</v>
      </c>
      <c r="C79" s="302"/>
      <c r="D79" s="262"/>
      <c r="E79" s="276"/>
      <c r="F79" s="278"/>
      <c r="G79" s="278"/>
      <c r="H79" s="288"/>
      <c r="I79" s="290">
        <v>2.27</v>
      </c>
    </row>
    <row r="80" spans="1:17" ht="20.399999999999999">
      <c r="B80" s="292" t="s">
        <v>1668</v>
      </c>
      <c r="C80" s="301" t="s">
        <v>1669</v>
      </c>
      <c r="D80" s="290">
        <f>(($D$77)/($D$62))*100</f>
        <v>66.340591143368044</v>
      </c>
      <c r="E80" s="276" t="s">
        <v>1672</v>
      </c>
      <c r="F80" s="275"/>
      <c r="G80" s="275"/>
      <c r="I80" s="290">
        <v>2.2799999999999998</v>
      </c>
    </row>
    <row r="81" spans="1:9" ht="37.200000000000003">
      <c r="B81" s="292" t="s">
        <v>1670</v>
      </c>
      <c r="C81" s="302" t="s">
        <v>1671</v>
      </c>
      <c r="D81" s="272" t="s">
        <v>2443</v>
      </c>
      <c r="E81" s="276" t="s">
        <v>1657</v>
      </c>
      <c r="I81" s="262">
        <v>2.29</v>
      </c>
    </row>
    <row r="82" spans="1:9" ht="20.399999999999999">
      <c r="B82" s="292" t="s">
        <v>1673</v>
      </c>
      <c r="C82" s="301" t="s">
        <v>1669</v>
      </c>
      <c r="D82" s="290">
        <f>$D$32</f>
        <v>46.511627906976742</v>
      </c>
      <c r="E82" s="276" t="s">
        <v>1675</v>
      </c>
      <c r="F82" s="296" t="str">
        <f>$D$33</f>
        <v>(27 ÷ 72)</v>
      </c>
      <c r="G82" s="297" t="s">
        <v>1657</v>
      </c>
    </row>
    <row r="83" spans="1:9">
      <c r="B83" s="271" t="s">
        <v>1674</v>
      </c>
    </row>
    <row r="84" spans="1:9">
      <c r="A84" s="322" t="s">
        <v>1692</v>
      </c>
      <c r="B84" s="268" t="s">
        <v>1685</v>
      </c>
      <c r="C84" s="303"/>
      <c r="D84" s="262"/>
    </row>
    <row r="85" spans="1:9">
      <c r="A85" s="266" t="s">
        <v>551</v>
      </c>
      <c r="B85" s="292" t="s">
        <v>1711</v>
      </c>
      <c r="C85" s="303"/>
      <c r="D85" s="262"/>
    </row>
    <row r="86" spans="1:9">
      <c r="B86" s="295" t="s">
        <v>1601</v>
      </c>
      <c r="C86" s="303"/>
      <c r="D86" s="262" t="str">
        <f>$D$14</f>
        <v>xe tải 5 tấn</v>
      </c>
    </row>
    <row r="87" spans="1:9">
      <c r="B87" s="292" t="s">
        <v>1698</v>
      </c>
      <c r="C87" s="303"/>
      <c r="D87" s="262" t="str">
        <f>$D$7</f>
        <v>nhựa, bê tông khô sạch</v>
      </c>
    </row>
    <row r="88" spans="1:9" ht="20.399999999999999">
      <c r="B88" s="292" t="s">
        <v>1699</v>
      </c>
      <c r="C88" s="304" t="s">
        <v>1700</v>
      </c>
      <c r="D88" s="272" t="s">
        <v>2444</v>
      </c>
      <c r="H88" s="276" t="s">
        <v>80</v>
      </c>
      <c r="I88" s="290" t="s">
        <v>1701</v>
      </c>
    </row>
    <row r="89" spans="1:9" ht="20.399999999999999">
      <c r="B89" s="292" t="s">
        <v>1609</v>
      </c>
      <c r="C89" s="302" t="s">
        <v>1702</v>
      </c>
      <c r="D89" s="272">
        <v>4</v>
      </c>
      <c r="E89" s="262" t="s">
        <v>1994</v>
      </c>
      <c r="F89" s="290" t="str">
        <f>$D$88</f>
        <v>(4 ÷ 5)</v>
      </c>
      <c r="H89" s="276"/>
      <c r="I89" s="290">
        <v>2.31</v>
      </c>
    </row>
    <row r="90" spans="1:9">
      <c r="A90" s="266" t="s">
        <v>553</v>
      </c>
      <c r="B90" s="292" t="s">
        <v>1710</v>
      </c>
      <c r="C90" s="304"/>
      <c r="D90" s="262"/>
      <c r="E90" s="276"/>
      <c r="H90" s="276"/>
    </row>
    <row r="91" spans="1:9">
      <c r="B91" s="292" t="s">
        <v>1703</v>
      </c>
      <c r="C91" s="304"/>
      <c r="D91" s="262" t="str">
        <f>$D$87</f>
        <v>nhựa, bê tông khô sạch</v>
      </c>
      <c r="E91" s="288"/>
      <c r="H91" s="276"/>
    </row>
    <row r="92" spans="1:9" ht="20.399999999999999">
      <c r="B92" s="292" t="s">
        <v>1704</v>
      </c>
      <c r="C92" s="304" t="s">
        <v>1705</v>
      </c>
      <c r="D92" s="262">
        <f>$D$6</f>
        <v>76</v>
      </c>
      <c r="E92" s="288"/>
      <c r="H92" s="276" t="s">
        <v>80</v>
      </c>
      <c r="I92" s="290">
        <v>2.3199999999999998</v>
      </c>
    </row>
    <row r="93" spans="1:9">
      <c r="A93" s="266" t="s">
        <v>555</v>
      </c>
      <c r="B93" s="292" t="s">
        <v>1712</v>
      </c>
      <c r="C93" s="304"/>
      <c r="D93" s="262"/>
      <c r="E93" s="288"/>
    </row>
    <row r="94" spans="1:9" ht="50.4">
      <c r="B94" s="292" t="s">
        <v>1706</v>
      </c>
      <c r="C94" s="304" t="s">
        <v>1695</v>
      </c>
      <c r="D94" s="272" t="s">
        <v>688</v>
      </c>
      <c r="E94" s="288"/>
      <c r="I94" s="290">
        <v>2.33</v>
      </c>
    </row>
    <row r="95" spans="1:9">
      <c r="B95" s="292" t="s">
        <v>1686</v>
      </c>
      <c r="C95" s="304"/>
      <c r="D95" s="262"/>
      <c r="E95" s="288"/>
    </row>
    <row r="96" spans="1:9">
      <c r="B96" s="292" t="s">
        <v>1609</v>
      </c>
      <c r="C96" s="302" t="s">
        <v>1707</v>
      </c>
      <c r="D96" s="272">
        <v>0.01</v>
      </c>
      <c r="E96" s="262" t="s">
        <v>1995</v>
      </c>
      <c r="F96" s="290" t="str">
        <f>$D$94</f>
        <v>(0.005 ÷ 0.015)</v>
      </c>
      <c r="I96" s="290">
        <v>2.34</v>
      </c>
    </row>
    <row r="97" spans="1:9">
      <c r="A97" s="266" t="s">
        <v>1138</v>
      </c>
      <c r="B97" s="292" t="s">
        <v>1708</v>
      </c>
      <c r="C97" s="304"/>
      <c r="D97" s="262"/>
      <c r="E97" s="288"/>
    </row>
    <row r="98" spans="1:9" ht="33.6">
      <c r="A98" s="266" t="s">
        <v>1693</v>
      </c>
      <c r="B98" s="292" t="s">
        <v>2002</v>
      </c>
      <c r="C98" s="304"/>
      <c r="D98" s="316"/>
      <c r="E98" s="288"/>
    </row>
    <row r="99" spans="1:9" ht="40.799999999999997">
      <c r="B99" s="292" t="s">
        <v>2003</v>
      </c>
      <c r="C99" s="304"/>
      <c r="D99" s="262"/>
      <c r="E99" s="288"/>
    </row>
    <row r="100" spans="1:9" ht="20.399999999999999">
      <c r="B100" s="292" t="s">
        <v>1687</v>
      </c>
      <c r="C100" s="304"/>
      <c r="D100" s="262"/>
      <c r="E100" s="288"/>
      <c r="I100" s="290">
        <v>2.35</v>
      </c>
    </row>
    <row r="101" spans="1:9" ht="20.399999999999999">
      <c r="B101" s="292" t="s">
        <v>1688</v>
      </c>
      <c r="C101" s="304"/>
      <c r="D101" s="262"/>
      <c r="E101" s="288"/>
    </row>
    <row r="102" spans="1:9" ht="20.399999999999999">
      <c r="B102" s="292" t="s">
        <v>1715</v>
      </c>
      <c r="C102" s="304"/>
      <c r="D102" s="262"/>
      <c r="E102" s="288"/>
    </row>
    <row r="103" spans="1:9" ht="20.399999999999999">
      <c r="B103" s="292" t="s">
        <v>1689</v>
      </c>
      <c r="C103" s="304"/>
      <c r="D103" s="262"/>
      <c r="E103" s="288"/>
      <c r="I103" s="290">
        <v>2.36</v>
      </c>
    </row>
    <row r="104" spans="1:9" ht="20.399999999999999">
      <c r="A104" s="321"/>
      <c r="B104" s="295" t="s">
        <v>2001</v>
      </c>
      <c r="C104" s="305" t="s">
        <v>1696</v>
      </c>
      <c r="D104" s="262">
        <f>(32+($D$92)*(10^3)/3600)/2800</f>
        <v>1.8968253968253971E-2</v>
      </c>
      <c r="E104" s="262"/>
      <c r="I104" s="290">
        <v>2.37</v>
      </c>
    </row>
    <row r="105" spans="1:9">
      <c r="A105" s="266" t="s">
        <v>1694</v>
      </c>
      <c r="B105" s="292" t="s">
        <v>1723</v>
      </c>
      <c r="C105" s="304"/>
      <c r="D105" s="262"/>
      <c r="E105" s="288"/>
    </row>
    <row r="106" spans="1:9">
      <c r="B106" s="295" t="s">
        <v>2004</v>
      </c>
      <c r="C106" s="304"/>
      <c r="D106" s="262" t="str">
        <f>$D$87</f>
        <v>nhựa, bê tông khô sạch</v>
      </c>
      <c r="E106" s="288"/>
    </row>
    <row r="107" spans="1:9">
      <c r="B107" s="292" t="s">
        <v>1728</v>
      </c>
      <c r="C107" s="304" t="s">
        <v>1725</v>
      </c>
      <c r="D107" s="272" t="s">
        <v>2445</v>
      </c>
      <c r="E107" s="288"/>
      <c r="I107" s="290" t="s">
        <v>1729</v>
      </c>
    </row>
    <row r="108" spans="1:9">
      <c r="B108" s="292" t="s">
        <v>1726</v>
      </c>
      <c r="C108" s="302" t="s">
        <v>1727</v>
      </c>
      <c r="D108" s="294">
        <v>0.7</v>
      </c>
      <c r="E108" s="276" t="s">
        <v>1987</v>
      </c>
      <c r="F108" s="290" t="str">
        <f>$D$107</f>
        <v>(0.7 ÷ 0.8)</v>
      </c>
      <c r="I108" s="290">
        <v>2.41</v>
      </c>
    </row>
    <row r="109" spans="1:9">
      <c r="A109" s="322" t="s">
        <v>1737</v>
      </c>
      <c r="B109" s="268" t="s">
        <v>1739</v>
      </c>
      <c r="C109" s="303"/>
    </row>
    <row r="110" spans="1:9" ht="50.4">
      <c r="B110" s="292" t="s">
        <v>1730</v>
      </c>
      <c r="C110" s="303"/>
    </row>
    <row r="111" spans="1:9" ht="19.2">
      <c r="B111" s="292" t="s">
        <v>1731</v>
      </c>
      <c r="C111" s="304"/>
      <c r="I111" s="290">
        <v>2.42</v>
      </c>
    </row>
    <row r="112" spans="1:9">
      <c r="B112" s="292" t="s">
        <v>2005</v>
      </c>
      <c r="C112" s="303"/>
    </row>
    <row r="113" spans="2:9" ht="19.2">
      <c r="B113" s="292" t="s">
        <v>1732</v>
      </c>
      <c r="C113" s="301"/>
    </row>
    <row r="114" spans="2:9" ht="19.2">
      <c r="B114" s="292" t="s">
        <v>1734</v>
      </c>
      <c r="C114" s="303"/>
    </row>
    <row r="115" spans="2:9">
      <c r="B115" s="292" t="s">
        <v>2012</v>
      </c>
      <c r="C115" s="303"/>
      <c r="D115" s="290" t="str">
        <f>$D$11</f>
        <v>xe tải 5 tấn</v>
      </c>
    </row>
    <row r="116" spans="2:9">
      <c r="B116" s="292" t="s">
        <v>2014</v>
      </c>
      <c r="C116" s="303"/>
      <c r="D116" s="262"/>
    </row>
    <row r="117" spans="2:9">
      <c r="B117" s="292" t="s">
        <v>2007</v>
      </c>
      <c r="C117" s="304" t="s">
        <v>1740</v>
      </c>
      <c r="D117" s="262" t="s">
        <v>2446</v>
      </c>
      <c r="I117" s="262">
        <v>2.4300000000000002</v>
      </c>
    </row>
    <row r="118" spans="2:9" ht="20.399999999999999">
      <c r="B118" s="292" t="s">
        <v>1748</v>
      </c>
      <c r="C118" s="304" t="s">
        <v>2008</v>
      </c>
      <c r="D118" s="262" t="s">
        <v>2447</v>
      </c>
      <c r="I118" s="262">
        <v>2.44</v>
      </c>
    </row>
    <row r="119" spans="2:9" ht="20.399999999999999">
      <c r="B119" s="292" t="s">
        <v>1750</v>
      </c>
      <c r="C119" s="304" t="s">
        <v>2009</v>
      </c>
      <c r="D119" s="262" t="s">
        <v>2448</v>
      </c>
      <c r="I119" s="262">
        <v>2.4500000000000002</v>
      </c>
    </row>
    <row r="120" spans="2:9">
      <c r="B120" s="292" t="s">
        <v>2013</v>
      </c>
      <c r="C120" s="303"/>
      <c r="I120" s="288"/>
    </row>
    <row r="121" spans="2:9" ht="20.399999999999999">
      <c r="B121" s="290"/>
      <c r="C121" s="304" t="s">
        <v>2010</v>
      </c>
      <c r="D121" s="294">
        <v>2100</v>
      </c>
      <c r="H121" s="290" t="s">
        <v>106</v>
      </c>
      <c r="I121" s="262">
        <v>2.46</v>
      </c>
    </row>
    <row r="122" spans="2:9">
      <c r="B122" s="290"/>
      <c r="C122" s="304" t="s">
        <v>1747</v>
      </c>
      <c r="D122" s="294">
        <v>1600</v>
      </c>
      <c r="I122" s="262">
        <v>2.4700000000000002</v>
      </c>
    </row>
    <row r="123" spans="2:9" ht="20.399999999999999">
      <c r="B123" s="290"/>
      <c r="C123" s="304" t="s">
        <v>2011</v>
      </c>
      <c r="D123" s="294">
        <v>2500</v>
      </c>
      <c r="H123" s="290" t="s">
        <v>106</v>
      </c>
      <c r="I123" s="262">
        <v>2.48</v>
      </c>
    </row>
    <row r="124" spans="2:9">
      <c r="B124" s="289" t="s">
        <v>2015</v>
      </c>
      <c r="C124" s="303"/>
      <c r="I124" s="288"/>
    </row>
    <row r="125" spans="2:9" ht="19.2">
      <c r="B125" s="289" t="s">
        <v>2016</v>
      </c>
      <c r="C125" s="304" t="s">
        <v>1741</v>
      </c>
      <c r="D125" s="218" t="s">
        <v>2450</v>
      </c>
      <c r="H125" s="262" t="s">
        <v>1746</v>
      </c>
      <c r="I125" s="288"/>
    </row>
    <row r="126" spans="2:9" ht="19.2">
      <c r="B126" s="292" t="s">
        <v>2017</v>
      </c>
      <c r="C126" s="304" t="s">
        <v>2021</v>
      </c>
      <c r="D126" s="272" t="s">
        <v>2451</v>
      </c>
      <c r="H126" s="262" t="s">
        <v>2025</v>
      </c>
      <c r="I126" s="288"/>
    </row>
    <row r="127" spans="2:9" ht="19.2">
      <c r="B127" s="292" t="s">
        <v>2018</v>
      </c>
      <c r="C127" s="304" t="s">
        <v>2022</v>
      </c>
      <c r="D127" s="272" t="s">
        <v>2449</v>
      </c>
      <c r="H127" s="262" t="s">
        <v>1743</v>
      </c>
      <c r="I127" s="288"/>
    </row>
    <row r="128" spans="2:9">
      <c r="B128" s="289" t="s">
        <v>2019</v>
      </c>
      <c r="C128" s="324"/>
      <c r="I128" s="288"/>
    </row>
    <row r="129" spans="1:17" ht="19.2">
      <c r="B129" s="289" t="s">
        <v>2044</v>
      </c>
      <c r="C129" s="325" t="s">
        <v>2024</v>
      </c>
      <c r="D129" s="320">
        <v>0.6</v>
      </c>
      <c r="E129" s="262" t="s">
        <v>2026</v>
      </c>
      <c r="F129" s="290" t="str">
        <f>$D$126</f>
        <v>(0.60 ÷ 0.70)</v>
      </c>
      <c r="H129" s="262" t="s">
        <v>2025</v>
      </c>
      <c r="I129" s="262">
        <v>2.52</v>
      </c>
    </row>
    <row r="130" spans="1:17">
      <c r="B130" s="289" t="s">
        <v>2020</v>
      </c>
      <c r="C130" s="324"/>
      <c r="I130" s="288"/>
    </row>
    <row r="131" spans="1:17" ht="36">
      <c r="B131" s="292" t="s">
        <v>2029</v>
      </c>
      <c r="C131" s="324"/>
      <c r="I131" s="262">
        <v>2.5299999999999998</v>
      </c>
    </row>
    <row r="132" spans="1:17" ht="19.2">
      <c r="B132" s="292" t="s">
        <v>2006</v>
      </c>
      <c r="C132" s="304" t="s">
        <v>2023</v>
      </c>
      <c r="D132" s="262">
        <f>($D$121)*($D$123)/10^6</f>
        <v>5.25</v>
      </c>
      <c r="E132" s="262" t="s">
        <v>2027</v>
      </c>
      <c r="F132" s="262" t="str">
        <f>$D$125</f>
        <v>(3.0 ÷ 5.0)</v>
      </c>
      <c r="H132" s="262" t="s">
        <v>1746</v>
      </c>
      <c r="I132" s="262">
        <v>2.54</v>
      </c>
    </row>
    <row r="133" spans="1:17" ht="19.2">
      <c r="B133" s="292" t="s">
        <v>2028</v>
      </c>
      <c r="C133" s="304" t="s">
        <v>1747</v>
      </c>
      <c r="D133" s="290">
        <f>($D$129)*($D$132)</f>
        <v>3.15</v>
      </c>
      <c r="E133" s="262" t="s">
        <v>2030</v>
      </c>
      <c r="F133" s="290" t="str">
        <f>$D$127</f>
        <v>(1.8 ÷ 3.5)</v>
      </c>
      <c r="H133" s="262" t="s">
        <v>1743</v>
      </c>
      <c r="I133" s="262">
        <v>2.5499999999999998</v>
      </c>
    </row>
    <row r="134" spans="1:17" s="281" customFormat="1">
      <c r="A134" s="323" t="s">
        <v>1181</v>
      </c>
      <c r="B134" s="280" t="s">
        <v>1738</v>
      </c>
      <c r="C134" s="307"/>
      <c r="E134" s="282"/>
      <c r="Q134" s="346"/>
    </row>
    <row r="135" spans="1:17">
      <c r="A135" s="321"/>
      <c r="B135" s="293" t="s">
        <v>1735</v>
      </c>
      <c r="C135" s="303"/>
    </row>
    <row r="136" spans="1:17">
      <c r="A136" s="321"/>
      <c r="B136" s="293" t="s">
        <v>1184</v>
      </c>
      <c r="C136" s="303"/>
    </row>
    <row r="137" spans="1:17">
      <c r="A137" s="321"/>
      <c r="B137" s="293" t="s">
        <v>1185</v>
      </c>
      <c r="C137" s="303"/>
    </row>
    <row r="138" spans="1:17">
      <c r="A138" s="321"/>
      <c r="B138" s="293" t="s">
        <v>1736</v>
      </c>
      <c r="C138" s="303"/>
    </row>
    <row r="139" spans="1:17">
      <c r="A139" s="321"/>
      <c r="B139" s="293" t="s">
        <v>1187</v>
      </c>
      <c r="C139" s="303"/>
    </row>
    <row r="140" spans="1:17">
      <c r="A140" s="321"/>
      <c r="B140" s="293" t="s">
        <v>1185</v>
      </c>
      <c r="C140" s="303"/>
    </row>
    <row r="141" spans="1:17" s="286" customFormat="1">
      <c r="A141" s="322" t="s">
        <v>1768</v>
      </c>
      <c r="B141" s="285" t="s">
        <v>1769</v>
      </c>
      <c r="C141" s="308"/>
      <c r="E141" s="287"/>
      <c r="Q141" s="347"/>
    </row>
    <row r="142" spans="1:17">
      <c r="A142" s="266" t="s">
        <v>551</v>
      </c>
      <c r="B142" s="274" t="s">
        <v>1770</v>
      </c>
      <c r="C142" s="301"/>
    </row>
    <row r="143" spans="1:17">
      <c r="B143" s="295" t="s">
        <v>1795</v>
      </c>
      <c r="C143" s="302"/>
      <c r="D143" s="272" t="s">
        <v>2475</v>
      </c>
    </row>
    <row r="144" spans="1:17">
      <c r="B144" s="295" t="s">
        <v>1796</v>
      </c>
      <c r="C144" s="302"/>
      <c r="D144" s="272" t="s">
        <v>2476</v>
      </c>
    </row>
    <row r="145" spans="1:9">
      <c r="B145" s="295" t="s">
        <v>1797</v>
      </c>
      <c r="C145" s="302"/>
      <c r="D145" s="272" t="s">
        <v>2454</v>
      </c>
    </row>
    <row r="146" spans="1:9">
      <c r="A146" s="266" t="s">
        <v>1771</v>
      </c>
      <c r="B146" s="295" t="s">
        <v>1794</v>
      </c>
      <c r="C146" s="301"/>
    </row>
    <row r="147" spans="1:9">
      <c r="B147" s="295" t="s">
        <v>1973</v>
      </c>
      <c r="C147" s="301"/>
    </row>
    <row r="148" spans="1:9">
      <c r="B148" s="292" t="s">
        <v>1974</v>
      </c>
      <c r="C148" s="301"/>
      <c r="D148" s="290" t="str">
        <f>$D$145</f>
        <v>diesel</v>
      </c>
    </row>
    <row r="149" spans="1:9" ht="33.6">
      <c r="B149" s="277" t="s">
        <v>1975</v>
      </c>
      <c r="C149" s="301"/>
      <c r="D149" s="294" t="s">
        <v>2477</v>
      </c>
    </row>
    <row r="150" spans="1:9" ht="20.399999999999999">
      <c r="B150" s="295" t="s">
        <v>1976</v>
      </c>
      <c r="C150" s="302" t="s">
        <v>1787</v>
      </c>
      <c r="D150" s="272" t="s">
        <v>2452</v>
      </c>
      <c r="H150" s="290" t="s">
        <v>1782</v>
      </c>
      <c r="I150" s="290">
        <v>2.58</v>
      </c>
    </row>
    <row r="151" spans="1:9" ht="20.399999999999999">
      <c r="B151" s="295" t="s">
        <v>1978</v>
      </c>
      <c r="C151" s="302" t="s">
        <v>1788</v>
      </c>
      <c r="D151" s="272">
        <v>600</v>
      </c>
      <c r="E151" s="276" t="s">
        <v>1984</v>
      </c>
      <c r="F151" s="292" t="str">
        <f>$D$150</f>
        <v>(500 ÷ 600)</v>
      </c>
      <c r="H151" s="262" t="s">
        <v>1783</v>
      </c>
      <c r="I151" s="290">
        <v>2.59</v>
      </c>
    </row>
    <row r="152" spans="1:9" ht="20.399999999999999">
      <c r="B152" s="292" t="s">
        <v>1977</v>
      </c>
      <c r="C152" s="302" t="s">
        <v>1784</v>
      </c>
      <c r="D152" s="272" t="s">
        <v>2453</v>
      </c>
      <c r="I152" s="290" t="s">
        <v>1799</v>
      </c>
    </row>
    <row r="153" spans="1:9">
      <c r="A153" s="340"/>
      <c r="B153" s="292" t="s">
        <v>1978</v>
      </c>
      <c r="C153" s="304" t="s">
        <v>1785</v>
      </c>
      <c r="D153" s="272">
        <v>0.8</v>
      </c>
      <c r="E153" s="262" t="s">
        <v>1786</v>
      </c>
      <c r="F153" s="278" t="str">
        <f>$D$152</f>
        <v>(0.8 ÷ 0.9)</v>
      </c>
      <c r="G153" s="278"/>
      <c r="H153" s="288"/>
      <c r="I153" s="288"/>
    </row>
    <row r="154" spans="1:9">
      <c r="A154" s="266" t="s">
        <v>555</v>
      </c>
      <c r="B154" s="292" t="s">
        <v>1789</v>
      </c>
      <c r="C154" s="301"/>
    </row>
    <row r="155" spans="1:9" ht="57.6">
      <c r="B155" s="292" t="s">
        <v>1798</v>
      </c>
      <c r="C155" s="301"/>
    </row>
    <row r="156" spans="1:9" ht="33.6">
      <c r="B156" s="264" t="s">
        <v>1982</v>
      </c>
      <c r="C156" s="301"/>
    </row>
    <row r="157" spans="1:9">
      <c r="B157" s="292" t="s">
        <v>1974</v>
      </c>
      <c r="C157" s="301"/>
      <c r="D157" s="290" t="s">
        <v>2454</v>
      </c>
    </row>
    <row r="158" spans="1:9">
      <c r="B158" s="292" t="s">
        <v>1981</v>
      </c>
      <c r="C158" s="301"/>
      <c r="D158" s="348" t="s">
        <v>2474</v>
      </c>
      <c r="H158" s="290" t="s">
        <v>1800</v>
      </c>
    </row>
    <row r="159" spans="1:9">
      <c r="B159" s="292" t="s">
        <v>1980</v>
      </c>
      <c r="C159" s="301"/>
      <c r="D159" s="294" t="s">
        <v>2455</v>
      </c>
    </row>
    <row r="160" spans="1:9" ht="33.6">
      <c r="B160" s="264" t="s">
        <v>1801</v>
      </c>
      <c r="C160" s="301"/>
    </row>
    <row r="161" spans="1:17">
      <c r="C161" s="301" t="s">
        <v>1803</v>
      </c>
      <c r="D161" s="294">
        <v>0.5</v>
      </c>
      <c r="I161" s="290" t="s">
        <v>1805</v>
      </c>
    </row>
    <row r="162" spans="1:17">
      <c r="C162" s="301" t="s">
        <v>1802</v>
      </c>
      <c r="D162" s="294">
        <v>1.5</v>
      </c>
      <c r="I162" s="290" t="s">
        <v>1806</v>
      </c>
    </row>
    <row r="163" spans="1:17">
      <c r="C163" s="301" t="s">
        <v>1804</v>
      </c>
      <c r="D163" s="294">
        <v>1</v>
      </c>
      <c r="I163" s="290" t="s">
        <v>1807</v>
      </c>
    </row>
    <row r="164" spans="1:17">
      <c r="A164" s="322" t="s">
        <v>1907</v>
      </c>
      <c r="B164" s="268" t="s">
        <v>1908</v>
      </c>
      <c r="C164" s="303"/>
    </row>
    <row r="165" spans="1:17" ht="50.4">
      <c r="B165" s="264" t="s">
        <v>2045</v>
      </c>
      <c r="C165" s="303"/>
    </row>
    <row r="166" spans="1:17">
      <c r="B166" s="292" t="s">
        <v>1914</v>
      </c>
      <c r="C166" s="303"/>
      <c r="D166" s="290" t="str">
        <f>$D$11</f>
        <v>xe tải 5 tấn</v>
      </c>
    </row>
    <row r="167" spans="1:17" ht="20.399999999999999">
      <c r="B167" s="292" t="s">
        <v>1726</v>
      </c>
      <c r="C167" s="304" t="s">
        <v>1915</v>
      </c>
      <c r="D167" s="272">
        <v>0.85</v>
      </c>
      <c r="I167" s="290" t="s">
        <v>2032</v>
      </c>
    </row>
    <row r="168" spans="1:17">
      <c r="A168" s="266" t="s">
        <v>1967</v>
      </c>
      <c r="B168" s="291" t="s">
        <v>1968</v>
      </c>
      <c r="C168" s="303"/>
      <c r="D168" s="262"/>
      <c r="E168" s="288"/>
      <c r="F168" s="278"/>
    </row>
    <row r="169" spans="1:17" s="267" customFormat="1" ht="19.2">
      <c r="A169" s="266" t="s">
        <v>551</v>
      </c>
      <c r="B169" s="291" t="s">
        <v>1969</v>
      </c>
      <c r="C169" s="317"/>
      <c r="D169" s="318"/>
      <c r="E169" s="335"/>
      <c r="F169" s="319"/>
      <c r="Q169" s="344"/>
    </row>
    <row r="170" spans="1:17" ht="37.200000000000003">
      <c r="B170" s="292" t="s">
        <v>1916</v>
      </c>
      <c r="C170" s="303"/>
      <c r="D170" s="262"/>
      <c r="E170" s="288"/>
      <c r="F170" s="278"/>
    </row>
    <row r="171" spans="1:17" ht="21">
      <c r="B171" s="292" t="s">
        <v>1917</v>
      </c>
      <c r="C171" s="304"/>
      <c r="D171" s="262"/>
      <c r="E171" s="288"/>
      <c r="F171" s="278"/>
      <c r="I171" s="290">
        <v>2.65</v>
      </c>
    </row>
    <row r="172" spans="1:17">
      <c r="B172" s="292" t="s">
        <v>1542</v>
      </c>
      <c r="C172" s="303"/>
      <c r="D172" s="262"/>
      <c r="E172" s="288"/>
      <c r="F172" s="278"/>
    </row>
    <row r="173" spans="1:17" ht="20.399999999999999">
      <c r="B173" s="292" t="s">
        <v>2033</v>
      </c>
      <c r="C173" s="304" t="s">
        <v>2038</v>
      </c>
      <c r="D173" s="272">
        <f>$D$167</f>
        <v>0.85</v>
      </c>
      <c r="E173" s="288"/>
      <c r="F173" s="278"/>
    </row>
    <row r="174" spans="1:17" ht="20.399999999999999">
      <c r="B174" s="263" t="s">
        <v>2034</v>
      </c>
      <c r="C174" s="304" t="s">
        <v>2039</v>
      </c>
      <c r="D174" s="272">
        <f>$D$104</f>
        <v>1.8968253968253971E-2</v>
      </c>
      <c r="E174" s="288"/>
      <c r="F174" s="278"/>
    </row>
    <row r="175" spans="1:17">
      <c r="B175" s="292" t="s">
        <v>2035</v>
      </c>
      <c r="C175" s="304" t="s">
        <v>2042</v>
      </c>
      <c r="D175" s="272">
        <f>$D$96</f>
        <v>0.01</v>
      </c>
      <c r="E175" s="288"/>
      <c r="F175" s="278"/>
    </row>
    <row r="176" spans="1:17" ht="20.399999999999999">
      <c r="B176" s="292" t="s">
        <v>2036</v>
      </c>
      <c r="C176" s="304" t="s">
        <v>2040</v>
      </c>
      <c r="D176" s="272">
        <f>($D$62)*10</f>
        <v>95070</v>
      </c>
      <c r="E176" s="288"/>
      <c r="F176" s="278"/>
    </row>
    <row r="177" spans="1:9" ht="20.399999999999999">
      <c r="B177" s="292" t="s">
        <v>1923</v>
      </c>
      <c r="C177" s="304" t="s">
        <v>2041</v>
      </c>
      <c r="D177" s="272">
        <f>(($D$6)*10^3)/3600</f>
        <v>21.111111111111111</v>
      </c>
      <c r="E177" s="288"/>
      <c r="F177" s="278"/>
      <c r="H177" s="290" t="s">
        <v>2043</v>
      </c>
    </row>
    <row r="178" spans="1:9">
      <c r="B178" s="292" t="s">
        <v>2031</v>
      </c>
      <c r="C178" s="304" t="s">
        <v>1747</v>
      </c>
      <c r="D178" s="272">
        <f>$D$133</f>
        <v>3.15</v>
      </c>
      <c r="E178" s="288"/>
      <c r="F178" s="278"/>
    </row>
    <row r="179" spans="1:9" ht="20.399999999999999">
      <c r="B179" s="292" t="s">
        <v>1942</v>
      </c>
      <c r="C179" s="304" t="s">
        <v>2037</v>
      </c>
      <c r="D179" s="262">
        <f xml:space="preserve"> (1/$D$173)*(($D$174+$D$175)*($D$176)*($D$177)+($D$178)*($D$177)^3)/10^3</f>
        <v>103.26812428675174</v>
      </c>
      <c r="E179" s="288"/>
      <c r="F179" s="278"/>
      <c r="H179" s="290" t="s">
        <v>2046</v>
      </c>
      <c r="I179" s="290">
        <v>2.66</v>
      </c>
    </row>
    <row r="180" spans="1:9">
      <c r="A180" s="266" t="s">
        <v>1771</v>
      </c>
      <c r="B180" s="291" t="s">
        <v>937</v>
      </c>
      <c r="C180" s="303"/>
      <c r="D180" s="262"/>
      <c r="E180" s="288"/>
      <c r="F180" s="278"/>
    </row>
    <row r="181" spans="1:9" ht="40.799999999999997">
      <c r="B181" s="292" t="s">
        <v>1932</v>
      </c>
      <c r="C181" s="303"/>
      <c r="D181" s="262"/>
      <c r="E181" s="288"/>
      <c r="F181" s="278"/>
    </row>
    <row r="182" spans="1:9" ht="21">
      <c r="B182" s="292" t="s">
        <v>1933</v>
      </c>
      <c r="C182" s="304"/>
      <c r="D182" s="262"/>
      <c r="E182" s="288"/>
      <c r="F182" s="278"/>
      <c r="I182" s="290">
        <v>2.67</v>
      </c>
    </row>
    <row r="183" spans="1:9" ht="40.799999999999997">
      <c r="B183" s="292" t="s">
        <v>1934</v>
      </c>
      <c r="C183" s="303"/>
      <c r="D183" s="262"/>
      <c r="E183" s="288"/>
      <c r="F183" s="278"/>
    </row>
    <row r="184" spans="1:9" ht="21">
      <c r="B184" s="292" t="s">
        <v>1935</v>
      </c>
      <c r="C184" s="304"/>
      <c r="D184" s="262"/>
      <c r="E184" s="288"/>
      <c r="F184" s="278"/>
      <c r="I184" s="290">
        <v>2.68</v>
      </c>
    </row>
    <row r="185" spans="1:9" ht="20.399999999999999">
      <c r="B185" s="292" t="s">
        <v>1936</v>
      </c>
      <c r="C185" s="303"/>
      <c r="D185" s="262"/>
      <c r="E185" s="288"/>
      <c r="F185" s="278"/>
    </row>
    <row r="186" spans="1:9" ht="21">
      <c r="B186" s="292" t="s">
        <v>1937</v>
      </c>
      <c r="C186" s="304"/>
      <c r="D186" s="262"/>
      <c r="E186" s="288"/>
      <c r="F186" s="278"/>
      <c r="I186" s="290">
        <v>2.69</v>
      </c>
    </row>
    <row r="187" spans="1:9" ht="21">
      <c r="B187" s="289" t="s">
        <v>2050</v>
      </c>
      <c r="C187" s="304"/>
      <c r="D187" s="262"/>
      <c r="E187" s="288"/>
      <c r="F187" s="278"/>
      <c r="I187" s="290" t="s">
        <v>1905</v>
      </c>
    </row>
    <row r="188" spans="1:9">
      <c r="B188" s="292" t="s">
        <v>2047</v>
      </c>
      <c r="C188" s="303"/>
      <c r="D188" s="262"/>
      <c r="E188" s="288"/>
      <c r="F188" s="278"/>
    </row>
    <row r="189" spans="1:9">
      <c r="B189" s="292" t="s">
        <v>1940</v>
      </c>
      <c r="C189" s="303"/>
      <c r="D189" s="262"/>
      <c r="E189" s="288"/>
      <c r="F189" s="278"/>
    </row>
    <row r="190" spans="1:9">
      <c r="B190" s="292" t="s">
        <v>1941</v>
      </c>
      <c r="C190" s="303"/>
      <c r="D190" s="262"/>
      <c r="E190" s="288"/>
      <c r="F190" s="278"/>
    </row>
    <row r="191" spans="1:9">
      <c r="B191" s="292" t="s">
        <v>1942</v>
      </c>
      <c r="C191" s="304" t="s">
        <v>1784</v>
      </c>
      <c r="D191" s="272" t="s">
        <v>2456</v>
      </c>
      <c r="E191" s="288"/>
      <c r="F191" s="278"/>
    </row>
    <row r="192" spans="1:9">
      <c r="B192" s="292" t="s">
        <v>1944</v>
      </c>
      <c r="C192" s="304" t="s">
        <v>2049</v>
      </c>
      <c r="D192" s="272">
        <v>0.8</v>
      </c>
      <c r="E192" s="262" t="s">
        <v>2048</v>
      </c>
      <c r="F192" s="278" t="str">
        <f>$D$191</f>
        <v xml:space="preserve">(0.8 ÷ 0.9) </v>
      </c>
      <c r="I192" s="290">
        <v>2.71</v>
      </c>
    </row>
    <row r="193" spans="1:9">
      <c r="B193" s="289" t="s">
        <v>2051</v>
      </c>
      <c r="C193" s="303"/>
      <c r="D193" s="262"/>
      <c r="E193" s="288"/>
      <c r="F193" s="278"/>
    </row>
    <row r="194" spans="1:9" ht="40.799999999999997">
      <c r="B194" s="292" t="s">
        <v>2052</v>
      </c>
      <c r="C194" s="304" t="s">
        <v>2037</v>
      </c>
      <c r="D194" s="262">
        <f>$D$179</f>
        <v>103.26812428675174</v>
      </c>
      <c r="E194" s="288"/>
      <c r="F194" s="278"/>
    </row>
    <row r="195" spans="1:9">
      <c r="B195" s="292" t="s">
        <v>2053</v>
      </c>
      <c r="C195" s="304" t="s">
        <v>2056</v>
      </c>
      <c r="D195" s="276">
        <f>$D$161</f>
        <v>0.5</v>
      </c>
      <c r="E195" s="290"/>
      <c r="F195" s="278"/>
    </row>
    <row r="196" spans="1:9">
      <c r="B196" s="278"/>
      <c r="C196" s="304" t="s">
        <v>2057</v>
      </c>
      <c r="D196" s="276">
        <f>$D$162</f>
        <v>1.5</v>
      </c>
      <c r="E196" s="290"/>
      <c r="F196" s="278"/>
    </row>
    <row r="197" spans="1:9">
      <c r="B197" s="278"/>
      <c r="C197" s="304" t="s">
        <v>2058</v>
      </c>
      <c r="D197" s="276">
        <f>$D$163</f>
        <v>1</v>
      </c>
      <c r="E197" s="290"/>
      <c r="F197" s="278"/>
    </row>
    <row r="198" spans="1:9">
      <c r="B198" s="292" t="s">
        <v>2054</v>
      </c>
      <c r="C198" s="304" t="s">
        <v>1785</v>
      </c>
      <c r="D198" s="276">
        <f>$D$192</f>
        <v>0.8</v>
      </c>
      <c r="E198" s="262" t="s">
        <v>849</v>
      </c>
      <c r="F198" s="278"/>
    </row>
    <row r="199" spans="1:9" ht="20.399999999999999">
      <c r="B199" s="289" t="s">
        <v>2061</v>
      </c>
      <c r="C199" s="304" t="s">
        <v>2055</v>
      </c>
      <c r="D199" s="262">
        <f>($D$194)/((($D$195)*($D$198))+(($D$196)*($D$198)^2)-(($D$197)*((D198)^3)))</f>
        <v>121.77844845135816</v>
      </c>
      <c r="E199" s="288"/>
      <c r="F199" s="278"/>
      <c r="I199" s="290">
        <v>2.72</v>
      </c>
    </row>
    <row r="200" spans="1:9">
      <c r="B200" s="292" t="s">
        <v>1960</v>
      </c>
      <c r="C200" s="303"/>
      <c r="D200" s="262"/>
      <c r="E200" s="288"/>
      <c r="F200" s="278"/>
    </row>
    <row r="201" spans="1:9" ht="20.399999999999999">
      <c r="B201" s="292" t="s">
        <v>1961</v>
      </c>
      <c r="C201" s="304" t="s">
        <v>2055</v>
      </c>
      <c r="D201" s="272">
        <v>121.67663623800321</v>
      </c>
      <c r="E201" s="290"/>
      <c r="F201" s="292"/>
      <c r="H201" s="290" t="s">
        <v>2046</v>
      </c>
      <c r="I201" s="290">
        <v>2.73</v>
      </c>
    </row>
    <row r="202" spans="1:9" ht="20.399999999999999">
      <c r="B202" s="292" t="s">
        <v>1964</v>
      </c>
      <c r="C202" s="304" t="s">
        <v>2059</v>
      </c>
      <c r="D202" s="272">
        <v>2300</v>
      </c>
      <c r="E202" s="262"/>
      <c r="F202" s="278"/>
      <c r="H202" s="290" t="s">
        <v>2060</v>
      </c>
      <c r="I202" s="290">
        <v>2.74</v>
      </c>
    </row>
    <row r="203" spans="1:9">
      <c r="A203" s="266">
        <v>3</v>
      </c>
      <c r="B203" s="279" t="s">
        <v>2098</v>
      </c>
      <c r="C203" s="304"/>
      <c r="D203" s="272"/>
      <c r="E203" s="262"/>
      <c r="F203" s="278"/>
    </row>
    <row r="204" spans="1:9">
      <c r="A204" s="266" t="s">
        <v>2113</v>
      </c>
      <c r="B204" s="291" t="s">
        <v>1830</v>
      </c>
      <c r="C204" s="304"/>
      <c r="D204" s="272"/>
      <c r="E204" s="262"/>
      <c r="F204" s="278"/>
    </row>
    <row r="205" spans="1:9">
      <c r="A205" s="266" t="s">
        <v>2115</v>
      </c>
      <c r="B205" s="268" t="s">
        <v>2114</v>
      </c>
      <c r="C205" s="304"/>
      <c r="D205" s="272"/>
      <c r="E205" s="262"/>
      <c r="F205" s="278"/>
    </row>
    <row r="206" spans="1:9">
      <c r="B206" s="292" t="s">
        <v>2100</v>
      </c>
      <c r="C206" s="304"/>
      <c r="D206" s="272"/>
      <c r="E206" s="262"/>
      <c r="F206" s="278"/>
    </row>
    <row r="207" spans="1:9">
      <c r="B207" s="292" t="s">
        <v>2099</v>
      </c>
      <c r="C207" s="304"/>
      <c r="D207" s="272" t="s">
        <v>2458</v>
      </c>
      <c r="E207" s="262"/>
      <c r="F207" s="278"/>
    </row>
    <row r="208" spans="1:9">
      <c r="B208" s="292" t="s">
        <v>2101</v>
      </c>
      <c r="C208" s="304"/>
      <c r="D208" s="272" t="s">
        <v>2459</v>
      </c>
      <c r="E208" s="262"/>
      <c r="F208" s="278"/>
    </row>
    <row r="209" spans="2:9">
      <c r="B209" s="292" t="s">
        <v>2102</v>
      </c>
      <c r="C209" s="304"/>
      <c r="D209" s="272" t="s">
        <v>2459</v>
      </c>
      <c r="E209" s="262"/>
      <c r="F209" s="278"/>
    </row>
    <row r="210" spans="2:9" ht="33.6">
      <c r="B210" s="292" t="s">
        <v>2104</v>
      </c>
      <c r="C210" s="304"/>
      <c r="D210" s="272"/>
      <c r="E210" s="262"/>
      <c r="F210" s="278"/>
    </row>
    <row r="211" spans="2:9" ht="20.399999999999999">
      <c r="B211" s="292"/>
      <c r="C211" s="304"/>
      <c r="D211" s="262" t="s">
        <v>2460</v>
      </c>
      <c r="E211" s="262"/>
      <c r="F211" s="278"/>
      <c r="H211" s="290" t="s">
        <v>9</v>
      </c>
    </row>
    <row r="212" spans="2:9" ht="20.399999999999999">
      <c r="B212" s="292"/>
      <c r="C212" s="304"/>
      <c r="D212" s="262" t="s">
        <v>2461</v>
      </c>
      <c r="E212" s="262"/>
      <c r="F212" s="278"/>
      <c r="H212" s="290" t="s">
        <v>9</v>
      </c>
    </row>
    <row r="213" spans="2:9">
      <c r="B213" s="292" t="s">
        <v>2105</v>
      </c>
      <c r="C213" s="304"/>
      <c r="D213" s="272"/>
      <c r="E213" s="262"/>
      <c r="F213" s="278"/>
    </row>
    <row r="214" spans="2:9" ht="20.399999999999999">
      <c r="B214" s="290"/>
      <c r="C214" s="305" t="s">
        <v>2392</v>
      </c>
      <c r="D214" s="272">
        <f>$D$23</f>
        <v>2300</v>
      </c>
      <c r="E214" s="272"/>
      <c r="F214" s="275"/>
      <c r="G214" s="294"/>
      <c r="H214" s="294" t="s">
        <v>9</v>
      </c>
    </row>
    <row r="215" spans="2:9" ht="20.399999999999999">
      <c r="B215" s="290"/>
      <c r="C215" s="305" t="s">
        <v>2393</v>
      </c>
      <c r="D215" s="272">
        <f>$D$29</f>
        <v>2000</v>
      </c>
      <c r="E215" s="272"/>
      <c r="F215" s="275"/>
      <c r="G215" s="294"/>
      <c r="H215" s="294" t="s">
        <v>9</v>
      </c>
    </row>
    <row r="216" spans="2:9" ht="20.399999999999999">
      <c r="B216" s="290"/>
      <c r="C216" s="305" t="s">
        <v>2394</v>
      </c>
      <c r="D216" s="272">
        <f>$D$69</f>
        <v>3200</v>
      </c>
      <c r="E216" s="272"/>
      <c r="F216" s="275"/>
      <c r="G216" s="294"/>
      <c r="H216" s="294" t="s">
        <v>9</v>
      </c>
    </row>
    <row r="217" spans="2:9" ht="20.399999999999999">
      <c r="B217" s="290"/>
      <c r="C217" s="305" t="s">
        <v>2395</v>
      </c>
      <c r="D217" s="272">
        <f>$D$77</f>
        <v>6307</v>
      </c>
      <c r="E217" s="272"/>
      <c r="F217" s="275"/>
      <c r="G217" s="294"/>
      <c r="H217" s="294" t="s">
        <v>9</v>
      </c>
    </row>
    <row r="218" spans="2:9" ht="50.4">
      <c r="B218" s="292" t="s">
        <v>2387</v>
      </c>
      <c r="C218" s="304"/>
      <c r="D218" s="272"/>
      <c r="E218" s="262"/>
      <c r="F218" s="278"/>
    </row>
    <row r="219" spans="2:9" ht="20.399999999999999">
      <c r="B219" s="292" t="s">
        <v>2389</v>
      </c>
      <c r="C219" s="303"/>
      <c r="D219" s="262"/>
      <c r="E219" s="262"/>
      <c r="F219" s="278"/>
      <c r="I219" s="292"/>
    </row>
    <row r="220" spans="2:9" ht="20.399999999999999">
      <c r="B220" s="292" t="s">
        <v>2388</v>
      </c>
      <c r="C220" s="304" t="s">
        <v>2103</v>
      </c>
      <c r="D220" s="262">
        <f>$D$214</f>
        <v>2300</v>
      </c>
      <c r="E220" s="262"/>
      <c r="F220" s="278"/>
      <c r="H220" s="290" t="s">
        <v>9</v>
      </c>
    </row>
    <row r="221" spans="2:9" ht="20.399999999999999">
      <c r="B221" s="292" t="s">
        <v>2390</v>
      </c>
      <c r="C221" s="304"/>
      <c r="D221" s="262"/>
      <c r="E221" s="262"/>
      <c r="F221" s="278"/>
    </row>
    <row r="222" spans="2:9" ht="20.399999999999999">
      <c r="B222" s="292" t="s">
        <v>2391</v>
      </c>
      <c r="C222" s="304" t="s">
        <v>2111</v>
      </c>
      <c r="D222" s="262">
        <f>$D$216</f>
        <v>3200</v>
      </c>
      <c r="E222" s="262"/>
      <c r="F222" s="278"/>
      <c r="H222" s="290" t="s">
        <v>9</v>
      </c>
    </row>
    <row r="223" spans="2:9">
      <c r="B223" s="292" t="s">
        <v>2106</v>
      </c>
      <c r="C223" s="304"/>
      <c r="D223" s="272"/>
      <c r="E223" s="262"/>
      <c r="F223" s="278"/>
    </row>
    <row r="224" spans="2:9" ht="20.399999999999999">
      <c r="B224" s="277" t="s">
        <v>2385</v>
      </c>
      <c r="D224" s="262" t="s">
        <v>2462</v>
      </c>
      <c r="E224" s="262"/>
      <c r="F224" s="278"/>
      <c r="H224" s="290" t="s">
        <v>9</v>
      </c>
    </row>
    <row r="225" spans="1:9" ht="20.399999999999999">
      <c r="B225" s="292" t="s">
        <v>2107</v>
      </c>
      <c r="C225" s="324"/>
      <c r="D225" s="262" t="s">
        <v>2463</v>
      </c>
      <c r="E225" s="262"/>
      <c r="F225" s="278"/>
      <c r="H225" s="290" t="s">
        <v>9</v>
      </c>
    </row>
    <row r="226" spans="1:9">
      <c r="B226" s="292" t="s">
        <v>2108</v>
      </c>
      <c r="C226" s="303"/>
      <c r="D226" s="272"/>
      <c r="E226" s="262"/>
      <c r="F226" s="278"/>
    </row>
    <row r="227" spans="1:9" ht="20.399999999999999">
      <c r="B227" s="264" t="s">
        <v>2383</v>
      </c>
      <c r="C227" s="304"/>
      <c r="D227" s="262"/>
      <c r="E227" s="262"/>
      <c r="F227" s="278"/>
    </row>
    <row r="228" spans="1:9">
      <c r="C228" s="305" t="s">
        <v>2110</v>
      </c>
      <c r="D228" s="272">
        <f>$D$214</f>
        <v>2300</v>
      </c>
      <c r="E228" s="272"/>
      <c r="F228" s="275"/>
      <c r="G228" s="294"/>
      <c r="H228" s="294" t="s">
        <v>9</v>
      </c>
    </row>
    <row r="229" spans="1:9">
      <c r="C229" s="305" t="s">
        <v>2110</v>
      </c>
      <c r="D229" s="272">
        <f>$D$215</f>
        <v>2000</v>
      </c>
      <c r="E229" s="272"/>
      <c r="F229" s="275"/>
      <c r="G229" s="294"/>
      <c r="H229" s="294" t="s">
        <v>9</v>
      </c>
    </row>
    <row r="230" spans="1:9">
      <c r="C230" s="305" t="s">
        <v>2110</v>
      </c>
      <c r="D230" s="272">
        <f>$D$216</f>
        <v>3200</v>
      </c>
      <c r="E230" s="272"/>
      <c r="F230" s="275"/>
      <c r="G230" s="294"/>
      <c r="H230" s="294" t="s">
        <v>9</v>
      </c>
    </row>
    <row r="231" spans="1:9">
      <c r="C231" s="305" t="s">
        <v>2110</v>
      </c>
      <c r="D231" s="272">
        <f>$D$217</f>
        <v>6307</v>
      </c>
      <c r="E231" s="272"/>
      <c r="F231" s="275"/>
      <c r="G231" s="294"/>
      <c r="H231" s="294" t="s">
        <v>9</v>
      </c>
    </row>
    <row r="232" spans="1:9" ht="20.399999999999999">
      <c r="B232" s="264" t="s">
        <v>2384</v>
      </c>
      <c r="C232" s="304"/>
      <c r="D232" s="262"/>
      <c r="E232" s="262"/>
      <c r="F232" s="278"/>
    </row>
    <row r="233" spans="1:9">
      <c r="C233" s="305" t="s">
        <v>2112</v>
      </c>
      <c r="D233" s="272">
        <f>$D$214</f>
        <v>2300</v>
      </c>
      <c r="E233" s="272"/>
      <c r="F233" s="275"/>
      <c r="G233" s="294"/>
      <c r="H233" s="294" t="s">
        <v>9</v>
      </c>
    </row>
    <row r="234" spans="1:9">
      <c r="C234" s="305" t="s">
        <v>2112</v>
      </c>
      <c r="D234" s="272">
        <f>$D$215</f>
        <v>2000</v>
      </c>
      <c r="E234" s="272"/>
      <c r="F234" s="275"/>
      <c r="G234" s="294"/>
      <c r="H234" s="294" t="s">
        <v>9</v>
      </c>
    </row>
    <row r="235" spans="1:9">
      <c r="C235" s="305" t="s">
        <v>2112</v>
      </c>
      <c r="D235" s="272">
        <f>$D$216</f>
        <v>3200</v>
      </c>
      <c r="E235" s="272"/>
      <c r="F235" s="275"/>
      <c r="G235" s="294"/>
      <c r="H235" s="294" t="s">
        <v>9</v>
      </c>
    </row>
    <row r="236" spans="1:9">
      <c r="C236" s="305" t="s">
        <v>2112</v>
      </c>
      <c r="D236" s="272">
        <f>$D$217</f>
        <v>6307</v>
      </c>
      <c r="E236" s="272"/>
      <c r="F236" s="275"/>
      <c r="G236" s="294"/>
      <c r="H236" s="294" t="s">
        <v>9</v>
      </c>
    </row>
    <row r="237" spans="1:9">
      <c r="B237" s="292" t="s">
        <v>2109</v>
      </c>
      <c r="C237" s="324"/>
      <c r="D237" s="272"/>
      <c r="E237" s="262"/>
      <c r="F237" s="278"/>
      <c r="H237" s="290" t="s">
        <v>9</v>
      </c>
      <c r="I237" s="292">
        <v>-2.75</v>
      </c>
    </row>
    <row r="238" spans="1:9">
      <c r="A238" s="322" t="s">
        <v>553</v>
      </c>
      <c r="B238" s="268" t="s">
        <v>2187</v>
      </c>
      <c r="C238" s="303"/>
      <c r="D238" s="262"/>
      <c r="E238" s="262"/>
      <c r="F238" s="278"/>
      <c r="I238" s="292"/>
    </row>
    <row r="239" spans="1:9">
      <c r="A239" s="322"/>
      <c r="B239" s="268"/>
      <c r="C239" s="303"/>
      <c r="D239" s="262"/>
      <c r="E239" s="262"/>
      <c r="F239" s="278"/>
      <c r="I239" s="292"/>
    </row>
    <row r="240" spans="1:9">
      <c r="A240" s="322"/>
      <c r="B240" s="268"/>
      <c r="C240" s="303"/>
      <c r="D240" s="262"/>
      <c r="E240" s="262"/>
      <c r="F240" s="278"/>
      <c r="I240" s="292"/>
    </row>
    <row r="241" spans="1:9">
      <c r="A241" s="322"/>
      <c r="B241" s="293" t="s">
        <v>2386</v>
      </c>
      <c r="C241" s="303"/>
      <c r="D241" s="262"/>
      <c r="E241" s="262"/>
      <c r="F241" s="278"/>
      <c r="I241" s="292"/>
    </row>
    <row r="242" spans="1:9">
      <c r="A242" s="322"/>
      <c r="B242" s="268"/>
      <c r="C242" s="304" t="s">
        <v>1727</v>
      </c>
      <c r="D242" s="262">
        <f>$D$108</f>
        <v>0.7</v>
      </c>
      <c r="E242" s="262"/>
      <c r="F242" s="278"/>
      <c r="I242" s="292"/>
    </row>
    <row r="243" spans="1:9" ht="20.399999999999999">
      <c r="B243" s="292" t="s">
        <v>2116</v>
      </c>
      <c r="C243" s="303"/>
      <c r="D243" s="262"/>
      <c r="E243" s="262"/>
      <c r="F243" s="278"/>
      <c r="I243" s="292"/>
    </row>
    <row r="244" spans="1:9" ht="20.399999999999999">
      <c r="B244" s="292" t="s">
        <v>2117</v>
      </c>
      <c r="C244" s="303"/>
      <c r="D244" s="262"/>
      <c r="E244" s="262"/>
      <c r="F244" s="278"/>
      <c r="I244" s="292"/>
    </row>
    <row r="245" spans="1:9" ht="20.399999999999999">
      <c r="B245" s="292" t="s">
        <v>2130</v>
      </c>
      <c r="C245" s="304"/>
      <c r="D245" s="262"/>
      <c r="E245" s="262"/>
      <c r="F245" s="278"/>
      <c r="I245" s="292">
        <v>-2.76</v>
      </c>
    </row>
    <row r="246" spans="1:9" ht="20.399999999999999">
      <c r="B246" s="292"/>
      <c r="C246" s="304" t="s">
        <v>2464</v>
      </c>
      <c r="D246" s="272">
        <f>($D$242)*($D$214)*10</f>
        <v>16100</v>
      </c>
      <c r="E246" s="290"/>
      <c r="F246" s="278"/>
      <c r="H246" s="290" t="s">
        <v>1876</v>
      </c>
      <c r="I246" s="292"/>
    </row>
    <row r="247" spans="1:9" ht="20.399999999999999">
      <c r="B247" s="292"/>
      <c r="C247" s="304" t="s">
        <v>2465</v>
      </c>
      <c r="D247" s="272">
        <f>($D$242)*($D$215)*10</f>
        <v>14000</v>
      </c>
      <c r="E247" s="290"/>
      <c r="F247" s="278"/>
      <c r="H247" s="290" t="s">
        <v>1876</v>
      </c>
      <c r="I247" s="292"/>
    </row>
    <row r="248" spans="1:9" ht="20.399999999999999">
      <c r="B248" s="292" t="s">
        <v>2118</v>
      </c>
      <c r="C248" s="303"/>
      <c r="D248" s="262"/>
      <c r="E248" s="262"/>
      <c r="F248" s="278"/>
      <c r="I248" s="292"/>
    </row>
    <row r="249" spans="1:9" ht="20.399999999999999">
      <c r="B249" s="292" t="s">
        <v>2131</v>
      </c>
      <c r="C249" s="303"/>
      <c r="D249" s="262"/>
      <c r="E249" s="262"/>
      <c r="F249" s="278"/>
      <c r="I249" s="292"/>
    </row>
    <row r="250" spans="1:9" ht="20.399999999999999">
      <c r="B250" s="292"/>
      <c r="C250" s="304" t="s">
        <v>2467</v>
      </c>
      <c r="D250" s="272">
        <f>($D$242)*($D$216)*10</f>
        <v>22400</v>
      </c>
      <c r="E250" s="262"/>
      <c r="F250" s="278"/>
      <c r="H250" s="290" t="s">
        <v>1876</v>
      </c>
      <c r="I250" s="292"/>
    </row>
    <row r="251" spans="1:9" ht="20.399999999999999">
      <c r="B251" s="292"/>
      <c r="C251" s="304" t="s">
        <v>2466</v>
      </c>
      <c r="D251" s="272">
        <f>($D$242)*($D$217)*10</f>
        <v>44149</v>
      </c>
      <c r="E251" s="262"/>
      <c r="F251" s="278"/>
      <c r="H251" s="290" t="s">
        <v>1876</v>
      </c>
      <c r="I251" s="292"/>
    </row>
    <row r="252" spans="1:9" ht="33.6">
      <c r="B252" s="292" t="s">
        <v>2119</v>
      </c>
      <c r="C252" s="303"/>
      <c r="D252" s="262"/>
      <c r="E252" s="262"/>
      <c r="F252" s="278"/>
      <c r="I252" s="292"/>
    </row>
    <row r="253" spans="1:9" ht="20.399999999999999">
      <c r="B253" s="292" t="s">
        <v>2120</v>
      </c>
      <c r="C253" s="324"/>
      <c r="D253" s="262"/>
      <c r="E253" s="262"/>
      <c r="F253" s="278"/>
      <c r="I253" s="292">
        <v>-2.77</v>
      </c>
    </row>
    <row r="254" spans="1:9">
      <c r="B254" s="292" t="s">
        <v>2121</v>
      </c>
      <c r="C254" s="303"/>
      <c r="D254" s="262"/>
      <c r="E254" s="262"/>
      <c r="F254" s="278"/>
      <c r="I254" s="292"/>
    </row>
    <row r="255" spans="1:9" ht="20.399999999999999">
      <c r="B255" s="292" t="s">
        <v>2122</v>
      </c>
      <c r="C255" s="324"/>
      <c r="D255" s="262"/>
      <c r="E255" s="262"/>
      <c r="F255" s="278"/>
      <c r="I255" s="292">
        <v>-2.78</v>
      </c>
    </row>
    <row r="256" spans="1:9">
      <c r="B256" s="292" t="s">
        <v>1542</v>
      </c>
      <c r="C256" s="303"/>
      <c r="D256" s="262"/>
      <c r="E256" s="262"/>
      <c r="F256" s="278"/>
      <c r="I256" s="292"/>
    </row>
    <row r="257" spans="1:9" ht="20.399999999999999">
      <c r="B257" s="292" t="s">
        <v>2133</v>
      </c>
      <c r="C257" s="304"/>
      <c r="D257" s="262" t="s">
        <v>2132</v>
      </c>
      <c r="E257" s="262"/>
      <c r="F257" s="278"/>
      <c r="I257" s="292"/>
    </row>
    <row r="258" spans="1:9" ht="20.399999999999999">
      <c r="B258" s="292" t="s">
        <v>2134</v>
      </c>
      <c r="C258" s="304"/>
      <c r="D258" s="262"/>
      <c r="E258" s="262"/>
      <c r="F258" s="278"/>
      <c r="I258" s="292"/>
    </row>
    <row r="259" spans="1:9">
      <c r="B259" s="292" t="s">
        <v>2123</v>
      </c>
      <c r="C259" s="303"/>
      <c r="D259" s="262"/>
      <c r="E259" s="262"/>
      <c r="F259" s="278"/>
      <c r="I259" s="292"/>
    </row>
    <row r="260" spans="1:9" ht="20.399999999999999">
      <c r="B260" s="292" t="s">
        <v>2135</v>
      </c>
      <c r="C260" s="304"/>
      <c r="D260" s="262"/>
      <c r="E260" s="262"/>
      <c r="F260" s="278"/>
      <c r="I260" s="292"/>
    </row>
    <row r="261" spans="1:9">
      <c r="B261" s="292" t="s">
        <v>2124</v>
      </c>
      <c r="C261" s="303"/>
      <c r="D261" s="262"/>
      <c r="E261" s="262"/>
      <c r="F261" s="278"/>
      <c r="I261" s="292"/>
    </row>
    <row r="262" spans="1:9" ht="20.399999999999999">
      <c r="B262" s="292" t="s">
        <v>2125</v>
      </c>
      <c r="C262" s="324"/>
      <c r="D262" s="262"/>
      <c r="E262" s="262"/>
      <c r="F262" s="278"/>
      <c r="I262" s="292">
        <v>-2.79</v>
      </c>
    </row>
    <row r="263" spans="1:9">
      <c r="B263" s="292" t="s">
        <v>2126</v>
      </c>
      <c r="C263" s="324"/>
      <c r="D263" s="262"/>
      <c r="E263" s="262"/>
      <c r="F263" s="278"/>
      <c r="I263" s="278"/>
    </row>
    <row r="264" spans="1:9" ht="20.399999999999999">
      <c r="B264" s="292" t="s">
        <v>2127</v>
      </c>
      <c r="C264" s="324"/>
      <c r="D264" s="262"/>
      <c r="E264" s="262"/>
      <c r="F264" s="278"/>
      <c r="I264" s="278"/>
    </row>
    <row r="265" spans="1:9" ht="33.6">
      <c r="B265" s="292" t="s">
        <v>2128</v>
      </c>
      <c r="C265" s="324"/>
      <c r="D265" s="262"/>
      <c r="E265" s="262"/>
      <c r="F265" s="278"/>
      <c r="I265" s="278"/>
    </row>
    <row r="266" spans="1:9" ht="20.399999999999999">
      <c r="B266" s="292" t="s">
        <v>2129</v>
      </c>
      <c r="C266" s="324"/>
      <c r="D266" s="262"/>
      <c r="E266" s="262"/>
      <c r="F266" s="278"/>
      <c r="I266" s="292" t="s">
        <v>1970</v>
      </c>
    </row>
    <row r="267" spans="1:9">
      <c r="A267" s="266" t="s">
        <v>2162</v>
      </c>
      <c r="B267" s="291" t="s">
        <v>2161</v>
      </c>
      <c r="C267" s="303"/>
      <c r="D267" s="262"/>
      <c r="E267" s="262"/>
      <c r="F267" s="278"/>
      <c r="I267" s="292"/>
    </row>
    <row r="268" spans="1:9" ht="50.4">
      <c r="B268" s="292" t="s">
        <v>2136</v>
      </c>
      <c r="C268" s="303"/>
      <c r="D268" s="262"/>
      <c r="E268" s="262"/>
      <c r="F268" s="278"/>
      <c r="I268" s="292"/>
    </row>
    <row r="269" spans="1:9">
      <c r="B269" s="292" t="s">
        <v>2137</v>
      </c>
      <c r="C269" s="303"/>
      <c r="D269" s="262"/>
      <c r="E269" s="262"/>
      <c r="F269" s="278"/>
      <c r="I269" s="292"/>
    </row>
    <row r="270" spans="1:9">
      <c r="B270" s="292" t="s">
        <v>2138</v>
      </c>
      <c r="C270" s="303"/>
      <c r="D270" s="262"/>
      <c r="E270" s="262"/>
      <c r="F270" s="278"/>
      <c r="I270" s="292"/>
    </row>
    <row r="271" spans="1:9">
      <c r="B271" s="292" t="s">
        <v>2139</v>
      </c>
      <c r="C271" s="303"/>
      <c r="D271" s="262"/>
      <c r="E271" s="262"/>
      <c r="F271" s="278"/>
      <c r="I271" s="292"/>
    </row>
    <row r="272" spans="1:9">
      <c r="A272" s="266" t="s">
        <v>2164</v>
      </c>
      <c r="B272" s="268" t="s">
        <v>2163</v>
      </c>
      <c r="C272" s="303"/>
      <c r="D272" s="262"/>
      <c r="E272" s="262"/>
      <c r="F272" s="278"/>
      <c r="I272" s="292"/>
    </row>
    <row r="273" spans="1:9">
      <c r="A273" s="266" t="s">
        <v>2115</v>
      </c>
      <c r="B273" s="292" t="s">
        <v>2165</v>
      </c>
      <c r="C273" s="303"/>
      <c r="D273" s="262"/>
      <c r="E273" s="262"/>
      <c r="F273" s="278"/>
      <c r="I273" s="292"/>
    </row>
    <row r="274" spans="1:9">
      <c r="B274" s="292" t="s">
        <v>2140</v>
      </c>
      <c r="C274" s="303"/>
      <c r="D274" s="262"/>
      <c r="E274" s="262"/>
      <c r="F274" s="278"/>
      <c r="I274" s="292"/>
    </row>
    <row r="275" spans="1:9">
      <c r="B275" s="292" t="s">
        <v>2141</v>
      </c>
      <c r="C275" s="303"/>
      <c r="D275" s="262"/>
      <c r="E275" s="262"/>
      <c r="F275" s="278"/>
      <c r="I275" s="292"/>
    </row>
    <row r="276" spans="1:9" ht="33.6">
      <c r="B276" s="292" t="s">
        <v>2142</v>
      </c>
      <c r="C276" s="303"/>
      <c r="D276" s="262"/>
      <c r="E276" s="262"/>
      <c r="F276" s="278"/>
      <c r="I276" s="292"/>
    </row>
    <row r="277" spans="1:9" ht="20.399999999999999">
      <c r="B277" s="292" t="s">
        <v>2143</v>
      </c>
      <c r="C277" s="303"/>
      <c r="D277" s="262"/>
      <c r="E277" s="262"/>
      <c r="F277" s="278"/>
      <c r="I277" s="292"/>
    </row>
    <row r="278" spans="1:9" ht="33.6">
      <c r="B278" s="292" t="s">
        <v>2144</v>
      </c>
      <c r="C278" s="303"/>
      <c r="D278" s="262"/>
      <c r="E278" s="262"/>
      <c r="F278" s="278"/>
      <c r="I278" s="292"/>
    </row>
    <row r="279" spans="1:9" ht="33.6">
      <c r="B279" s="292" t="s">
        <v>2145</v>
      </c>
      <c r="C279" s="303"/>
      <c r="D279" s="262"/>
      <c r="E279" s="262"/>
      <c r="F279" s="278"/>
      <c r="I279" s="292"/>
    </row>
    <row r="280" spans="1:9" ht="33.6">
      <c r="B280" s="292" t="s">
        <v>2146</v>
      </c>
      <c r="C280" s="303"/>
      <c r="D280" s="262"/>
      <c r="E280" s="262"/>
      <c r="F280" s="278"/>
      <c r="I280" s="292"/>
    </row>
    <row r="281" spans="1:9">
      <c r="A281" s="266" t="s">
        <v>1771</v>
      </c>
      <c r="B281" s="292" t="s">
        <v>2166</v>
      </c>
      <c r="C281" s="303"/>
      <c r="D281" s="262"/>
      <c r="E281" s="262"/>
      <c r="F281" s="278"/>
      <c r="I281" s="292"/>
    </row>
    <row r="282" spans="1:9" ht="33.6">
      <c r="B282" s="292" t="s">
        <v>2147</v>
      </c>
      <c r="C282" s="303"/>
      <c r="D282" s="262"/>
      <c r="E282" s="262"/>
      <c r="F282" s="278"/>
      <c r="I282" s="292"/>
    </row>
    <row r="283" spans="1:9" ht="20.399999999999999">
      <c r="B283" s="292" t="s">
        <v>2152</v>
      </c>
      <c r="C283" s="324"/>
      <c r="D283" s="262"/>
      <c r="E283" s="262"/>
      <c r="F283" s="278"/>
      <c r="H283" s="290" t="s">
        <v>9</v>
      </c>
      <c r="I283" s="292"/>
    </row>
    <row r="284" spans="1:9" ht="20.399999999999999">
      <c r="B284" s="292"/>
      <c r="C284" s="304" t="s">
        <v>2149</v>
      </c>
      <c r="D284" s="262">
        <f>$D$23/2</f>
        <v>1150</v>
      </c>
      <c r="E284" s="262"/>
      <c r="F284" s="278"/>
      <c r="I284" s="292"/>
    </row>
    <row r="285" spans="1:9" ht="20.399999999999999">
      <c r="B285" s="292" t="s">
        <v>2153</v>
      </c>
      <c r="C285" s="304"/>
      <c r="D285" s="262"/>
      <c r="E285" s="262"/>
      <c r="F285" s="278"/>
      <c r="H285" s="290" t="s">
        <v>9</v>
      </c>
      <c r="I285" s="292"/>
    </row>
    <row r="286" spans="1:9" ht="20.399999999999999">
      <c r="B286" s="292"/>
      <c r="C286" s="304" t="s">
        <v>2150</v>
      </c>
      <c r="D286" s="262">
        <f>$D$29/2</f>
        <v>1000</v>
      </c>
      <c r="E286" s="262"/>
      <c r="F286" s="278"/>
      <c r="I286" s="292"/>
    </row>
    <row r="287" spans="1:9" ht="20.399999999999999">
      <c r="B287" s="292" t="s">
        <v>2154</v>
      </c>
      <c r="C287" s="304"/>
      <c r="D287" s="262"/>
      <c r="E287" s="262"/>
      <c r="F287" s="278"/>
      <c r="H287" s="290" t="s">
        <v>9</v>
      </c>
      <c r="I287" s="292"/>
    </row>
    <row r="288" spans="1:9" ht="20.399999999999999">
      <c r="B288" s="292"/>
      <c r="C288" s="304" t="s">
        <v>1879</v>
      </c>
      <c r="D288" s="262">
        <f>($D$69)/2</f>
        <v>1600</v>
      </c>
      <c r="E288" s="262"/>
      <c r="F288" s="278"/>
      <c r="I288" s="292"/>
    </row>
    <row r="289" spans="1:9" ht="20.399999999999999">
      <c r="B289" s="292" t="s">
        <v>2155</v>
      </c>
      <c r="C289" s="304"/>
      <c r="D289" s="262"/>
      <c r="E289" s="262"/>
      <c r="F289" s="278"/>
      <c r="H289" s="290" t="s">
        <v>9</v>
      </c>
      <c r="I289" s="292"/>
    </row>
    <row r="290" spans="1:9" ht="20.399999999999999">
      <c r="B290" s="292"/>
      <c r="C290" s="304" t="s">
        <v>2151</v>
      </c>
      <c r="D290" s="262">
        <f>$D$77/2</f>
        <v>3153.5</v>
      </c>
      <c r="E290" s="262"/>
      <c r="F290" s="278"/>
      <c r="I290" s="292"/>
    </row>
    <row r="291" spans="1:9" ht="20.399999999999999">
      <c r="B291" s="292" t="s">
        <v>2158</v>
      </c>
      <c r="C291" s="304" t="s">
        <v>2157</v>
      </c>
      <c r="D291" s="262" t="s">
        <v>2468</v>
      </c>
      <c r="E291" s="262"/>
      <c r="F291" s="278"/>
      <c r="I291" s="292"/>
    </row>
    <row r="292" spans="1:9" ht="33.6">
      <c r="B292" s="292" t="s">
        <v>2167</v>
      </c>
      <c r="C292" s="304" t="s">
        <v>2156</v>
      </c>
      <c r="D292" s="262"/>
      <c r="E292" s="262"/>
      <c r="F292" s="278"/>
      <c r="I292" s="292"/>
    </row>
    <row r="293" spans="1:9" ht="20.399999999999999">
      <c r="B293" s="263" t="s">
        <v>2168</v>
      </c>
      <c r="C293" s="304" t="s">
        <v>2112</v>
      </c>
      <c r="D293" s="262" t="s">
        <v>2159</v>
      </c>
      <c r="E293" s="262"/>
      <c r="F293" s="278"/>
      <c r="I293" s="292"/>
    </row>
    <row r="294" spans="1:9">
      <c r="B294" s="292" t="s">
        <v>2148</v>
      </c>
      <c r="C294" s="304" t="s">
        <v>2112</v>
      </c>
      <c r="D294" s="262" t="s">
        <v>2469</v>
      </c>
      <c r="E294" s="262"/>
      <c r="F294" s="278"/>
      <c r="I294" s="292"/>
    </row>
    <row r="295" spans="1:9">
      <c r="B295" s="278"/>
      <c r="C295" s="304" t="s">
        <v>2112</v>
      </c>
      <c r="D295" s="272">
        <v>3147.5</v>
      </c>
      <c r="E295" s="262"/>
      <c r="F295" s="278"/>
      <c r="H295" s="290" t="s">
        <v>9</v>
      </c>
      <c r="I295" s="292"/>
    </row>
    <row r="296" spans="1:9" ht="20.399999999999999">
      <c r="A296" s="266" t="s">
        <v>555</v>
      </c>
      <c r="B296" s="292" t="s">
        <v>2160</v>
      </c>
      <c r="C296" s="304" t="s">
        <v>1705</v>
      </c>
      <c r="D296" s="262">
        <f>$D$6</f>
        <v>76</v>
      </c>
      <c r="E296" s="262"/>
      <c r="F296" s="278"/>
      <c r="H296" s="290" t="s">
        <v>80</v>
      </c>
      <c r="I296" s="292"/>
    </row>
    <row r="297" spans="1:9">
      <c r="A297" s="266" t="s">
        <v>2171</v>
      </c>
      <c r="B297" s="292" t="s">
        <v>2163</v>
      </c>
      <c r="C297" s="303"/>
      <c r="D297" s="262"/>
      <c r="E297" s="262"/>
      <c r="F297" s="278"/>
      <c r="I297" s="292"/>
    </row>
    <row r="298" spans="1:9">
      <c r="B298" s="292" t="s">
        <v>2169</v>
      </c>
      <c r="C298" s="303"/>
      <c r="D298" s="262"/>
      <c r="E298" s="262"/>
      <c r="F298" s="278"/>
      <c r="I298" s="292"/>
    </row>
    <row r="299" spans="1:9" ht="20.399999999999999">
      <c r="B299" s="292" t="s">
        <v>2190</v>
      </c>
      <c r="C299" s="303"/>
      <c r="D299" s="262"/>
      <c r="E299" s="262"/>
      <c r="F299" s="278"/>
      <c r="I299" s="292"/>
    </row>
    <row r="300" spans="1:9">
      <c r="B300" s="292" t="s">
        <v>2191</v>
      </c>
      <c r="C300" s="303"/>
      <c r="D300" s="262"/>
      <c r="E300" s="262"/>
      <c r="F300" s="278"/>
      <c r="I300" s="292"/>
    </row>
    <row r="301" spans="1:9">
      <c r="B301" s="292" t="s">
        <v>2172</v>
      </c>
      <c r="C301" s="303"/>
      <c r="D301" s="272" t="s">
        <v>2457</v>
      </c>
      <c r="E301" s="262"/>
      <c r="F301" s="278"/>
      <c r="I301" s="292"/>
    </row>
    <row r="302" spans="1:9" ht="20.399999999999999">
      <c r="B302" s="292" t="s">
        <v>2170</v>
      </c>
      <c r="C302" s="304" t="s">
        <v>2185</v>
      </c>
      <c r="D302" s="272">
        <v>464.25</v>
      </c>
      <c r="E302" s="262"/>
      <c r="F302" s="278"/>
      <c r="H302" s="290" t="s">
        <v>106</v>
      </c>
      <c r="I302" s="292"/>
    </row>
    <row r="303" spans="1:9">
      <c r="A303" s="266" t="s">
        <v>2182</v>
      </c>
      <c r="B303" s="268" t="s">
        <v>2161</v>
      </c>
      <c r="C303" s="303"/>
      <c r="D303" s="288"/>
      <c r="E303" s="262"/>
      <c r="F303" s="278"/>
      <c r="I303" s="292"/>
    </row>
    <row r="304" spans="1:9" ht="74.400000000000006">
      <c r="B304" s="292" t="s">
        <v>2173</v>
      </c>
      <c r="C304" s="303"/>
      <c r="D304" s="288"/>
      <c r="E304" s="262"/>
      <c r="F304" s="278"/>
      <c r="I304" s="292"/>
    </row>
    <row r="305" spans="1:9" ht="20.399999999999999">
      <c r="B305" s="292" t="s">
        <v>2174</v>
      </c>
      <c r="C305" s="304"/>
      <c r="D305" s="288"/>
      <c r="E305" s="262"/>
      <c r="F305" s="278"/>
      <c r="I305" s="292">
        <v>2.82</v>
      </c>
    </row>
    <row r="306" spans="1:9">
      <c r="B306" s="292" t="s">
        <v>2175</v>
      </c>
      <c r="C306" s="303"/>
      <c r="D306" s="288"/>
      <c r="E306" s="262"/>
      <c r="F306" s="278"/>
      <c r="I306" s="292"/>
    </row>
    <row r="307" spans="1:9">
      <c r="B307" s="292" t="s">
        <v>2176</v>
      </c>
      <c r="C307" s="303"/>
      <c r="D307" s="272" t="s">
        <v>2436</v>
      </c>
      <c r="E307" s="262"/>
      <c r="F307" s="278"/>
      <c r="I307" s="292"/>
    </row>
    <row r="308" spans="1:9">
      <c r="B308" s="292" t="s">
        <v>2177</v>
      </c>
      <c r="C308" s="303"/>
      <c r="D308" s="272" t="s">
        <v>2470</v>
      </c>
      <c r="E308" s="262"/>
      <c r="F308" s="278"/>
      <c r="I308" s="292"/>
    </row>
    <row r="309" spans="1:9">
      <c r="B309" s="292" t="s">
        <v>2178</v>
      </c>
      <c r="C309" s="304" t="s">
        <v>2183</v>
      </c>
      <c r="D309" s="272" t="s">
        <v>2471</v>
      </c>
      <c r="E309" s="262"/>
      <c r="F309" s="278"/>
      <c r="I309" s="292"/>
    </row>
    <row r="310" spans="1:9">
      <c r="B310" s="292" t="s">
        <v>2179</v>
      </c>
      <c r="C310" s="304" t="s">
        <v>2049</v>
      </c>
      <c r="D310" s="272">
        <v>0.94499999999999995</v>
      </c>
      <c r="E310" s="262" t="str">
        <f>$D$309</f>
        <v>0.945 ÷ 0.950</v>
      </c>
      <c r="F310" s="278"/>
      <c r="I310" s="292"/>
    </row>
    <row r="311" spans="1:9">
      <c r="B311" s="292" t="s">
        <v>2180</v>
      </c>
      <c r="C311" s="304"/>
      <c r="D311" s="272"/>
      <c r="E311" s="262"/>
      <c r="F311" s="278"/>
      <c r="I311" s="292"/>
    </row>
    <row r="312" spans="1:9" ht="20.399999999999999">
      <c r="B312" s="292" t="s">
        <v>2174</v>
      </c>
      <c r="C312" s="304" t="s">
        <v>2186</v>
      </c>
      <c r="D312" s="262">
        <f>$D$310*$D$302</f>
        <v>438.71625</v>
      </c>
      <c r="E312" s="262"/>
      <c r="F312" s="278"/>
      <c r="I312" s="292"/>
    </row>
    <row r="313" spans="1:9" ht="33.6">
      <c r="B313" s="292" t="s">
        <v>2181</v>
      </c>
      <c r="C313" s="304" t="s">
        <v>2095</v>
      </c>
      <c r="D313" s="262">
        <f>$D$312</f>
        <v>438.71625</v>
      </c>
      <c r="E313" s="262"/>
      <c r="F313" s="278"/>
      <c r="H313" s="290" t="s">
        <v>106</v>
      </c>
      <c r="I313" s="292">
        <v>2.83</v>
      </c>
    </row>
    <row r="314" spans="1:9">
      <c r="A314" s="266">
        <v>4</v>
      </c>
      <c r="B314" s="291" t="s">
        <v>2072</v>
      </c>
      <c r="C314" s="303"/>
      <c r="D314" s="262"/>
      <c r="E314" s="262"/>
      <c r="F314" s="278"/>
    </row>
    <row r="315" spans="1:9">
      <c r="A315" s="266" t="s">
        <v>2073</v>
      </c>
      <c r="B315" s="291" t="s">
        <v>2062</v>
      </c>
      <c r="C315" s="303"/>
      <c r="D315" s="262"/>
      <c r="E315" s="262"/>
      <c r="F315" s="278"/>
    </row>
    <row r="316" spans="1:9">
      <c r="B316" s="292" t="s">
        <v>2063</v>
      </c>
      <c r="C316" s="303"/>
      <c r="D316" s="262"/>
      <c r="E316" s="262"/>
      <c r="F316" s="278"/>
    </row>
    <row r="317" spans="1:9" ht="20.399999999999999">
      <c r="B317" s="292" t="s">
        <v>2064</v>
      </c>
      <c r="D317" s="262"/>
      <c r="E317" s="262"/>
      <c r="F317" s="278"/>
      <c r="I317" s="292">
        <v>-2.84</v>
      </c>
    </row>
    <row r="318" spans="1:9" ht="20.399999999999999">
      <c r="B318" s="292" t="s">
        <v>2074</v>
      </c>
      <c r="D318" s="262"/>
      <c r="E318" s="262"/>
      <c r="F318" s="278"/>
      <c r="I318" s="292"/>
    </row>
    <row r="319" spans="1:9">
      <c r="B319" s="292" t="s">
        <v>2075</v>
      </c>
      <c r="D319" s="262"/>
      <c r="E319" s="262"/>
      <c r="F319" s="278"/>
      <c r="I319" s="292"/>
    </row>
    <row r="320" spans="1:9" ht="20.399999999999999">
      <c r="B320" s="292" t="s">
        <v>2076</v>
      </c>
      <c r="D320" s="262"/>
      <c r="E320" s="262"/>
      <c r="F320" s="278"/>
      <c r="I320" s="292"/>
    </row>
    <row r="321" spans="1:9" ht="37.200000000000003">
      <c r="B321" s="292" t="s">
        <v>2077</v>
      </c>
      <c r="D321" s="262"/>
      <c r="E321" s="262"/>
      <c r="F321" s="278"/>
      <c r="I321" s="292"/>
    </row>
    <row r="322" spans="1:9" ht="20.399999999999999">
      <c r="B322" s="263" t="s">
        <v>2078</v>
      </c>
      <c r="D322" s="262"/>
      <c r="E322" s="262"/>
      <c r="F322" s="278"/>
      <c r="I322" s="292"/>
    </row>
    <row r="323" spans="1:9">
      <c r="B323" s="292" t="s">
        <v>1580</v>
      </c>
      <c r="D323" s="262"/>
      <c r="E323" s="262"/>
      <c r="F323" s="278"/>
      <c r="I323" s="278"/>
    </row>
    <row r="324" spans="1:9" ht="37.200000000000003">
      <c r="B324" s="292" t="s">
        <v>2079</v>
      </c>
      <c r="D324" s="262"/>
      <c r="E324" s="262"/>
      <c r="F324" s="278"/>
      <c r="I324" s="292"/>
    </row>
    <row r="325" spans="1:9" ht="37.200000000000003">
      <c r="B325" s="292" t="s">
        <v>2080</v>
      </c>
      <c r="D325" s="262"/>
      <c r="E325" s="262"/>
      <c r="F325" s="278"/>
      <c r="I325" s="292"/>
    </row>
    <row r="326" spans="1:9" ht="33.6">
      <c r="A326" s="266" t="s">
        <v>2082</v>
      </c>
      <c r="B326" s="291" t="s">
        <v>2081</v>
      </c>
      <c r="D326" s="262"/>
      <c r="E326" s="262"/>
      <c r="F326" s="278"/>
      <c r="I326" s="278"/>
    </row>
    <row r="327" spans="1:9">
      <c r="B327" s="263" t="s">
        <v>2096</v>
      </c>
      <c r="D327" s="262"/>
      <c r="E327" s="262"/>
      <c r="F327" s="278"/>
      <c r="I327" s="278"/>
    </row>
    <row r="328" spans="1:9" ht="20.399999999999999">
      <c r="B328" s="292" t="s">
        <v>2097</v>
      </c>
      <c r="D328" s="262"/>
      <c r="E328" s="262"/>
      <c r="F328" s="278"/>
      <c r="I328" s="278"/>
    </row>
    <row r="329" spans="1:9" ht="20.399999999999999">
      <c r="B329" s="292" t="s">
        <v>2065</v>
      </c>
      <c r="D329" s="262"/>
      <c r="E329" s="262"/>
      <c r="F329" s="278"/>
      <c r="I329" s="278"/>
    </row>
    <row r="330" spans="1:9">
      <c r="B330" s="292" t="s">
        <v>2200</v>
      </c>
      <c r="D330" s="262"/>
      <c r="E330" s="262"/>
      <c r="F330" s="278"/>
      <c r="I330" s="278"/>
    </row>
    <row r="331" spans="1:9" ht="20.399999999999999">
      <c r="B331" s="292" t="s">
        <v>2342</v>
      </c>
      <c r="D331" s="262"/>
      <c r="E331" s="262"/>
      <c r="F331" s="278"/>
      <c r="I331" s="278"/>
    </row>
    <row r="332" spans="1:9">
      <c r="B332" s="292" t="s">
        <v>1171</v>
      </c>
      <c r="D332" s="262"/>
      <c r="E332" s="262"/>
      <c r="F332" s="278"/>
      <c r="I332" s="278"/>
    </row>
    <row r="333" spans="1:9">
      <c r="B333" s="292"/>
      <c r="C333" s="304" t="s">
        <v>2085</v>
      </c>
      <c r="D333" s="262">
        <f>PI()</f>
        <v>3.1415926535897931</v>
      </c>
      <c r="E333" s="262"/>
      <c r="F333" s="278"/>
      <c r="I333" s="278"/>
    </row>
    <row r="334" spans="1:9" ht="20.399999999999999">
      <c r="B334" s="292"/>
      <c r="C334" s="304" t="s">
        <v>2095</v>
      </c>
      <c r="D334" s="262">
        <f>($D$313)/10^3</f>
        <v>0.43871625000000003</v>
      </c>
      <c r="E334" s="262"/>
      <c r="F334" s="278"/>
      <c r="I334" s="278"/>
    </row>
    <row r="335" spans="1:9" ht="20.399999999999999">
      <c r="B335" s="292" t="s">
        <v>2201</v>
      </c>
      <c r="D335" s="262"/>
      <c r="E335" s="262"/>
      <c r="F335" s="278"/>
      <c r="I335" s="278"/>
    </row>
    <row r="336" spans="1:9" ht="20.399999999999999">
      <c r="B336" s="292" t="s">
        <v>2202</v>
      </c>
      <c r="D336" s="262"/>
      <c r="E336" s="262"/>
      <c r="F336" s="278"/>
      <c r="I336" s="292"/>
    </row>
    <row r="337" spans="1:9">
      <c r="B337" s="292" t="s">
        <v>2192</v>
      </c>
      <c r="D337" s="262"/>
      <c r="E337" s="262"/>
      <c r="F337" s="278"/>
      <c r="I337" s="292"/>
    </row>
    <row r="338" spans="1:9" ht="20.399999999999999">
      <c r="B338" s="292" t="s">
        <v>2193</v>
      </c>
      <c r="C338" s="304"/>
      <c r="D338" s="262"/>
      <c r="E338" s="262"/>
      <c r="F338" s="278"/>
      <c r="I338" s="278"/>
    </row>
    <row r="339" spans="1:9" ht="20.399999999999999">
      <c r="A339" s="291"/>
      <c r="B339" s="292" t="s">
        <v>2206</v>
      </c>
      <c r="D339" s="262"/>
      <c r="E339" s="262"/>
      <c r="F339" s="278"/>
      <c r="I339" s="292"/>
    </row>
    <row r="340" spans="1:9">
      <c r="A340" s="291"/>
      <c r="B340" s="292" t="s">
        <v>1580</v>
      </c>
      <c r="D340" s="262"/>
      <c r="E340" s="262"/>
      <c r="F340" s="278"/>
      <c r="I340" s="292"/>
    </row>
    <row r="341" spans="1:9" ht="20.399999999999999">
      <c r="B341" s="292" t="s">
        <v>2194</v>
      </c>
      <c r="C341" s="304" t="s">
        <v>2084</v>
      </c>
      <c r="D341" s="262">
        <f>($D$6)*(10^3)/3600</f>
        <v>21.111111111111111</v>
      </c>
      <c r="E341" s="262"/>
      <c r="F341" s="278"/>
      <c r="H341" s="290" t="s">
        <v>2043</v>
      </c>
      <c r="I341" s="278"/>
    </row>
    <row r="342" spans="1:9">
      <c r="B342" s="292" t="s">
        <v>2203</v>
      </c>
      <c r="C342" s="304"/>
      <c r="D342" s="262"/>
      <c r="E342" s="262"/>
      <c r="F342" s="278"/>
      <c r="I342" s="278"/>
    </row>
    <row r="343" spans="1:9" ht="20.399999999999999">
      <c r="B343" s="292" t="s">
        <v>2204</v>
      </c>
      <c r="C343" s="304"/>
      <c r="D343" s="262"/>
      <c r="E343" s="262"/>
      <c r="F343" s="278"/>
      <c r="I343" s="278"/>
    </row>
    <row r="344" spans="1:9" ht="20.399999999999999">
      <c r="B344" s="292" t="s">
        <v>2195</v>
      </c>
      <c r="C344" s="304" t="s">
        <v>2086</v>
      </c>
      <c r="D344" s="262">
        <f>($D$192)*($D$202)</f>
        <v>1840</v>
      </c>
      <c r="E344" s="262"/>
      <c r="F344" s="278"/>
      <c r="H344" s="290" t="s">
        <v>2060</v>
      </c>
      <c r="I344" s="278"/>
    </row>
    <row r="345" spans="1:9" ht="20.399999999999999">
      <c r="B345" s="292"/>
      <c r="C345" s="304" t="s">
        <v>2086</v>
      </c>
      <c r="D345" s="262">
        <f>($D$344)/60</f>
        <v>30.666666666666668</v>
      </c>
      <c r="E345" s="262"/>
      <c r="F345" s="278"/>
      <c r="H345" s="290" t="s">
        <v>2212</v>
      </c>
      <c r="I345" s="278"/>
    </row>
    <row r="346" spans="1:9" ht="20.399999999999999">
      <c r="B346" s="292" t="s">
        <v>2205</v>
      </c>
      <c r="D346" s="262"/>
      <c r="E346" s="262"/>
      <c r="F346" s="278"/>
      <c r="I346" s="278"/>
    </row>
    <row r="347" spans="1:9" ht="20.399999999999999">
      <c r="B347" s="292" t="s">
        <v>2207</v>
      </c>
      <c r="D347" s="262"/>
      <c r="E347" s="262"/>
      <c r="F347" s="278"/>
      <c r="I347" s="278"/>
    </row>
    <row r="348" spans="1:9" ht="20.399999999999999">
      <c r="B348" s="292" t="s">
        <v>2196</v>
      </c>
      <c r="D348" s="272" t="s">
        <v>2472</v>
      </c>
      <c r="E348" s="262"/>
      <c r="F348" s="278"/>
      <c r="I348" s="278"/>
    </row>
    <row r="349" spans="1:9" ht="20.399999999999999">
      <c r="B349" s="293" t="s">
        <v>2197</v>
      </c>
      <c r="C349" s="305" t="s">
        <v>2188</v>
      </c>
      <c r="D349" s="272">
        <v>0.65</v>
      </c>
      <c r="E349" s="262"/>
      <c r="F349" s="278"/>
      <c r="I349" s="278"/>
    </row>
    <row r="350" spans="1:9" ht="20.399999999999999">
      <c r="B350" s="292" t="s">
        <v>2198</v>
      </c>
      <c r="C350" s="304" t="s">
        <v>2189</v>
      </c>
      <c r="D350" s="272">
        <v>1</v>
      </c>
      <c r="E350" s="262"/>
      <c r="F350" s="278"/>
      <c r="I350" s="278"/>
    </row>
    <row r="351" spans="1:9" ht="20.399999999999999">
      <c r="B351" s="292" t="s">
        <v>2208</v>
      </c>
      <c r="C351" s="304" t="s">
        <v>2199</v>
      </c>
      <c r="D351" s="262">
        <f>($D$349)*($D$350)</f>
        <v>0.65</v>
      </c>
      <c r="E351" s="262"/>
      <c r="F351" s="278"/>
      <c r="I351" s="278"/>
    </row>
    <row r="352" spans="1:9" ht="33.6">
      <c r="B352" s="292" t="s">
        <v>2209</v>
      </c>
      <c r="C352" s="304"/>
      <c r="D352" s="262"/>
      <c r="E352" s="262"/>
      <c r="F352" s="278"/>
      <c r="I352" s="278"/>
    </row>
    <row r="353" spans="1:17" ht="20.399999999999999">
      <c r="B353" s="292" t="s">
        <v>2067</v>
      </c>
      <c r="D353" s="262"/>
      <c r="E353" s="262"/>
      <c r="F353" s="278"/>
      <c r="I353" s="292">
        <v>-2.85</v>
      </c>
    </row>
    <row r="354" spans="1:17" ht="20.399999999999999">
      <c r="B354" s="292" t="s">
        <v>2068</v>
      </c>
      <c r="C354" s="304" t="s">
        <v>2210</v>
      </c>
      <c r="D354" s="262">
        <f>2*$D$333*$D$334*$D$345/($D$341*$D$351)</f>
        <v>6.1603546307836092</v>
      </c>
      <c r="E354" s="262"/>
      <c r="F354" s="278"/>
      <c r="I354" s="278"/>
    </row>
    <row r="355" spans="1:17">
      <c r="B355" s="292" t="s">
        <v>2211</v>
      </c>
      <c r="D355" s="262" t="s">
        <v>1434</v>
      </c>
      <c r="E355" s="262"/>
      <c r="F355" s="278"/>
      <c r="I355" s="278"/>
    </row>
    <row r="356" spans="1:17" ht="20.399999999999999">
      <c r="B356" s="292" t="s">
        <v>2214</v>
      </c>
      <c r="C356" s="304" t="s">
        <v>2213</v>
      </c>
      <c r="D356" s="272" t="s">
        <v>2184</v>
      </c>
      <c r="E356" s="262"/>
      <c r="F356" s="278"/>
      <c r="I356" s="278"/>
    </row>
    <row r="357" spans="1:17" ht="20.399999999999999">
      <c r="B357" s="292" t="s">
        <v>2215</v>
      </c>
      <c r="C357" s="304" t="s">
        <v>2210</v>
      </c>
      <c r="D357" s="262">
        <f>$D$354</f>
        <v>6.1603546307836092</v>
      </c>
      <c r="E357" s="262" t="s">
        <v>2216</v>
      </c>
      <c r="F357" s="278" t="str">
        <f>$D$356</f>
        <v>… ÷ …</v>
      </c>
      <c r="I357" s="278"/>
    </row>
    <row r="358" spans="1:17" ht="33.6">
      <c r="B358" s="292" t="s">
        <v>2069</v>
      </c>
      <c r="C358" s="304" t="s">
        <v>2222</v>
      </c>
      <c r="D358" s="262">
        <f>$D$357</f>
        <v>6.1603546307836092</v>
      </c>
      <c r="E358" s="262"/>
      <c r="F358" s="278"/>
      <c r="I358" s="292">
        <v>-2.86</v>
      </c>
    </row>
    <row r="359" spans="1:17" ht="33.6">
      <c r="A359" s="266" t="s">
        <v>2087</v>
      </c>
      <c r="B359" s="291" t="s">
        <v>2088</v>
      </c>
      <c r="D359" s="262"/>
      <c r="E359" s="262"/>
      <c r="F359" s="278"/>
      <c r="I359" s="278"/>
    </row>
    <row r="360" spans="1:17">
      <c r="B360" s="292" t="s">
        <v>2091</v>
      </c>
      <c r="D360" s="262"/>
      <c r="E360" s="262"/>
      <c r="F360" s="278"/>
      <c r="I360" s="278"/>
    </row>
    <row r="361" spans="1:17" ht="20.399999999999999">
      <c r="B361" s="292" t="s">
        <v>2092</v>
      </c>
      <c r="D361" s="262"/>
      <c r="E361" s="262"/>
      <c r="F361" s="278"/>
      <c r="I361" s="278"/>
    </row>
    <row r="362" spans="1:17">
      <c r="B362" s="292" t="s">
        <v>2090</v>
      </c>
      <c r="D362" s="262"/>
      <c r="E362" s="262"/>
      <c r="F362" s="278"/>
      <c r="I362" s="278"/>
    </row>
    <row r="363" spans="1:17" ht="20.399999999999999">
      <c r="B363" s="292" t="s">
        <v>2089</v>
      </c>
      <c r="D363" s="262"/>
      <c r="E363" s="262"/>
      <c r="F363" s="278"/>
      <c r="I363" s="278"/>
    </row>
    <row r="364" spans="1:17" ht="20.399999999999999">
      <c r="B364" s="292" t="s">
        <v>2083</v>
      </c>
      <c r="D364" s="262"/>
      <c r="E364" s="262"/>
      <c r="F364" s="278"/>
      <c r="I364" s="292"/>
    </row>
    <row r="365" spans="1:17" s="296" customFormat="1" ht="20.399999999999999">
      <c r="A365" s="326"/>
      <c r="B365" s="295" t="s">
        <v>2093</v>
      </c>
      <c r="C365" s="302" t="s">
        <v>1702</v>
      </c>
      <c r="D365" s="276">
        <f>($D$89)*(10^3)/3600</f>
        <v>1.1111111111111112</v>
      </c>
      <c r="E365" s="276"/>
      <c r="F365" s="297"/>
      <c r="H365" s="296" t="s">
        <v>2043</v>
      </c>
      <c r="I365" s="297"/>
      <c r="Q365" s="294"/>
    </row>
    <row r="366" spans="1:17" s="296" customFormat="1">
      <c r="A366" s="326"/>
      <c r="B366" s="295" t="s">
        <v>2217</v>
      </c>
      <c r="C366" s="300"/>
      <c r="D366" s="276"/>
      <c r="E366" s="276"/>
      <c r="F366" s="297"/>
      <c r="H366" s="276"/>
      <c r="Q366" s="294"/>
    </row>
    <row r="367" spans="1:17" s="296" customFormat="1" ht="20.399999999999999">
      <c r="A367" s="326"/>
      <c r="B367" s="295" t="s">
        <v>2223</v>
      </c>
      <c r="C367" s="300"/>
      <c r="D367" s="276"/>
      <c r="E367" s="276"/>
      <c r="F367" s="297"/>
      <c r="H367" s="276"/>
      <c r="Q367" s="294"/>
    </row>
    <row r="368" spans="1:17" s="296" customFormat="1" ht="20.399999999999999">
      <c r="A368" s="330"/>
      <c r="B368" s="295" t="s">
        <v>2230</v>
      </c>
      <c r="C368" s="300"/>
      <c r="D368" s="276"/>
      <c r="E368" s="276"/>
      <c r="F368" s="297"/>
      <c r="I368" s="295"/>
      <c r="Q368" s="294"/>
    </row>
    <row r="369" spans="1:17" s="296" customFormat="1">
      <c r="A369" s="330"/>
      <c r="B369" s="295" t="s">
        <v>1580</v>
      </c>
      <c r="C369" s="300"/>
      <c r="D369" s="276"/>
      <c r="E369" s="276"/>
      <c r="F369" s="297"/>
      <c r="I369" s="295"/>
      <c r="Q369" s="294"/>
    </row>
    <row r="370" spans="1:17" s="296" customFormat="1" ht="20.399999999999999">
      <c r="A370" s="326"/>
      <c r="B370" s="295" t="s">
        <v>2231</v>
      </c>
      <c r="C370" s="302" t="s">
        <v>1788</v>
      </c>
      <c r="D370" s="276">
        <f>$D$151</f>
        <v>600</v>
      </c>
      <c r="E370" s="276"/>
      <c r="F370" s="297"/>
      <c r="H370" s="327" t="s">
        <v>2060</v>
      </c>
      <c r="Q370" s="294"/>
    </row>
    <row r="371" spans="1:17" s="296" customFormat="1" ht="20.399999999999999">
      <c r="A371" s="326"/>
      <c r="B371" s="295"/>
      <c r="C371" s="302" t="s">
        <v>1788</v>
      </c>
      <c r="D371" s="276">
        <f>($D$151)/60</f>
        <v>10</v>
      </c>
      <c r="E371" s="276"/>
      <c r="F371" s="297"/>
      <c r="H371" s="327" t="s">
        <v>2212</v>
      </c>
      <c r="Q371" s="294"/>
    </row>
    <row r="372" spans="1:17" s="296" customFormat="1" ht="20.399999999999999">
      <c r="A372" s="326"/>
      <c r="B372" s="295" t="s">
        <v>2232</v>
      </c>
      <c r="C372" s="300"/>
      <c r="D372" s="276"/>
      <c r="E372" s="276"/>
      <c r="F372" s="297"/>
      <c r="I372" s="297"/>
      <c r="Q372" s="294"/>
    </row>
    <row r="373" spans="1:17" s="296" customFormat="1" ht="20.399999999999999">
      <c r="A373" s="326"/>
      <c r="B373" s="292" t="s">
        <v>2234</v>
      </c>
      <c r="C373" s="300"/>
      <c r="D373" s="276"/>
      <c r="E373" s="276"/>
      <c r="F373" s="297"/>
      <c r="I373" s="297"/>
      <c r="Q373" s="294"/>
    </row>
    <row r="374" spans="1:17" s="296" customFormat="1" ht="20.399999999999999">
      <c r="A374" s="326"/>
      <c r="B374" s="295" t="s">
        <v>2233</v>
      </c>
      <c r="C374" s="300"/>
      <c r="D374" s="276"/>
      <c r="E374" s="276"/>
      <c r="F374" s="297"/>
      <c r="I374" s="297"/>
      <c r="Q374" s="294"/>
    </row>
    <row r="375" spans="1:17" s="296" customFormat="1">
      <c r="A375" s="326"/>
      <c r="B375" s="295" t="s">
        <v>2066</v>
      </c>
      <c r="C375" s="300"/>
      <c r="D375" s="276"/>
      <c r="E375" s="276"/>
      <c r="F375" s="297"/>
      <c r="I375" s="297"/>
      <c r="Q375" s="294"/>
    </row>
    <row r="376" spans="1:17" s="296" customFormat="1">
      <c r="A376" s="326"/>
      <c r="B376" s="295" t="s">
        <v>2236</v>
      </c>
      <c r="C376" s="302" t="s">
        <v>2085</v>
      </c>
      <c r="D376" s="276">
        <f>PI()</f>
        <v>3.1415926535897931</v>
      </c>
      <c r="E376" s="276"/>
      <c r="F376" s="297"/>
      <c r="I376" s="297"/>
      <c r="Q376" s="294"/>
    </row>
    <row r="377" spans="1:17" s="296" customFormat="1" ht="20.399999999999999">
      <c r="A377" s="326"/>
      <c r="B377" s="295" t="s">
        <v>2235</v>
      </c>
      <c r="C377" s="302" t="s">
        <v>2224</v>
      </c>
      <c r="D377" s="276">
        <f>($D$313)/(10^3)</f>
        <v>0.43871625000000003</v>
      </c>
      <c r="E377" s="276"/>
      <c r="F377" s="297"/>
      <c r="H377" s="296" t="s">
        <v>2094</v>
      </c>
      <c r="I377" s="297"/>
      <c r="Q377" s="294"/>
    </row>
    <row r="378" spans="1:17" s="296" customFormat="1" ht="33.6">
      <c r="A378" s="326"/>
      <c r="B378" s="295" t="s">
        <v>2070</v>
      </c>
      <c r="C378" s="302" t="s">
        <v>2225</v>
      </c>
      <c r="D378" s="276">
        <f>$D$358</f>
        <v>6.1603546307836092</v>
      </c>
      <c r="E378" s="276"/>
      <c r="F378" s="297"/>
      <c r="I378" s="297"/>
      <c r="Q378" s="294"/>
    </row>
    <row r="379" spans="1:17" s="296" customFormat="1" ht="20.399999999999999">
      <c r="A379" s="326"/>
      <c r="B379" s="293" t="s">
        <v>2227</v>
      </c>
      <c r="C379" s="300"/>
      <c r="D379" s="276"/>
      <c r="E379" s="276"/>
      <c r="F379" s="297"/>
      <c r="I379" s="297"/>
      <c r="Q379" s="294"/>
    </row>
    <row r="380" spans="1:17" s="296" customFormat="1" ht="20.399999999999999">
      <c r="A380" s="326"/>
      <c r="B380" s="295" t="s">
        <v>2228</v>
      </c>
      <c r="C380" s="300"/>
      <c r="D380" s="276"/>
      <c r="E380" s="276"/>
      <c r="F380" s="297"/>
      <c r="I380" s="295"/>
      <c r="Q380" s="294"/>
    </row>
    <row r="381" spans="1:17" s="296" customFormat="1" ht="20.399999999999999">
      <c r="A381" s="326"/>
      <c r="B381" s="295" t="s">
        <v>2229</v>
      </c>
      <c r="C381" s="300"/>
      <c r="D381" s="276"/>
      <c r="E381" s="276"/>
      <c r="F381" s="297"/>
      <c r="I381" s="295">
        <v>-2.87</v>
      </c>
      <c r="Q381" s="294"/>
    </row>
    <row r="382" spans="1:17" s="296" customFormat="1" ht="20.399999999999999">
      <c r="A382" s="326"/>
      <c r="B382" s="295" t="s">
        <v>2071</v>
      </c>
      <c r="C382" s="302" t="s">
        <v>2226</v>
      </c>
      <c r="D382" s="276">
        <f>2*($D$376)*($D$377)*($D$371)/(($D$365)*($D$378))</f>
        <v>4.0271739130434776</v>
      </c>
      <c r="E382" s="276"/>
      <c r="F382" s="297"/>
      <c r="I382" s="297"/>
      <c r="Q382" s="294"/>
    </row>
    <row r="383" spans="1:17">
      <c r="B383" s="292" t="s">
        <v>1697</v>
      </c>
      <c r="D383" s="272" t="s">
        <v>1434</v>
      </c>
      <c r="E383" s="262"/>
      <c r="F383" s="278"/>
      <c r="I383" s="278"/>
    </row>
    <row r="384" spans="1:17" ht="20.399999999999999">
      <c r="B384" s="292" t="s">
        <v>2214</v>
      </c>
      <c r="C384" s="304" t="s">
        <v>2218</v>
      </c>
      <c r="D384" s="272" t="s">
        <v>2184</v>
      </c>
      <c r="E384" s="262"/>
      <c r="F384" s="278"/>
      <c r="I384" s="278"/>
    </row>
    <row r="385" spans="1:17" ht="20.399999999999999">
      <c r="B385" s="292" t="s">
        <v>2215</v>
      </c>
      <c r="C385" s="304" t="s">
        <v>2220</v>
      </c>
      <c r="D385" s="262">
        <f>$D$382</f>
        <v>4.0271739130434776</v>
      </c>
      <c r="E385" s="262" t="s">
        <v>2219</v>
      </c>
      <c r="F385" s="278" t="str">
        <f>$D$384</f>
        <v>… ÷ …</v>
      </c>
      <c r="I385" s="278"/>
    </row>
    <row r="386" spans="1:17" ht="33.6">
      <c r="B386" s="292" t="s">
        <v>2237</v>
      </c>
      <c r="C386" s="304" t="s">
        <v>2221</v>
      </c>
      <c r="D386" s="262">
        <f>$D$385</f>
        <v>4.0271739130434776</v>
      </c>
      <c r="E386" s="262"/>
      <c r="F386" s="278"/>
      <c r="I386" s="292">
        <v>2.88</v>
      </c>
    </row>
    <row r="387" spans="1:17" s="267" customFormat="1" ht="33.6">
      <c r="A387" s="266" t="s">
        <v>2265</v>
      </c>
      <c r="B387" s="330" t="s">
        <v>2263</v>
      </c>
      <c r="C387" s="269"/>
      <c r="D387" s="331"/>
      <c r="E387" s="318"/>
      <c r="F387" s="319"/>
      <c r="Q387" s="344"/>
    </row>
    <row r="388" spans="1:17" s="281" customFormat="1">
      <c r="A388" s="322" t="s">
        <v>551</v>
      </c>
      <c r="B388" s="285" t="s">
        <v>2264</v>
      </c>
      <c r="C388" s="270"/>
      <c r="D388" s="328"/>
      <c r="E388" s="336"/>
      <c r="F388" s="329"/>
      <c r="Q388" s="346"/>
    </row>
    <row r="389" spans="1:17" s="281" customFormat="1">
      <c r="A389" s="322"/>
      <c r="B389" s="274" t="s">
        <v>2268</v>
      </c>
      <c r="C389" s="302" t="s">
        <v>2239</v>
      </c>
      <c r="D389" s="272" t="s">
        <v>2478</v>
      </c>
      <c r="E389" s="336"/>
      <c r="F389" s="329"/>
      <c r="Q389" s="346"/>
    </row>
    <row r="390" spans="1:17" ht="20.399999999999999">
      <c r="B390" s="295" t="s">
        <v>2254</v>
      </c>
      <c r="C390" s="302" t="s">
        <v>2252</v>
      </c>
      <c r="D390" s="272" t="s">
        <v>1587</v>
      </c>
      <c r="E390" s="276" t="s">
        <v>2240</v>
      </c>
      <c r="F390" s="278" t="str">
        <f>$D$389</f>
        <v>(1.18 ÷ 1.54)</v>
      </c>
    </row>
    <row r="391" spans="1:17" ht="33.6">
      <c r="B391" s="295" t="s">
        <v>2275</v>
      </c>
      <c r="C391" s="302" t="s">
        <v>2258</v>
      </c>
      <c r="D391" s="276">
        <v>1</v>
      </c>
      <c r="E391" s="276"/>
      <c r="F391" s="278"/>
    </row>
    <row r="392" spans="1:17">
      <c r="B392" s="295" t="s">
        <v>2255</v>
      </c>
      <c r="C392" s="304"/>
      <c r="D392" s="272"/>
      <c r="E392" s="262"/>
      <c r="F392" s="278"/>
    </row>
    <row r="393" spans="1:17" ht="20.399999999999999">
      <c r="B393" s="295" t="s">
        <v>2256</v>
      </c>
      <c r="C393" s="302" t="s">
        <v>2252</v>
      </c>
      <c r="D393" s="276" t="str">
        <f>$D$390</f>
        <v>xxx</v>
      </c>
      <c r="E393" s="276"/>
      <c r="F393" s="278"/>
    </row>
    <row r="394" spans="1:17" ht="20.399999999999999">
      <c r="B394" s="295" t="s">
        <v>2257</v>
      </c>
      <c r="C394" s="302" t="s">
        <v>2241</v>
      </c>
      <c r="D394" s="276">
        <f>$D$386</f>
        <v>4.0271739130434776</v>
      </c>
      <c r="E394" s="262"/>
      <c r="F394" s="278"/>
    </row>
    <row r="395" spans="1:17" ht="20.399999999999999">
      <c r="B395" s="295" t="s">
        <v>2343</v>
      </c>
      <c r="C395" s="302" t="s">
        <v>2258</v>
      </c>
      <c r="D395" s="276">
        <f>$D$391</f>
        <v>1</v>
      </c>
      <c r="E395" s="262"/>
      <c r="F395" s="278"/>
    </row>
    <row r="396" spans="1:17" ht="20.399999999999999">
      <c r="B396" s="295" t="s">
        <v>2274</v>
      </c>
      <c r="C396" s="304"/>
      <c r="D396" s="272"/>
      <c r="E396" s="262"/>
      <c r="F396" s="278"/>
    </row>
    <row r="397" spans="1:17" ht="20.399999999999999">
      <c r="B397" s="295" t="s">
        <v>2344</v>
      </c>
      <c r="C397" s="302"/>
      <c r="D397" s="272"/>
      <c r="E397" s="262"/>
      <c r="F397" s="278"/>
    </row>
    <row r="398" spans="1:17">
      <c r="B398" s="295" t="s">
        <v>2259</v>
      </c>
      <c r="C398" s="302" t="s">
        <v>2345</v>
      </c>
      <c r="D398" s="276" t="e">
        <f>LOG((($D$394)/($D$395)),($D$393))+1</f>
        <v>#VALUE!</v>
      </c>
      <c r="E398" s="262"/>
      <c r="F398" s="278"/>
    </row>
    <row r="399" spans="1:17">
      <c r="B399" s="295" t="s">
        <v>2260</v>
      </c>
      <c r="C399" s="304"/>
      <c r="D399" s="272"/>
      <c r="E399" s="262"/>
      <c r="F399" s="278"/>
    </row>
    <row r="400" spans="1:17">
      <c r="B400" s="295" t="s">
        <v>2261</v>
      </c>
      <c r="C400" s="304" t="s">
        <v>2110</v>
      </c>
      <c r="D400" s="272" t="s">
        <v>1587</v>
      </c>
      <c r="E400" s="262"/>
      <c r="F400" s="278"/>
      <c r="I400" s="290" t="s">
        <v>2346</v>
      </c>
    </row>
    <row r="401" spans="1:17">
      <c r="A401" s="322" t="s">
        <v>553</v>
      </c>
      <c r="B401" s="268" t="s">
        <v>2322</v>
      </c>
      <c r="C401" s="304"/>
      <c r="D401" s="272"/>
      <c r="E401" s="262"/>
      <c r="F401" s="278"/>
    </row>
    <row r="402" spans="1:17">
      <c r="A402" s="322"/>
      <c r="B402" s="292" t="s">
        <v>2323</v>
      </c>
      <c r="C402" s="278"/>
      <c r="D402" s="278"/>
      <c r="E402" s="278"/>
      <c r="F402" s="278"/>
    </row>
    <row r="403" spans="1:17" ht="20.399999999999999">
      <c r="B403" s="292" t="s">
        <v>2326</v>
      </c>
      <c r="C403" s="302" t="s">
        <v>2241</v>
      </c>
      <c r="D403" s="276">
        <f>$D$386</f>
        <v>4.0271739130434776</v>
      </c>
      <c r="E403" s="262"/>
      <c r="F403" s="278"/>
    </row>
    <row r="404" spans="1:17" ht="20.399999999999999">
      <c r="B404" s="292" t="s">
        <v>2327</v>
      </c>
      <c r="C404" s="302" t="s">
        <v>2258</v>
      </c>
      <c r="D404" s="276">
        <f>$D$395</f>
        <v>1</v>
      </c>
      <c r="E404" s="262"/>
      <c r="F404" s="278"/>
    </row>
    <row r="405" spans="1:17">
      <c r="B405" s="292" t="s">
        <v>2325</v>
      </c>
      <c r="C405" s="302" t="s">
        <v>2110</v>
      </c>
      <c r="D405" s="276" t="str">
        <f>$D$400</f>
        <v>xxx</v>
      </c>
      <c r="E405" s="276"/>
      <c r="F405" s="278"/>
    </row>
    <row r="406" spans="1:17">
      <c r="B406" s="292" t="s">
        <v>2328</v>
      </c>
      <c r="C406" s="302"/>
      <c r="D406" s="276"/>
      <c r="E406" s="262"/>
      <c r="F406" s="278"/>
    </row>
    <row r="407" spans="1:17" ht="21">
      <c r="B407" s="292" t="s">
        <v>2324</v>
      </c>
      <c r="C407" s="302"/>
      <c r="D407" s="276"/>
      <c r="E407" s="262"/>
      <c r="F407" s="278"/>
    </row>
    <row r="408" spans="1:17">
      <c r="B408" s="295" t="s">
        <v>2253</v>
      </c>
      <c r="C408" s="302" t="s">
        <v>2262</v>
      </c>
      <c r="D408" s="276">
        <f>(($D$403)/($D$404))^(1/(5-1))</f>
        <v>1.416609324919738</v>
      </c>
      <c r="E408" s="276" t="s">
        <v>2240</v>
      </c>
      <c r="F408" s="278" t="str">
        <f>$D$389</f>
        <v>(1.18 ÷ 1.54)</v>
      </c>
      <c r="I408" s="290" t="s">
        <v>2347</v>
      </c>
    </row>
    <row r="409" spans="1:17" s="281" customFormat="1">
      <c r="A409" s="322" t="s">
        <v>555</v>
      </c>
      <c r="B409" s="285" t="s">
        <v>2238</v>
      </c>
      <c r="C409" s="270"/>
      <c r="D409" s="328"/>
      <c r="E409" s="336"/>
      <c r="F409" s="329"/>
      <c r="Q409" s="346"/>
    </row>
    <row r="410" spans="1:17" ht="33.6">
      <c r="B410" s="292" t="s">
        <v>2321</v>
      </c>
      <c r="C410" s="302"/>
      <c r="D410" s="262"/>
      <c r="E410" s="276"/>
      <c r="F410" s="278"/>
    </row>
    <row r="411" spans="1:17">
      <c r="B411" s="295" t="s">
        <v>2293</v>
      </c>
      <c r="C411" s="302" t="s">
        <v>2262</v>
      </c>
      <c r="D411" s="276">
        <f>$D$408</f>
        <v>1.416609324919738</v>
      </c>
      <c r="E411" s="276" t="s">
        <v>2240</v>
      </c>
      <c r="F411" s="278" t="str">
        <f>$D$389</f>
        <v>(1.18 ÷ 1.54)</v>
      </c>
    </row>
    <row r="412" spans="1:17" ht="20.399999999999999">
      <c r="B412" s="295" t="s">
        <v>2281</v>
      </c>
      <c r="C412" s="302" t="s">
        <v>2241</v>
      </c>
      <c r="D412" s="276">
        <f>$D$386</f>
        <v>4.0271739130434776</v>
      </c>
      <c r="E412" s="262"/>
      <c r="F412" s="278"/>
    </row>
    <row r="413" spans="1:17">
      <c r="B413" s="295" t="s">
        <v>2283</v>
      </c>
      <c r="C413" s="302" t="s">
        <v>2110</v>
      </c>
      <c r="D413" s="276" t="str">
        <f>$D$405</f>
        <v>xxx</v>
      </c>
      <c r="E413" s="276"/>
      <c r="F413" s="278"/>
    </row>
    <row r="414" spans="1:17" s="296" customFormat="1">
      <c r="A414" s="326"/>
      <c r="B414" s="295" t="s">
        <v>2292</v>
      </c>
      <c r="C414" s="300"/>
      <c r="Q414" s="294"/>
    </row>
    <row r="415" spans="1:17" s="296" customFormat="1" ht="20.399999999999999">
      <c r="A415" s="326"/>
      <c r="B415" s="295" t="s">
        <v>2242</v>
      </c>
      <c r="C415" s="302" t="s">
        <v>2243</v>
      </c>
      <c r="D415" s="296">
        <f>(($D$412)/($D$411))</f>
        <v>2.8428260651691311</v>
      </c>
      <c r="I415" s="296" t="s">
        <v>2348</v>
      </c>
      <c r="Q415" s="294"/>
    </row>
    <row r="416" spans="1:17" s="296" customFormat="1">
      <c r="A416" s="326"/>
      <c r="B416" s="295" t="s">
        <v>2286</v>
      </c>
      <c r="C416" s="300"/>
      <c r="Q416" s="294"/>
    </row>
    <row r="417" spans="1:17" s="296" customFormat="1" ht="20.399999999999999">
      <c r="A417" s="326"/>
      <c r="B417" s="295" t="s">
        <v>2244</v>
      </c>
      <c r="C417" s="302" t="s">
        <v>2245</v>
      </c>
      <c r="D417" s="296">
        <f>($D$415)/($D$411)</f>
        <v>2.0067819794495558</v>
      </c>
      <c r="I417" s="296">
        <v>2.92</v>
      </c>
      <c r="Q417" s="294"/>
    </row>
    <row r="418" spans="1:17" s="296" customFormat="1">
      <c r="A418" s="326"/>
      <c r="B418" s="295" t="s">
        <v>2291</v>
      </c>
      <c r="C418" s="300"/>
      <c r="Q418" s="294"/>
    </row>
    <row r="419" spans="1:17" s="296" customFormat="1" ht="20.399999999999999">
      <c r="A419" s="326"/>
      <c r="B419" s="295" t="s">
        <v>2246</v>
      </c>
      <c r="C419" s="302" t="s">
        <v>2247</v>
      </c>
      <c r="D419" s="296">
        <f>($D$417)/($D$411)</f>
        <v>1.416609324919738</v>
      </c>
      <c r="I419" s="296" t="s">
        <v>2349</v>
      </c>
      <c r="Q419" s="294"/>
    </row>
    <row r="420" spans="1:17" s="296" customFormat="1">
      <c r="A420" s="326"/>
      <c r="B420" s="295" t="s">
        <v>2289</v>
      </c>
      <c r="C420" s="302"/>
      <c r="Q420" s="294"/>
    </row>
    <row r="421" spans="1:17" s="296" customFormat="1" ht="20.399999999999999">
      <c r="A421" s="326"/>
      <c r="B421" s="295" t="s">
        <v>2248</v>
      </c>
      <c r="C421" s="302" t="s">
        <v>2249</v>
      </c>
      <c r="D421" s="296">
        <f>(($D$419)/($D$411))</f>
        <v>1</v>
      </c>
      <c r="I421" s="296" t="s">
        <v>2350</v>
      </c>
      <c r="Q421" s="294"/>
    </row>
    <row r="422" spans="1:17" s="296" customFormat="1">
      <c r="A422" s="326"/>
      <c r="B422" s="295" t="s">
        <v>2290</v>
      </c>
      <c r="C422" s="302"/>
      <c r="Q422" s="294"/>
    </row>
    <row r="423" spans="1:17" s="296" customFormat="1" ht="20.399999999999999">
      <c r="A423" s="326"/>
      <c r="B423" s="295" t="s">
        <v>2250</v>
      </c>
      <c r="C423" s="302" t="s">
        <v>2251</v>
      </c>
      <c r="D423" s="296">
        <f>($D$421)/(D411)</f>
        <v>0.70591092576399483</v>
      </c>
      <c r="I423" s="296" t="s">
        <v>2351</v>
      </c>
      <c r="Q423" s="294"/>
    </row>
    <row r="424" spans="1:17" s="296" customFormat="1">
      <c r="A424" s="326"/>
      <c r="B424" s="295"/>
      <c r="C424" s="302"/>
      <c r="Q424" s="294"/>
    </row>
    <row r="425" spans="1:17" s="267" customFormat="1" ht="33.6">
      <c r="A425" s="266" t="s">
        <v>2265</v>
      </c>
      <c r="B425" s="330" t="s">
        <v>2266</v>
      </c>
      <c r="C425" s="269"/>
      <c r="D425" s="331"/>
      <c r="E425" s="318"/>
      <c r="F425" s="319"/>
      <c r="Q425" s="344"/>
    </row>
    <row r="426" spans="1:17" s="281" customFormat="1">
      <c r="A426" s="322" t="s">
        <v>2294</v>
      </c>
      <c r="B426" s="285" t="s">
        <v>2295</v>
      </c>
      <c r="C426" s="270"/>
      <c r="D426" s="328"/>
      <c r="E426" s="336"/>
      <c r="F426" s="329"/>
      <c r="Q426" s="346"/>
    </row>
    <row r="427" spans="1:17" s="281" customFormat="1" ht="33.6">
      <c r="A427" s="322"/>
      <c r="B427" s="277" t="s">
        <v>2270</v>
      </c>
      <c r="C427" s="302" t="s">
        <v>2267</v>
      </c>
      <c r="D427" s="272" t="s">
        <v>2473</v>
      </c>
      <c r="E427" s="336"/>
      <c r="F427" s="329"/>
      <c r="Q427" s="346"/>
    </row>
    <row r="428" spans="1:17" ht="20.399999999999999">
      <c r="B428" s="295" t="s">
        <v>2271</v>
      </c>
      <c r="C428" s="302" t="s">
        <v>2272</v>
      </c>
      <c r="D428" s="272">
        <v>0.18</v>
      </c>
      <c r="E428" s="276" t="s">
        <v>2269</v>
      </c>
      <c r="F428" s="278" t="str">
        <f>$D$427</f>
        <v>(0.18 ÷ 0.54)</v>
      </c>
    </row>
    <row r="429" spans="1:17" ht="33.6">
      <c r="B429" s="295" t="s">
        <v>2273</v>
      </c>
      <c r="C429" s="302" t="s">
        <v>2258</v>
      </c>
      <c r="D429" s="276">
        <v>1</v>
      </c>
      <c r="E429" s="276"/>
      <c r="F429" s="278"/>
    </row>
    <row r="430" spans="1:17">
      <c r="B430" s="295" t="s">
        <v>2255</v>
      </c>
      <c r="C430" s="304"/>
      <c r="D430" s="272"/>
      <c r="E430" s="262"/>
      <c r="F430" s="278"/>
    </row>
    <row r="431" spans="1:17" ht="20.399999999999999">
      <c r="B431" s="295" t="s">
        <v>2276</v>
      </c>
      <c r="C431" s="302" t="s">
        <v>2272</v>
      </c>
      <c r="D431" s="276">
        <f>$D$428</f>
        <v>0.18</v>
      </c>
      <c r="E431" s="276"/>
      <c r="F431" s="278"/>
    </row>
    <row r="432" spans="1:17" ht="20.399999999999999">
      <c r="B432" s="295" t="s">
        <v>2257</v>
      </c>
      <c r="C432" s="302" t="s">
        <v>2241</v>
      </c>
      <c r="D432" s="276">
        <f>$D$386</f>
        <v>4.0271739130434776</v>
      </c>
      <c r="E432" s="262"/>
      <c r="F432" s="278"/>
    </row>
    <row r="433" spans="1:17" ht="20.399999999999999">
      <c r="B433" s="295" t="s">
        <v>2343</v>
      </c>
      <c r="C433" s="302" t="s">
        <v>2258</v>
      </c>
      <c r="D433" s="276">
        <f>$D$391</f>
        <v>1</v>
      </c>
      <c r="E433" s="262"/>
      <c r="F433" s="278"/>
    </row>
    <row r="434" spans="1:17" ht="37.200000000000003">
      <c r="B434" s="295" t="s">
        <v>2298</v>
      </c>
      <c r="C434" s="304"/>
      <c r="D434" s="272"/>
      <c r="E434" s="262"/>
      <c r="F434" s="278"/>
    </row>
    <row r="435" spans="1:17" ht="20.399999999999999">
      <c r="B435" s="292" t="s">
        <v>2277</v>
      </c>
      <c r="C435" s="302"/>
      <c r="D435" s="262"/>
      <c r="E435" s="276"/>
      <c r="F435" s="278"/>
    </row>
    <row r="436" spans="1:17">
      <c r="B436" s="295" t="s">
        <v>2259</v>
      </c>
      <c r="C436" s="302" t="s">
        <v>2345</v>
      </c>
      <c r="D436" s="262">
        <f>(((($D$432)/($D$433))-1)/(($D$431)*($D$432)))+1</f>
        <v>5.1760383865647022</v>
      </c>
      <c r="E436" s="262"/>
      <c r="F436" s="278"/>
    </row>
    <row r="437" spans="1:17">
      <c r="B437" s="295" t="s">
        <v>2299</v>
      </c>
      <c r="C437" s="304" t="s">
        <v>2110</v>
      </c>
      <c r="D437" s="272">
        <v>5</v>
      </c>
      <c r="E437" s="262"/>
      <c r="F437" s="278"/>
    </row>
    <row r="438" spans="1:17" ht="33.6">
      <c r="B438" s="295" t="s">
        <v>2297</v>
      </c>
      <c r="C438" s="304" t="s">
        <v>2110</v>
      </c>
      <c r="D438" s="272">
        <f>$D$437</f>
        <v>5</v>
      </c>
      <c r="E438" s="262"/>
      <c r="F438" s="278"/>
      <c r="I438" s="290" t="s">
        <v>2346</v>
      </c>
    </row>
    <row r="439" spans="1:17" s="281" customFormat="1">
      <c r="A439" s="322" t="s">
        <v>2303</v>
      </c>
      <c r="B439" s="285" t="s">
        <v>2300</v>
      </c>
      <c r="C439" s="270"/>
      <c r="D439" s="328"/>
      <c r="E439" s="336"/>
      <c r="F439" s="329"/>
      <c r="Q439" s="346"/>
    </row>
    <row r="440" spans="1:17">
      <c r="B440" s="295" t="s">
        <v>2301</v>
      </c>
      <c r="C440" s="304"/>
      <c r="D440" s="272"/>
      <c r="E440" s="262"/>
      <c r="F440" s="278"/>
    </row>
    <row r="441" spans="1:17" ht="20.399999999999999">
      <c r="B441" s="295" t="s">
        <v>2278</v>
      </c>
      <c r="C441" s="302" t="s">
        <v>2241</v>
      </c>
      <c r="D441" s="276">
        <f>$D$432</f>
        <v>4.0271739130434776</v>
      </c>
      <c r="E441" s="262"/>
      <c r="F441" s="278"/>
    </row>
    <row r="442" spans="1:17" ht="20.399999999999999">
      <c r="B442" s="295" t="s">
        <v>2302</v>
      </c>
      <c r="C442" s="302" t="s">
        <v>2258</v>
      </c>
      <c r="D442" s="276">
        <f>$D$433</f>
        <v>1</v>
      </c>
      <c r="E442" s="262"/>
      <c r="F442" s="278"/>
    </row>
    <row r="443" spans="1:17">
      <c r="B443" s="295" t="s">
        <v>2282</v>
      </c>
      <c r="C443" s="302" t="s">
        <v>2110</v>
      </c>
      <c r="D443" s="276">
        <f>$D$438</f>
        <v>5</v>
      </c>
      <c r="E443" s="276"/>
      <c r="F443" s="278"/>
    </row>
    <row r="444" spans="1:17" s="296" customFormat="1">
      <c r="A444" s="326"/>
      <c r="B444" s="295" t="s">
        <v>2279</v>
      </c>
      <c r="C444" s="302"/>
      <c r="D444" s="276"/>
      <c r="E444" s="276"/>
      <c r="F444" s="297"/>
      <c r="Q444" s="294"/>
    </row>
    <row r="445" spans="1:17" s="296" customFormat="1" ht="20.399999999999999">
      <c r="A445" s="326"/>
      <c r="B445" s="295" t="s">
        <v>2311</v>
      </c>
      <c r="C445" s="302"/>
      <c r="D445" s="276"/>
      <c r="E445" s="276"/>
      <c r="F445" s="297"/>
      <c r="Q445" s="294"/>
    </row>
    <row r="446" spans="1:17" s="296" customFormat="1">
      <c r="A446" s="326"/>
      <c r="B446" s="295"/>
      <c r="C446" s="302" t="s">
        <v>1803</v>
      </c>
      <c r="D446" s="276">
        <f>(((($D$441)/($D$442))-1)/(($D$443)-1))/$D$441</f>
        <v>0.1879217273954116</v>
      </c>
      <c r="E446" s="276" t="s">
        <v>2269</v>
      </c>
      <c r="F446" s="297" t="str">
        <f>$D$427</f>
        <v>(0.18 ÷ 0.54)</v>
      </c>
      <c r="I446" s="290" t="s">
        <v>2347</v>
      </c>
      <c r="Q446" s="294"/>
    </row>
    <row r="447" spans="1:17" s="282" customFormat="1">
      <c r="A447" s="332" t="s">
        <v>2304</v>
      </c>
      <c r="B447" s="285" t="s">
        <v>2238</v>
      </c>
      <c r="C447" s="338"/>
      <c r="D447" s="337"/>
      <c r="E447" s="337"/>
      <c r="F447" s="333"/>
      <c r="Q447" s="346"/>
    </row>
    <row r="448" spans="1:17" s="296" customFormat="1" ht="33.6">
      <c r="A448" s="326"/>
      <c r="B448" s="295" t="s">
        <v>2284</v>
      </c>
      <c r="C448" s="302"/>
      <c r="D448" s="276"/>
      <c r="E448" s="276"/>
      <c r="F448" s="297"/>
      <c r="Q448" s="294"/>
    </row>
    <row r="449" spans="1:17" s="296" customFormat="1">
      <c r="A449" s="326"/>
      <c r="B449" s="295" t="s">
        <v>2280</v>
      </c>
      <c r="C449" s="302" t="s">
        <v>1803</v>
      </c>
      <c r="D449" s="276">
        <f>$D$446</f>
        <v>0.1879217273954116</v>
      </c>
      <c r="E449" s="276" t="s">
        <v>2269</v>
      </c>
      <c r="F449" s="297" t="str">
        <f>$D$427</f>
        <v>(0.18 ÷ 0.54)</v>
      </c>
      <c r="Q449" s="294"/>
    </row>
    <row r="450" spans="1:17" s="296" customFormat="1" ht="20.399999999999999">
      <c r="A450" s="326"/>
      <c r="B450" s="295" t="s">
        <v>2281</v>
      </c>
      <c r="C450" s="302" t="s">
        <v>2241</v>
      </c>
      <c r="D450" s="276">
        <f>$D$432</f>
        <v>4.0271739130434776</v>
      </c>
      <c r="E450" s="276"/>
      <c r="F450" s="297"/>
      <c r="Q450" s="294"/>
    </row>
    <row r="451" spans="1:17" s="296" customFormat="1">
      <c r="A451" s="326"/>
      <c r="B451" s="295" t="s">
        <v>2283</v>
      </c>
      <c r="C451" s="302" t="s">
        <v>2110</v>
      </c>
      <c r="D451" s="276">
        <f>$D$437</f>
        <v>5</v>
      </c>
      <c r="E451" s="276"/>
      <c r="F451" s="297"/>
      <c r="Q451" s="294"/>
    </row>
    <row r="452" spans="1:17" s="296" customFormat="1">
      <c r="A452" s="326"/>
      <c r="B452" s="295" t="s">
        <v>2285</v>
      </c>
      <c r="C452" s="302"/>
      <c r="Q452" s="294"/>
    </row>
    <row r="453" spans="1:17" s="296" customFormat="1" ht="20.399999999999999">
      <c r="A453" s="326"/>
      <c r="B453" s="295" t="s">
        <v>2312</v>
      </c>
      <c r="C453" s="302" t="s">
        <v>2313</v>
      </c>
      <c r="D453" s="296">
        <f>($D$450)/(1+($D$449)*($D$450))</f>
        <v>2.2923433874709973</v>
      </c>
      <c r="I453" s="290" t="s">
        <v>2348</v>
      </c>
      <c r="Q453" s="294"/>
    </row>
    <row r="454" spans="1:17" s="296" customFormat="1">
      <c r="A454" s="326"/>
      <c r="B454" s="295" t="s">
        <v>2286</v>
      </c>
      <c r="C454" s="302"/>
      <c r="Q454" s="294"/>
    </row>
    <row r="455" spans="1:17" s="296" customFormat="1" ht="20.399999999999999">
      <c r="A455" s="326"/>
      <c r="B455" s="295" t="s">
        <v>2314</v>
      </c>
      <c r="C455" s="302" t="s">
        <v>2245</v>
      </c>
      <c r="D455" s="296">
        <f>($D$450)/(1+2*($D$449)*($D$450))</f>
        <v>1.602162162162162</v>
      </c>
      <c r="I455" s="290" t="s">
        <v>2352</v>
      </c>
      <c r="Q455" s="294"/>
    </row>
    <row r="456" spans="1:17" s="296" customFormat="1">
      <c r="A456" s="326"/>
      <c r="B456" s="295" t="s">
        <v>2287</v>
      </c>
      <c r="C456" s="302"/>
      <c r="Q456" s="294"/>
    </row>
    <row r="457" spans="1:17" s="296" customFormat="1" ht="20.399999999999999">
      <c r="A457" s="326"/>
      <c r="B457" s="295" t="s">
        <v>2315</v>
      </c>
      <c r="C457" s="302" t="s">
        <v>2316</v>
      </c>
      <c r="D457" s="296">
        <f>($D$450)/(1+3*($D$449)*($D$450))</f>
        <v>1.2314083921894474</v>
      </c>
      <c r="I457" s="290" t="s">
        <v>2349</v>
      </c>
      <c r="Q457" s="294"/>
    </row>
    <row r="458" spans="1:17" s="296" customFormat="1">
      <c r="A458" s="326"/>
      <c r="B458" s="295" t="s">
        <v>2288</v>
      </c>
      <c r="C458" s="302"/>
      <c r="Q458" s="294"/>
    </row>
    <row r="459" spans="1:17" s="296" customFormat="1" ht="20.399999999999999">
      <c r="A459" s="326"/>
      <c r="B459" s="295" t="s">
        <v>2317</v>
      </c>
      <c r="C459" s="302" t="s">
        <v>2249</v>
      </c>
      <c r="D459" s="296">
        <f>($D$450)/(1+4*($D$449)*($D$450))</f>
        <v>1</v>
      </c>
      <c r="I459" s="290" t="s">
        <v>2350</v>
      </c>
      <c r="Q459" s="294"/>
    </row>
    <row r="460" spans="1:17" s="273" customFormat="1">
      <c r="A460" s="326">
        <v>4.5</v>
      </c>
      <c r="B460" s="330" t="s">
        <v>2307</v>
      </c>
      <c r="C460" s="334"/>
      <c r="Q460" s="344"/>
    </row>
    <row r="461" spans="1:17" s="296" customFormat="1" ht="20.399999999999999">
      <c r="A461" s="326"/>
      <c r="B461" s="295" t="s">
        <v>2318</v>
      </c>
      <c r="C461" s="302"/>
      <c r="D461" s="276"/>
      <c r="E461" s="276"/>
      <c r="Q461" s="294"/>
    </row>
    <row r="462" spans="1:17" s="296" customFormat="1">
      <c r="A462" s="326"/>
      <c r="B462" s="295" t="s">
        <v>1542</v>
      </c>
      <c r="C462" s="302"/>
      <c r="D462" s="276"/>
      <c r="E462" s="276"/>
      <c r="Q462" s="294"/>
    </row>
    <row r="463" spans="1:17" s="296" customFormat="1">
      <c r="A463" s="326"/>
      <c r="B463" s="295" t="s">
        <v>2308</v>
      </c>
      <c r="C463" s="302"/>
      <c r="D463" s="276"/>
      <c r="E463" s="276"/>
      <c r="Q463" s="294"/>
    </row>
    <row r="464" spans="1:17" s="296" customFormat="1" ht="20.399999999999999">
      <c r="A464" s="326"/>
      <c r="B464" s="295" t="s">
        <v>2319</v>
      </c>
      <c r="C464" s="302"/>
      <c r="D464" s="276"/>
      <c r="E464" s="276"/>
      <c r="Q464" s="294"/>
    </row>
    <row r="465" spans="1:17" s="296" customFormat="1">
      <c r="A465" s="326"/>
      <c r="B465" s="277" t="s">
        <v>1580</v>
      </c>
      <c r="C465" s="302"/>
      <c r="D465" s="276"/>
      <c r="E465" s="276"/>
      <c r="Q465" s="294"/>
    </row>
    <row r="466" spans="1:17" s="296" customFormat="1" ht="20.399999999999999">
      <c r="A466" s="326"/>
      <c r="B466" s="295" t="s">
        <v>2309</v>
      </c>
      <c r="C466" s="302" t="s">
        <v>2241</v>
      </c>
      <c r="D466" s="296">
        <f>$D$386</f>
        <v>4.0271739130434776</v>
      </c>
      <c r="Q466" s="294"/>
    </row>
    <row r="467" spans="1:17" s="296" customFormat="1" ht="33.6">
      <c r="A467" s="326"/>
      <c r="B467" s="295" t="s">
        <v>2310</v>
      </c>
      <c r="C467" s="302" t="s">
        <v>2267</v>
      </c>
      <c r="D467" s="276" t="s">
        <v>2305</v>
      </c>
      <c r="E467" s="276"/>
      <c r="Q467" s="294"/>
    </row>
    <row r="468" spans="1:17" s="296" customFormat="1">
      <c r="A468" s="326"/>
      <c r="B468" s="277" t="s">
        <v>2306</v>
      </c>
      <c r="C468" s="302" t="s">
        <v>1803</v>
      </c>
      <c r="D468" s="276">
        <v>1.2</v>
      </c>
      <c r="E468" s="276" t="s">
        <v>2269</v>
      </c>
      <c r="F468" s="296" t="str">
        <f>$D$467</f>
        <v>(1.2 ÷ 1.3)</v>
      </c>
      <c r="Q468" s="294"/>
    </row>
    <row r="469" spans="1:17" s="296" customFormat="1">
      <c r="A469" s="326"/>
      <c r="B469" s="277" t="s">
        <v>2296</v>
      </c>
      <c r="C469" s="302"/>
      <c r="D469" s="276"/>
      <c r="E469" s="276"/>
      <c r="Q469" s="294"/>
    </row>
    <row r="470" spans="1:17" s="296" customFormat="1" ht="20.399999999999999">
      <c r="A470" s="326"/>
      <c r="B470" s="295"/>
      <c r="C470" s="302" t="s">
        <v>2320</v>
      </c>
      <c r="D470" s="296">
        <f>($D$468)*($D$466)</f>
        <v>4.8326086956521728</v>
      </c>
      <c r="I470" s="290" t="s">
        <v>2353</v>
      </c>
      <c r="Q470" s="294"/>
    </row>
    <row r="471" spans="1:17" s="273" customFormat="1">
      <c r="A471" s="326">
        <v>5</v>
      </c>
      <c r="B471" s="330" t="s">
        <v>2329</v>
      </c>
      <c r="C471" s="339"/>
      <c r="Q471" s="344"/>
    </row>
    <row r="472" spans="1:17" s="273" customFormat="1">
      <c r="A472" s="326" t="s">
        <v>2330</v>
      </c>
      <c r="B472" s="330" t="s">
        <v>2334</v>
      </c>
      <c r="C472" s="339"/>
      <c r="Q472" s="344"/>
    </row>
    <row r="473" spans="1:17" s="282" customFormat="1">
      <c r="A473" s="332" t="s">
        <v>551</v>
      </c>
      <c r="B473" s="343" t="s">
        <v>2419</v>
      </c>
      <c r="C473" s="268"/>
      <c r="Q473" s="346"/>
    </row>
    <row r="474" spans="1:17" s="296" customFormat="1" ht="54">
      <c r="A474" s="326"/>
      <c r="B474" s="292" t="s">
        <v>2331</v>
      </c>
      <c r="C474" s="278"/>
      <c r="D474" s="292"/>
      <c r="E474" s="292"/>
      <c r="Q474" s="294"/>
    </row>
    <row r="475" spans="1:17" s="296" customFormat="1" ht="21">
      <c r="A475" s="326"/>
      <c r="B475" s="292" t="s">
        <v>2332</v>
      </c>
      <c r="C475" s="278"/>
      <c r="E475" s="292"/>
      <c r="F475" s="341"/>
      <c r="Q475" s="294"/>
    </row>
    <row r="476" spans="1:17" s="296" customFormat="1">
      <c r="A476" s="326"/>
      <c r="B476" s="292" t="s">
        <v>1542</v>
      </c>
      <c r="C476" s="278"/>
      <c r="Q476" s="294"/>
    </row>
    <row r="477" spans="1:17" s="296" customFormat="1" ht="20.399999999999999">
      <c r="A477" s="326"/>
      <c r="B477" s="292" t="s">
        <v>2335</v>
      </c>
      <c r="C477" s="292"/>
      <c r="Q477" s="294"/>
    </row>
    <row r="478" spans="1:17" s="296" customFormat="1" ht="20.399999999999999">
      <c r="A478" s="326"/>
      <c r="B478" s="292"/>
      <c r="C478" s="292" t="s">
        <v>2055</v>
      </c>
      <c r="D478" s="296">
        <f>$D$201</f>
        <v>121.67663623800321</v>
      </c>
      <c r="H478" s="296" t="s">
        <v>2046</v>
      </c>
      <c r="Q478" s="294"/>
    </row>
    <row r="479" spans="1:17" s="296" customFormat="1" ht="20.399999999999999">
      <c r="A479" s="326"/>
      <c r="B479" s="292" t="s">
        <v>2336</v>
      </c>
      <c r="C479" s="292"/>
      <c r="Q479" s="294"/>
    </row>
    <row r="480" spans="1:17" s="296" customFormat="1" ht="20.399999999999999">
      <c r="A480" s="326"/>
      <c r="B480" s="292"/>
      <c r="C480" s="292" t="s">
        <v>2340</v>
      </c>
      <c r="D480" s="296">
        <f>$D$202</f>
        <v>2300</v>
      </c>
      <c r="H480" s="296" t="s">
        <v>2060</v>
      </c>
      <c r="Q480" s="294"/>
    </row>
    <row r="481" spans="1:17" s="296" customFormat="1" ht="20.399999999999999">
      <c r="A481" s="326"/>
      <c r="B481" s="292" t="s">
        <v>2337</v>
      </c>
      <c r="C481" s="292"/>
      <c r="Q481" s="294"/>
    </row>
    <row r="482" spans="1:17" s="296" customFormat="1" ht="20.399999999999999">
      <c r="A482" s="326"/>
      <c r="B482" s="292"/>
      <c r="C482" s="292" t="s">
        <v>2341</v>
      </c>
      <c r="D482" s="296">
        <f>($D$192)*($D$480)</f>
        <v>1840</v>
      </c>
      <c r="H482" s="296" t="s">
        <v>2060</v>
      </c>
      <c r="Q482" s="294"/>
    </row>
    <row r="483" spans="1:17" s="296" customFormat="1">
      <c r="A483" s="326"/>
      <c r="B483" s="292" t="s">
        <v>2338</v>
      </c>
      <c r="C483" s="292"/>
      <c r="Q483" s="294"/>
    </row>
    <row r="484" spans="1:17" s="296" customFormat="1">
      <c r="A484" s="326"/>
      <c r="B484" s="292"/>
      <c r="C484" s="292" t="s">
        <v>1803</v>
      </c>
      <c r="D484" s="296">
        <f>$D$161</f>
        <v>0.5</v>
      </c>
      <c r="Q484" s="294"/>
    </row>
    <row r="485" spans="1:17" s="296" customFormat="1">
      <c r="A485" s="326"/>
      <c r="B485" s="292"/>
      <c r="C485" s="292" t="s">
        <v>1802</v>
      </c>
      <c r="D485" s="296">
        <f>$D$162</f>
        <v>1.5</v>
      </c>
      <c r="Q485" s="294"/>
    </row>
    <row r="486" spans="1:17" s="296" customFormat="1">
      <c r="A486" s="326"/>
      <c r="B486" s="292"/>
      <c r="C486" s="292" t="s">
        <v>1804</v>
      </c>
      <c r="D486" s="296">
        <f>$D$163</f>
        <v>1</v>
      </c>
      <c r="Q486" s="294"/>
    </row>
    <row r="487" spans="1:17" s="287" customFormat="1" ht="20.399999999999999">
      <c r="A487" s="332" t="s">
        <v>553</v>
      </c>
      <c r="B487" s="322" t="s">
        <v>2363</v>
      </c>
      <c r="C487" s="342"/>
      <c r="Q487" s="347"/>
    </row>
    <row r="488" spans="1:17" s="296" customFormat="1" ht="37.200000000000003">
      <c r="A488" s="326"/>
      <c r="B488" s="292" t="s">
        <v>2358</v>
      </c>
      <c r="C488" s="278"/>
      <c r="Q488" s="294"/>
    </row>
    <row r="489" spans="1:17" s="296" customFormat="1" ht="20.399999999999999">
      <c r="A489" s="326"/>
      <c r="B489" s="292" t="s">
        <v>2333</v>
      </c>
      <c r="C489" s="292"/>
      <c r="Q489" s="294"/>
    </row>
    <row r="490" spans="1:17" s="296" customFormat="1" ht="21">
      <c r="A490" s="326"/>
      <c r="B490" s="292" t="s">
        <v>2362</v>
      </c>
      <c r="C490" s="292"/>
      <c r="Q490" s="294"/>
    </row>
    <row r="491" spans="1:17" s="296" customFormat="1">
      <c r="A491" s="326"/>
      <c r="B491" s="292" t="s">
        <v>2359</v>
      </c>
      <c r="C491" s="278"/>
      <c r="Q491" s="294"/>
    </row>
    <row r="492" spans="1:17" s="296" customFormat="1" ht="20.399999999999999">
      <c r="A492" s="326"/>
      <c r="B492" s="292" t="s">
        <v>2360</v>
      </c>
      <c r="C492" s="292"/>
      <c r="Q492" s="294"/>
    </row>
    <row r="493" spans="1:17" s="296" customFormat="1" ht="20.399999999999999">
      <c r="A493" s="326"/>
      <c r="B493" s="292" t="s">
        <v>2361</v>
      </c>
      <c r="C493" s="292"/>
      <c r="Q493" s="294"/>
    </row>
    <row r="494" spans="1:17" s="296" customFormat="1" ht="20.399999999999999">
      <c r="A494" s="326"/>
      <c r="B494" s="292" t="s">
        <v>2339</v>
      </c>
      <c r="C494" s="292"/>
      <c r="Q494" s="294"/>
    </row>
    <row r="495" spans="1:17" s="287" customFormat="1" ht="20.399999999999999">
      <c r="A495" s="332" t="s">
        <v>555</v>
      </c>
      <c r="B495" s="322" t="s">
        <v>2420</v>
      </c>
      <c r="C495" s="342"/>
      <c r="Q495" s="347"/>
    </row>
    <row r="496" spans="1:17" s="296" customFormat="1">
      <c r="A496" s="326"/>
      <c r="B496" s="292"/>
      <c r="C496" s="292"/>
      <c r="Q496" s="294"/>
    </row>
    <row r="497" spans="1:17" s="273" customFormat="1">
      <c r="A497" s="326" t="s">
        <v>2354</v>
      </c>
      <c r="B497" s="330" t="s">
        <v>2355</v>
      </c>
      <c r="C497" s="339"/>
      <c r="Q497" s="344"/>
    </row>
    <row r="498" spans="1:17" s="296" customFormat="1">
      <c r="A498" s="326" t="s">
        <v>2356</v>
      </c>
      <c r="B498" s="292" t="s">
        <v>2357</v>
      </c>
      <c r="C498" s="292"/>
      <c r="Q498" s="294"/>
    </row>
    <row r="499" spans="1:17" s="296" customFormat="1">
      <c r="A499" s="326"/>
      <c r="B499" s="292" t="s">
        <v>2421</v>
      </c>
      <c r="C499" s="292"/>
      <c r="Q499" s="294"/>
    </row>
    <row r="500" spans="1:17" s="296" customFormat="1" ht="20.399999999999999">
      <c r="A500" s="326"/>
      <c r="B500" s="292" t="s">
        <v>2422</v>
      </c>
      <c r="C500" s="292"/>
      <c r="Q500" s="294"/>
    </row>
    <row r="501" spans="1:17" s="296" customFormat="1" ht="33.6">
      <c r="A501" s="326"/>
      <c r="B501" s="264" t="s">
        <v>2423</v>
      </c>
      <c r="C501" s="292"/>
      <c r="Q501" s="294"/>
    </row>
    <row r="502" spans="1:17" s="296" customFormat="1" ht="20.399999999999999">
      <c r="A502" s="326"/>
      <c r="B502" s="292" t="s">
        <v>2424</v>
      </c>
      <c r="Q502" s="294"/>
    </row>
    <row r="503" spans="1:17" s="296" customFormat="1">
      <c r="A503" s="326"/>
      <c r="B503" s="292" t="s">
        <v>2425</v>
      </c>
      <c r="Q503" s="294"/>
    </row>
    <row r="504" spans="1:17" s="296" customFormat="1" ht="20.399999999999999">
      <c r="A504" s="326"/>
      <c r="B504" s="292" t="s">
        <v>2427</v>
      </c>
      <c r="Q504" s="294"/>
    </row>
    <row r="505" spans="1:17" s="296" customFormat="1" ht="20.399999999999999">
      <c r="A505" s="326"/>
      <c r="B505" s="292" t="s">
        <v>2365</v>
      </c>
      <c r="Q505" s="294"/>
    </row>
    <row r="506" spans="1:17" s="296" customFormat="1" ht="20.399999999999999">
      <c r="A506" s="326"/>
      <c r="B506" s="292" t="s">
        <v>2426</v>
      </c>
      <c r="Q506" s="294"/>
    </row>
    <row r="507" spans="1:17" s="296" customFormat="1" ht="20.399999999999999">
      <c r="A507" s="326"/>
      <c r="B507" s="292" t="s">
        <v>2428</v>
      </c>
      <c r="Q507" s="294"/>
    </row>
    <row r="508" spans="1:17" s="296" customFormat="1">
      <c r="A508" s="326"/>
      <c r="B508" s="292" t="s">
        <v>1434</v>
      </c>
      <c r="Q508" s="294"/>
    </row>
    <row r="509" spans="1:17" s="296" customFormat="1" ht="20.399999999999999">
      <c r="A509" s="326"/>
      <c r="B509" s="292" t="s">
        <v>2364</v>
      </c>
      <c r="Q509" s="294"/>
    </row>
    <row r="510" spans="1:17" s="296" customFormat="1">
      <c r="A510" s="326"/>
      <c r="B510" s="292" t="s">
        <v>1542</v>
      </c>
      <c r="Q510" s="294"/>
    </row>
    <row r="511" spans="1:17" s="296" customFormat="1" ht="20.399999999999999">
      <c r="A511" s="326"/>
      <c r="B511" s="292"/>
      <c r="C511" s="292" t="s">
        <v>2374</v>
      </c>
      <c r="D511" s="296">
        <f>$D$313</f>
        <v>438.71625</v>
      </c>
      <c r="Q511" s="294"/>
    </row>
    <row r="512" spans="1:17" s="296" customFormat="1" ht="20.399999999999999">
      <c r="A512" s="326"/>
      <c r="B512" s="292"/>
      <c r="C512" s="292" t="s">
        <v>2375</v>
      </c>
      <c r="D512" s="296">
        <f>$D$173</f>
        <v>0.85</v>
      </c>
      <c r="Q512" s="294"/>
    </row>
    <row r="513" spans="1:17" s="296" customFormat="1">
      <c r="A513" s="326"/>
      <c r="B513" s="292"/>
      <c r="C513" s="292"/>
      <c r="Q513" s="294"/>
    </row>
    <row r="514" spans="1:17" s="296" customFormat="1">
      <c r="A514" s="326"/>
      <c r="B514" s="292"/>
      <c r="Q514" s="294"/>
    </row>
    <row r="515" spans="1:17" s="296" customFormat="1" ht="20.399999999999999">
      <c r="A515" s="326"/>
      <c r="B515" s="292"/>
      <c r="C515" s="292" t="s">
        <v>2366</v>
      </c>
      <c r="D515" s="296">
        <f>$D$358</f>
        <v>6.1603546307836092</v>
      </c>
      <c r="Q515" s="294"/>
    </row>
    <row r="516" spans="1:17" s="296" customFormat="1" ht="20.399999999999999">
      <c r="A516" s="326"/>
      <c r="B516" s="292"/>
      <c r="C516" s="292" t="s">
        <v>2372</v>
      </c>
      <c r="D516" s="296">
        <f>$D$470</f>
        <v>4.8326086956521728</v>
      </c>
      <c r="Q516" s="294"/>
    </row>
    <row r="517" spans="1:17" s="296" customFormat="1" ht="20.399999999999999">
      <c r="A517" s="326"/>
      <c r="B517" s="292"/>
      <c r="C517" s="292" t="s">
        <v>2368</v>
      </c>
      <c r="D517" s="296">
        <f>$D$386</f>
        <v>4.0271739130434776</v>
      </c>
      <c r="Q517" s="294"/>
    </row>
    <row r="518" spans="1:17" s="296" customFormat="1" ht="20.399999999999999">
      <c r="A518" s="326"/>
      <c r="B518" s="292"/>
      <c r="C518" s="292" t="s">
        <v>2367</v>
      </c>
      <c r="D518" s="296">
        <f>$D$415</f>
        <v>2.8428260651691311</v>
      </c>
      <c r="Q518" s="294"/>
    </row>
    <row r="519" spans="1:17" s="296" customFormat="1" ht="20.399999999999999">
      <c r="A519" s="326"/>
      <c r="B519" s="292"/>
      <c r="C519" s="292" t="s">
        <v>2369</v>
      </c>
      <c r="D519" s="296">
        <f>$D$417</f>
        <v>2.0067819794495558</v>
      </c>
      <c r="Q519" s="294"/>
    </row>
    <row r="520" spans="1:17" s="296" customFormat="1" ht="20.399999999999999">
      <c r="A520" s="326"/>
      <c r="B520" s="292"/>
      <c r="C520" s="292" t="s">
        <v>2370</v>
      </c>
      <c r="D520" s="296">
        <f>$D$419</f>
        <v>1.416609324919738</v>
      </c>
      <c r="Q520" s="294"/>
    </row>
    <row r="521" spans="1:17" s="296" customFormat="1" ht="20.399999999999999">
      <c r="A521" s="326"/>
      <c r="B521" s="292"/>
      <c r="C521" s="292" t="s">
        <v>2371</v>
      </c>
      <c r="D521" s="296">
        <f>$D$421</f>
        <v>1</v>
      </c>
      <c r="Q521" s="294"/>
    </row>
    <row r="522" spans="1:17" s="296" customFormat="1" ht="20.399999999999999">
      <c r="A522" s="326"/>
      <c r="B522" s="292"/>
      <c r="C522" s="292" t="s">
        <v>2373</v>
      </c>
      <c r="D522" s="296">
        <f>$D$423</f>
        <v>0.70591092576399483</v>
      </c>
      <c r="Q522" s="294"/>
    </row>
    <row r="523" spans="1:17" s="296" customFormat="1">
      <c r="A523" s="326"/>
      <c r="B523" s="292"/>
      <c r="C523" s="292"/>
      <c r="Q523" s="294"/>
    </row>
    <row r="524" spans="1:17" s="296" customFormat="1">
      <c r="A524" s="326"/>
      <c r="B524" s="292"/>
      <c r="C524" s="292"/>
      <c r="Q524" s="294"/>
    </row>
    <row r="525" spans="1:17" s="296" customFormat="1">
      <c r="A525" s="326"/>
      <c r="B525" s="292"/>
      <c r="C525" s="292"/>
      <c r="Q525" s="294"/>
    </row>
    <row r="526" spans="1:17" s="296" customFormat="1" ht="20.399999999999999">
      <c r="A526" s="326"/>
      <c r="B526" s="292"/>
      <c r="C526" s="292" t="s">
        <v>2376</v>
      </c>
      <c r="D526" s="296">
        <f>(($D$515)*($D$516)*($D$512))/(($D$511)*(10^(-3)))</f>
        <v>57.679641119908595</v>
      </c>
      <c r="Q526" s="294"/>
    </row>
    <row r="527" spans="1:17" s="296" customFormat="1" ht="20.399999999999999">
      <c r="A527" s="326"/>
      <c r="B527" s="292"/>
      <c r="C527" s="292" t="s">
        <v>2377</v>
      </c>
      <c r="D527" s="296">
        <f>(($D$515)*($D$517)*($D$512))/(($D$511)*(10^(-3)))</f>
        <v>48.066367599923836</v>
      </c>
      <c r="Q527" s="294"/>
    </row>
    <row r="528" spans="1:17" s="296" customFormat="1" ht="20.399999999999999">
      <c r="A528" s="326"/>
      <c r="B528" s="292"/>
      <c r="C528" s="292" t="s">
        <v>2378</v>
      </c>
      <c r="D528" s="296">
        <f>(($D$515)*($D$518)*($D$512))/(($D$511)*(10^(-3)))</f>
        <v>33.930574050574727</v>
      </c>
      <c r="Q528" s="294"/>
    </row>
    <row r="529" spans="1:20" s="296" customFormat="1" ht="20.399999999999999">
      <c r="A529" s="326"/>
      <c r="B529" s="292"/>
      <c r="C529" s="292" t="s">
        <v>2379</v>
      </c>
      <c r="D529" s="296">
        <f>(($D$515)*($D$519)*(D512))/(($D$511)*(10^(-3)))</f>
        <v>23.951962939744977</v>
      </c>
      <c r="Q529" s="294"/>
    </row>
    <row r="530" spans="1:20" s="296" customFormat="1" ht="20.399999999999999">
      <c r="A530" s="326"/>
      <c r="B530" s="292"/>
      <c r="C530" s="292" t="s">
        <v>2380</v>
      </c>
      <c r="D530" s="296">
        <f>(($D$515)*($D$520)*($D$512))/(($D$511)*(10^(-3)))</f>
        <v>16.907952332660273</v>
      </c>
      <c r="Q530" s="294"/>
    </row>
    <row r="531" spans="1:20" s="296" customFormat="1" ht="20.399999999999999">
      <c r="A531" s="326"/>
      <c r="B531" s="292"/>
      <c r="C531" s="292" t="s">
        <v>2381</v>
      </c>
      <c r="D531" s="296">
        <f>(($D$515)*($D$521)*($D$512))/(($D$511)*(10^(-3)))</f>
        <v>11.93550828392171</v>
      </c>
      <c r="Q531" s="294"/>
    </row>
    <row r="532" spans="1:20" s="296" customFormat="1" ht="20.399999999999999">
      <c r="A532" s="326"/>
      <c r="B532" s="292"/>
      <c r="C532" s="292" t="s">
        <v>2382</v>
      </c>
      <c r="D532" s="296">
        <f>(($D$515)*($D$522)*($D$512))/(($D$511)*(10^(-3)))</f>
        <v>8.4254057021670032</v>
      </c>
      <c r="Q532" s="294"/>
    </row>
    <row r="533" spans="1:20" s="296" customFormat="1">
      <c r="A533" s="326"/>
      <c r="B533" s="292"/>
      <c r="C533" s="292"/>
      <c r="Q533" s="294"/>
    </row>
    <row r="534" spans="1:20" s="296" customFormat="1">
      <c r="A534" s="326"/>
      <c r="B534" s="292"/>
      <c r="C534" s="292"/>
      <c r="Q534" s="294"/>
    </row>
    <row r="535" spans="1:20" s="296" customFormat="1" ht="20.399999999999999">
      <c r="B535" s="277" t="s">
        <v>2398</v>
      </c>
      <c r="C535" s="262">
        <v>1100</v>
      </c>
      <c r="D535" s="288">
        <v>1200</v>
      </c>
      <c r="E535" s="296">
        <v>1500</v>
      </c>
      <c r="F535" s="296">
        <v>2000</v>
      </c>
      <c r="G535" s="296">
        <v>3199</v>
      </c>
      <c r="H535" s="294">
        <v>3200</v>
      </c>
      <c r="I535" s="296">
        <v>3201</v>
      </c>
      <c r="J535" s="296">
        <v>4000</v>
      </c>
      <c r="K535" s="296">
        <v>4500</v>
      </c>
      <c r="L535" s="296">
        <v>5000</v>
      </c>
      <c r="M535" s="296">
        <v>5500</v>
      </c>
      <c r="N535" s="296">
        <v>6350</v>
      </c>
      <c r="O535" s="296">
        <v>6400</v>
      </c>
      <c r="P535" s="296">
        <v>6450</v>
      </c>
      <c r="Q535" s="294">
        <v>7531.39</v>
      </c>
      <c r="R535" s="296">
        <v>7532</v>
      </c>
      <c r="S535" s="296">
        <v>7600</v>
      </c>
      <c r="T535" s="296">
        <v>7680</v>
      </c>
    </row>
    <row r="536" spans="1:20" s="296" customFormat="1">
      <c r="B536" s="277"/>
      <c r="C536" s="262"/>
      <c r="D536" s="288"/>
      <c r="H536" s="294"/>
      <c r="Q536" s="294"/>
    </row>
    <row r="537" spans="1:20" s="296" customFormat="1" ht="20.399999999999999">
      <c r="B537" s="277" t="s">
        <v>2399</v>
      </c>
      <c r="C537" s="262">
        <f t="shared" ref="C537:T537" si="0">($D$478)*(($D$484)*(C535/$D$480)+($D$485)*(C535/$D$480)^2-($D$486)*(C535/$D$480)^3)</f>
        <v>57.533137854625835</v>
      </c>
      <c r="D537" s="262">
        <f t="shared" si="0"/>
        <v>64.143498383377377</v>
      </c>
      <c r="E537" s="262">
        <f t="shared" si="0"/>
        <v>83.554557061602438</v>
      </c>
      <c r="F537" s="262">
        <f t="shared" si="0"/>
        <v>110.90604881067276</v>
      </c>
      <c r="G537" s="262">
        <f t="shared" si="0"/>
        <v>110.30590458883522</v>
      </c>
      <c r="H537" s="272">
        <f t="shared" si="0"/>
        <v>110.24601281234055</v>
      </c>
      <c r="I537" s="262">
        <f t="shared" si="0"/>
        <v>110.18599802913708</v>
      </c>
      <c r="J537" s="262">
        <f t="shared" si="0"/>
        <v>17.800970864111566</v>
      </c>
      <c r="K537" s="262">
        <f t="shared" si="0"/>
        <v>-93.605105218025031</v>
      </c>
      <c r="L537" s="262">
        <f t="shared" si="0"/>
        <v>-255.26392208227421</v>
      </c>
      <c r="M537" s="262">
        <f t="shared" si="0"/>
        <v>-474.67588880059355</v>
      </c>
      <c r="N537" s="262">
        <f t="shared" si="0"/>
        <v>-1001.4496190150013</v>
      </c>
      <c r="O537" s="272">
        <f t="shared" si="0"/>
        <v>-1039.0966722835112</v>
      </c>
      <c r="P537" s="262">
        <f t="shared" si="0"/>
        <v>-1077.5312685045772</v>
      </c>
      <c r="Q537" s="272">
        <f t="shared" si="0"/>
        <v>-2115.9494533442121</v>
      </c>
      <c r="R537" s="262">
        <f t="shared" si="0"/>
        <v>-2116.6544419134598</v>
      </c>
      <c r="S537" s="262">
        <f t="shared" si="0"/>
        <v>-2196.1397773599069</v>
      </c>
      <c r="T537" s="262">
        <f t="shared" si="0"/>
        <v>-2291.9445225461914</v>
      </c>
    </row>
    <row r="538" spans="1:20" s="296" customFormat="1">
      <c r="B538" s="277"/>
      <c r="C538" s="262"/>
      <c r="D538" s="262"/>
      <c r="E538" s="262"/>
      <c r="F538" s="262"/>
      <c r="G538" s="262"/>
      <c r="H538" s="272"/>
      <c r="I538" s="262"/>
      <c r="J538" s="262"/>
      <c r="K538" s="262"/>
      <c r="L538" s="262"/>
      <c r="M538" s="262"/>
      <c r="N538" s="262"/>
      <c r="O538" s="272"/>
      <c r="P538" s="262"/>
      <c r="Q538" s="272"/>
      <c r="R538" s="262"/>
      <c r="S538" s="262"/>
      <c r="T538" s="262"/>
    </row>
    <row r="539" spans="1:20" s="296" customFormat="1" ht="20.399999999999999">
      <c r="B539" s="277" t="s">
        <v>2400</v>
      </c>
      <c r="C539" s="262">
        <f t="shared" ref="C539:T539" si="1">((C537)*(10^3))/(((2*PI())/60)*(C535))</f>
        <v>499.45545169915334</v>
      </c>
      <c r="D539" s="262">
        <f t="shared" si="1"/>
        <v>510.4377417460754</v>
      </c>
      <c r="E539" s="262">
        <f t="shared" si="1"/>
        <v>531.92483096831427</v>
      </c>
      <c r="F539" s="262">
        <f t="shared" si="1"/>
        <v>529.53737661028777</v>
      </c>
      <c r="G539" s="262">
        <f t="shared" si="1"/>
        <v>329.27283465213077</v>
      </c>
      <c r="H539" s="272">
        <f t="shared" si="1"/>
        <v>328.99121053605802</v>
      </c>
      <c r="I539" s="262">
        <f t="shared" si="1"/>
        <v>328.70939542363647</v>
      </c>
      <c r="J539" s="262">
        <f t="shared" si="1"/>
        <v>42.496687572872446</v>
      </c>
      <c r="K539" s="262">
        <f t="shared" si="1"/>
        <v>-198.63620258780864</v>
      </c>
      <c r="L539" s="262">
        <f t="shared" si="1"/>
        <v>-487.51817990902026</v>
      </c>
      <c r="M539" s="262">
        <f t="shared" si="1"/>
        <v>-824.14924439076333</v>
      </c>
      <c r="N539" s="262">
        <f t="shared" si="1"/>
        <v>-1506.0062090431447</v>
      </c>
      <c r="O539" s="262">
        <f t="shared" si="1"/>
        <v>-1550.4128601024381</v>
      </c>
      <c r="P539" s="262">
        <f t="shared" si="1"/>
        <v>-1595.2970020333375</v>
      </c>
      <c r="Q539" s="272">
        <f t="shared" si="1"/>
        <v>-2682.8817641815795</v>
      </c>
      <c r="R539" s="262">
        <f t="shared" si="1"/>
        <v>-2683.5582892826146</v>
      </c>
      <c r="S539" s="262">
        <f t="shared" si="1"/>
        <v>-2759.4197470070822</v>
      </c>
      <c r="T539" s="262">
        <f t="shared" si="1"/>
        <v>-2849.7992191845337</v>
      </c>
    </row>
    <row r="540" spans="1:20" s="296" customFormat="1" ht="20.399999999999999">
      <c r="B540" s="262" t="s">
        <v>2089</v>
      </c>
      <c r="C540" s="262"/>
      <c r="D540" s="262"/>
      <c r="E540" s="262"/>
      <c r="F540" s="262"/>
      <c r="G540" s="262"/>
      <c r="H540" s="272"/>
      <c r="I540" s="262"/>
      <c r="J540" s="262"/>
      <c r="K540" s="262"/>
      <c r="L540" s="262"/>
      <c r="M540" s="262"/>
      <c r="N540" s="262"/>
      <c r="O540" s="262"/>
      <c r="P540" s="262"/>
      <c r="Q540" s="272"/>
      <c r="R540" s="262"/>
      <c r="S540" s="262"/>
      <c r="T540" s="262"/>
    </row>
    <row r="541" spans="1:20" s="296" customFormat="1" ht="20.399999999999999">
      <c r="B541" s="277" t="s">
        <v>2401</v>
      </c>
      <c r="C541" s="262">
        <f t="shared" ref="C541:T541" si="2">2*(PI())*(($D$313)*((10)^(-3)))*((C535)/60)/(($D$516)*($D$515))</f>
        <v>1.6975308641975311</v>
      </c>
      <c r="D541" s="262">
        <f t="shared" si="2"/>
        <v>1.8518518518518521</v>
      </c>
      <c r="E541" s="262">
        <f t="shared" si="2"/>
        <v>2.3148148148148153</v>
      </c>
      <c r="F541" s="262">
        <f t="shared" si="2"/>
        <v>3.0864197530864206</v>
      </c>
      <c r="G541" s="262">
        <f t="shared" si="2"/>
        <v>4.9367283950617296</v>
      </c>
      <c r="H541" s="262">
        <f t="shared" si="2"/>
        <v>4.9382716049382722</v>
      </c>
      <c r="I541" s="262">
        <f t="shared" si="2"/>
        <v>4.9398148148148158</v>
      </c>
      <c r="J541" s="262">
        <f t="shared" si="2"/>
        <v>6.1728395061728412</v>
      </c>
      <c r="K541" s="262">
        <f t="shared" si="2"/>
        <v>6.9444444444444455</v>
      </c>
      <c r="L541" s="262">
        <f t="shared" si="2"/>
        <v>7.7160493827160499</v>
      </c>
      <c r="M541" s="262">
        <f t="shared" si="2"/>
        <v>8.4876543209876569</v>
      </c>
      <c r="N541" s="262">
        <f t="shared" si="2"/>
        <v>9.7993827160493829</v>
      </c>
      <c r="O541" s="262">
        <f t="shared" si="2"/>
        <v>9.8765432098765444</v>
      </c>
      <c r="P541" s="262">
        <f t="shared" si="2"/>
        <v>9.9537037037037059</v>
      </c>
      <c r="Q541" s="272">
        <f t="shared" si="2"/>
        <v>11.622515432098767</v>
      </c>
      <c r="R541" s="262">
        <f t="shared" si="2"/>
        <v>11.623456790123457</v>
      </c>
      <c r="S541" s="262">
        <f t="shared" si="2"/>
        <v>11.728395061728397</v>
      </c>
      <c r="T541" s="262">
        <f t="shared" si="2"/>
        <v>11.851851851851853</v>
      </c>
    </row>
    <row r="542" spans="1:20" s="296" customFormat="1" ht="20.399999999999999">
      <c r="B542" s="277" t="s">
        <v>2402</v>
      </c>
      <c r="C542" s="262">
        <f>(2*(PI())*(($D$313)*((10)^(-3)))*((C535)/60)/(($D$517)*($D$515)))</f>
        <v>2.0370370370370372</v>
      </c>
      <c r="D542" s="262">
        <f t="shared" ref="D542:T542" si="3">2*(PI())*(($D$313)*((10)^(-3)))*((D535)/60)/(($D$517)*($D$515))</f>
        <v>2.2222222222222228</v>
      </c>
      <c r="E542" s="262">
        <f t="shared" si="3"/>
        <v>2.7777777777777781</v>
      </c>
      <c r="F542" s="262">
        <f t="shared" si="3"/>
        <v>3.7037037037037046</v>
      </c>
      <c r="G542" s="262">
        <f t="shared" si="3"/>
        <v>5.9240740740740749</v>
      </c>
      <c r="H542" s="262">
        <f t="shared" si="3"/>
        <v>5.9259259259259265</v>
      </c>
      <c r="I542" s="262">
        <f t="shared" si="3"/>
        <v>5.9277777777777789</v>
      </c>
      <c r="J542" s="262">
        <f t="shared" si="3"/>
        <v>7.4074074074074092</v>
      </c>
      <c r="K542" s="262">
        <f t="shared" si="3"/>
        <v>8.3333333333333339</v>
      </c>
      <c r="L542" s="262">
        <f t="shared" si="3"/>
        <v>9.2592592592592595</v>
      </c>
      <c r="M542" s="262">
        <f t="shared" si="3"/>
        <v>10.185185185185187</v>
      </c>
      <c r="N542" s="262">
        <f t="shared" si="3"/>
        <v>11.75925925925926</v>
      </c>
      <c r="O542" s="262">
        <f t="shared" si="3"/>
        <v>11.851851851851853</v>
      </c>
      <c r="P542" s="262">
        <f t="shared" si="3"/>
        <v>11.944444444444446</v>
      </c>
      <c r="Q542" s="272">
        <f t="shared" si="3"/>
        <v>13.947018518518522</v>
      </c>
      <c r="R542" s="262">
        <f t="shared" si="3"/>
        <v>13.94814814814815</v>
      </c>
      <c r="S542" s="262">
        <f t="shared" si="3"/>
        <v>14.074074074074078</v>
      </c>
      <c r="T542" s="262">
        <f t="shared" si="3"/>
        <v>14.222222222222223</v>
      </c>
    </row>
    <row r="543" spans="1:20" s="296" customFormat="1" ht="20.399999999999999">
      <c r="B543" s="277" t="s">
        <v>2403</v>
      </c>
      <c r="C543" s="262">
        <f t="shared" ref="C543:T543" si="4">2*(PI())*(($D$313)*((10)^(-3)))*((C535)/60)/(($D$518)*($D$515))</f>
        <v>2.8856856618735405</v>
      </c>
      <c r="D543" s="262">
        <f t="shared" si="4"/>
        <v>3.1480207220438623</v>
      </c>
      <c r="E543" s="262">
        <f t="shared" si="4"/>
        <v>3.9350259025548278</v>
      </c>
      <c r="F543" s="262">
        <f t="shared" si="4"/>
        <v>5.2467012034064373</v>
      </c>
      <c r="G543" s="262">
        <f t="shared" si="4"/>
        <v>8.3920985748485961</v>
      </c>
      <c r="H543" s="262">
        <f t="shared" si="4"/>
        <v>8.3947219254503</v>
      </c>
      <c r="I543" s="262">
        <f t="shared" si="4"/>
        <v>8.3973452760520022</v>
      </c>
      <c r="J543" s="262">
        <f t="shared" si="4"/>
        <v>10.493402406812875</v>
      </c>
      <c r="K543" s="262">
        <f t="shared" si="4"/>
        <v>11.805077707664482</v>
      </c>
      <c r="L543" s="262">
        <f t="shared" si="4"/>
        <v>13.116753008516092</v>
      </c>
      <c r="M543" s="262">
        <f t="shared" si="4"/>
        <v>14.428428309367703</v>
      </c>
      <c r="N543" s="262">
        <f t="shared" si="4"/>
        <v>16.658276320815435</v>
      </c>
      <c r="O543" s="262">
        <f t="shared" si="4"/>
        <v>16.7894438509006</v>
      </c>
      <c r="P543" s="262">
        <f t="shared" si="4"/>
        <v>16.920611380985758</v>
      </c>
      <c r="Q543" s="272">
        <f t="shared" si="4"/>
        <v>19.757476488161604</v>
      </c>
      <c r="R543" s="262">
        <f t="shared" si="4"/>
        <v>19.759076732028642</v>
      </c>
      <c r="S543" s="262">
        <f t="shared" si="4"/>
        <v>19.937464572944464</v>
      </c>
      <c r="T543" s="262">
        <f t="shared" si="4"/>
        <v>20.147332621080718</v>
      </c>
    </row>
    <row r="544" spans="1:20" s="296" customFormat="1" ht="20.399999999999999">
      <c r="B544" s="277" t="s">
        <v>2404</v>
      </c>
      <c r="C544" s="262">
        <f t="shared" ref="C544:T544" si="5">2*(PI())*(($D$313)*((10)^(-3)))*((C535)/60)/(($D$519)*($D$515))</f>
        <v>4.0878892173972439</v>
      </c>
      <c r="D544" s="262">
        <f t="shared" si="5"/>
        <v>4.4595155098879031</v>
      </c>
      <c r="E544" s="262">
        <f t="shared" si="5"/>
        <v>5.5743943873598782</v>
      </c>
      <c r="F544" s="262">
        <f t="shared" si="5"/>
        <v>7.4325258498131719</v>
      </c>
      <c r="G544" s="262">
        <f t="shared" si="5"/>
        <v>11.888325096776168</v>
      </c>
      <c r="H544" s="262">
        <f t="shared" si="5"/>
        <v>11.892041359701075</v>
      </c>
      <c r="I544" s="262">
        <f t="shared" si="5"/>
        <v>11.895757622625981</v>
      </c>
      <c r="J544" s="262">
        <f t="shared" si="5"/>
        <v>14.865051699626344</v>
      </c>
      <c r="K544" s="262">
        <f t="shared" si="5"/>
        <v>16.723183162079636</v>
      </c>
      <c r="L544" s="262">
        <f t="shared" si="5"/>
        <v>18.581314624532926</v>
      </c>
      <c r="M544" s="262">
        <f t="shared" si="5"/>
        <v>20.439446086986223</v>
      </c>
      <c r="N544" s="262">
        <f t="shared" si="5"/>
        <v>23.598269573156816</v>
      </c>
      <c r="O544" s="262">
        <f t="shared" si="5"/>
        <v>23.78408271940215</v>
      </c>
      <c r="P544" s="262">
        <f t="shared" si="5"/>
        <v>23.969895865647477</v>
      </c>
      <c r="Q544" s="272">
        <f t="shared" si="5"/>
        <v>27.988625430012213</v>
      </c>
      <c r="R544" s="262">
        <f t="shared" si="5"/>
        <v>27.9908923503964</v>
      </c>
      <c r="S544" s="262">
        <f t="shared" si="5"/>
        <v>28.243598229290054</v>
      </c>
      <c r="T544" s="262">
        <f t="shared" si="5"/>
        <v>28.540899263282576</v>
      </c>
    </row>
    <row r="545" spans="2:20" s="296" customFormat="1" ht="20.399999999999999">
      <c r="B545" s="277" t="s">
        <v>2405</v>
      </c>
      <c r="C545" s="262">
        <f t="shared" ref="C545:T545" si="6">2*(PI())*(($D$313)*((10)^(-3)))*((C535)/60)/(($D$520)*($D$515))</f>
        <v>5.7909419846037853</v>
      </c>
      <c r="D545" s="262">
        <f t="shared" si="6"/>
        <v>6.3173912559314029</v>
      </c>
      <c r="E545" s="262">
        <f t="shared" si="6"/>
        <v>7.8967390699142532</v>
      </c>
      <c r="F545" s="262">
        <f t="shared" si="6"/>
        <v>10.528985426552339</v>
      </c>
      <c r="G545" s="262">
        <f t="shared" si="6"/>
        <v>16.841112189770463</v>
      </c>
      <c r="H545" s="262">
        <f t="shared" si="6"/>
        <v>16.84637668248374</v>
      </c>
      <c r="I545" s="262">
        <f t="shared" si="6"/>
        <v>16.851641175197017</v>
      </c>
      <c r="J545" s="262">
        <f t="shared" si="6"/>
        <v>21.057970853104678</v>
      </c>
      <c r="K545" s="262">
        <f t="shared" si="6"/>
        <v>23.690217209742759</v>
      </c>
      <c r="L545" s="262">
        <f t="shared" si="6"/>
        <v>26.322463566380844</v>
      </c>
      <c r="M545" s="262">
        <f t="shared" si="6"/>
        <v>28.954709923018932</v>
      </c>
      <c r="N545" s="262">
        <f t="shared" si="6"/>
        <v>33.429528729303669</v>
      </c>
      <c r="O545" s="262">
        <f t="shared" si="6"/>
        <v>33.69275336496748</v>
      </c>
      <c r="P545" s="262">
        <f t="shared" si="6"/>
        <v>33.955978000631291</v>
      </c>
      <c r="Q545" s="272">
        <f t="shared" si="6"/>
        <v>39.648947775841009</v>
      </c>
      <c r="R545" s="262">
        <f t="shared" si="6"/>
        <v>39.652159116396099</v>
      </c>
      <c r="S545" s="262">
        <f t="shared" si="6"/>
        <v>40.010144620898885</v>
      </c>
      <c r="T545" s="262">
        <f t="shared" si="6"/>
        <v>40.431304037960977</v>
      </c>
    </row>
    <row r="546" spans="2:20" s="296" customFormat="1" ht="20.399999999999999">
      <c r="B546" s="277" t="s">
        <v>2406</v>
      </c>
      <c r="C546" s="262">
        <f t="shared" ref="C546:T546" si="7">2*(PI())*(($D$313)*((10)^(-3)))*((C535)/60)/(($D$521)*($D$515))</f>
        <v>8.2035024154589369</v>
      </c>
      <c r="D546" s="262">
        <f t="shared" si="7"/>
        <v>8.9492753623188399</v>
      </c>
      <c r="E546" s="262">
        <f t="shared" si="7"/>
        <v>11.186594202898551</v>
      </c>
      <c r="F546" s="262">
        <f t="shared" si="7"/>
        <v>14.915458937198069</v>
      </c>
      <c r="G546" s="262">
        <f t="shared" si="7"/>
        <v>23.85727657004831</v>
      </c>
      <c r="H546" s="262">
        <f t="shared" si="7"/>
        <v>23.864734299516908</v>
      </c>
      <c r="I546" s="262">
        <f t="shared" si="7"/>
        <v>23.872192028985509</v>
      </c>
      <c r="J546" s="262">
        <f t="shared" si="7"/>
        <v>29.830917874396139</v>
      </c>
      <c r="K546" s="262">
        <f t="shared" si="7"/>
        <v>33.559782608695649</v>
      </c>
      <c r="L546" s="262">
        <f t="shared" si="7"/>
        <v>37.288647342995162</v>
      </c>
      <c r="M546" s="262">
        <f t="shared" si="7"/>
        <v>41.01751207729469</v>
      </c>
      <c r="N546" s="262">
        <f t="shared" si="7"/>
        <v>47.356582125603857</v>
      </c>
      <c r="O546" s="262">
        <f t="shared" si="7"/>
        <v>47.729468599033815</v>
      </c>
      <c r="P546" s="262">
        <f t="shared" si="7"/>
        <v>48.102355072463766</v>
      </c>
      <c r="Q546" s="272">
        <f t="shared" si="7"/>
        <v>56.167069142512084</v>
      </c>
      <c r="R546" s="262">
        <f t="shared" si="7"/>
        <v>56.171618357487922</v>
      </c>
      <c r="S546" s="262">
        <f t="shared" si="7"/>
        <v>56.678743961352659</v>
      </c>
      <c r="T546" s="262">
        <f t="shared" si="7"/>
        <v>57.275362318840578</v>
      </c>
    </row>
    <row r="547" spans="2:20" s="296" customFormat="1" ht="20.399999999999999">
      <c r="B547" s="277" t="s">
        <v>2407</v>
      </c>
      <c r="C547" s="262">
        <f t="shared" ref="C547:P547" si="8">2*(PI())*(($D$313)*((10)^(-3)))*((C535)/60)/(($D$522)*($D$515))</f>
        <v>11.621158018740724</v>
      </c>
      <c r="D547" s="262">
        <f t="shared" si="8"/>
        <v>12.677626929535336</v>
      </c>
      <c r="E547" s="262">
        <f t="shared" si="8"/>
        <v>15.84703366191917</v>
      </c>
      <c r="F547" s="262">
        <f t="shared" si="8"/>
        <v>21.129378215892228</v>
      </c>
      <c r="G547" s="262">
        <f t="shared" si="8"/>
        <v>33.796440456319615</v>
      </c>
      <c r="H547" s="262">
        <f t="shared" si="8"/>
        <v>33.80700514542756</v>
      </c>
      <c r="I547" s="262">
        <f t="shared" si="8"/>
        <v>33.817569834535512</v>
      </c>
      <c r="J547" s="262">
        <f t="shared" si="8"/>
        <v>42.258756431784455</v>
      </c>
      <c r="K547" s="262">
        <f t="shared" si="8"/>
        <v>47.54110098575751</v>
      </c>
      <c r="L547" s="262">
        <f t="shared" si="8"/>
        <v>52.823445539730564</v>
      </c>
      <c r="M547" s="262">
        <f t="shared" si="8"/>
        <v>58.105790093703625</v>
      </c>
      <c r="N547" s="262">
        <f t="shared" si="8"/>
        <v>67.08577583545781</v>
      </c>
      <c r="O547" s="262">
        <f t="shared" si="8"/>
        <v>67.61401029085512</v>
      </c>
      <c r="P547" s="262">
        <f t="shared" si="8"/>
        <v>68.14224474625243</v>
      </c>
      <c r="Q547" s="272">
        <f>(2*(PI())*(($D$313)*((10)^(-3)))*((Q535)/60)/(($D$522)*($D$515)))</f>
        <v>79.566793900694279</v>
      </c>
      <c r="R547" s="262">
        <f>2*(PI())*(($D$313)*((10)^(-3)))*((R535)/60)/(($D$522)*($D$515))</f>
        <v>79.573238361050116</v>
      </c>
      <c r="S547" s="262">
        <f>2*(PI())*(($D$313)*((10)^(-3)))*((S535)/60)/(($D$522)*($D$515))</f>
        <v>80.29163722039047</v>
      </c>
      <c r="T547" s="262">
        <f>2*(PI())*(($D$313)*((10)^(-3)))*((T535)/60)/(($D$522)*($D$515))</f>
        <v>81.136812349026144</v>
      </c>
    </row>
    <row r="548" spans="2:20" s="296" customFormat="1">
      <c r="B548" s="277"/>
      <c r="C548" s="262"/>
      <c r="D548" s="262"/>
      <c r="E548" s="262"/>
      <c r="F548" s="262"/>
      <c r="G548" s="262"/>
      <c r="H548" s="262"/>
      <c r="I548" s="262"/>
      <c r="J548" s="262"/>
      <c r="K548" s="262"/>
      <c r="L548" s="262"/>
      <c r="M548" s="262"/>
      <c r="N548" s="262"/>
      <c r="O548" s="262"/>
      <c r="P548" s="262"/>
      <c r="Q548" s="272"/>
      <c r="R548" s="262"/>
      <c r="S548" s="262"/>
      <c r="T548" s="262"/>
    </row>
    <row r="549" spans="2:20" s="294" customFormat="1" ht="20.399999999999999">
      <c r="B549" s="345" t="s">
        <v>2408</v>
      </c>
      <c r="C549" s="272">
        <f>$D$246</f>
        <v>16100</v>
      </c>
      <c r="D549" s="272">
        <f t="shared" ref="D549:T549" si="9">$D$246</f>
        <v>16100</v>
      </c>
      <c r="E549" s="272">
        <f t="shared" si="9"/>
        <v>16100</v>
      </c>
      <c r="F549" s="272">
        <f t="shared" si="9"/>
        <v>16100</v>
      </c>
      <c r="G549" s="272">
        <f t="shared" si="9"/>
        <v>16100</v>
      </c>
      <c r="H549" s="272">
        <f t="shared" si="9"/>
        <v>16100</v>
      </c>
      <c r="I549" s="272">
        <f t="shared" si="9"/>
        <v>16100</v>
      </c>
      <c r="J549" s="272">
        <f t="shared" si="9"/>
        <v>16100</v>
      </c>
      <c r="K549" s="272">
        <f t="shared" si="9"/>
        <v>16100</v>
      </c>
      <c r="L549" s="272">
        <f t="shared" si="9"/>
        <v>16100</v>
      </c>
      <c r="M549" s="272">
        <f t="shared" si="9"/>
        <v>16100</v>
      </c>
      <c r="N549" s="272">
        <f t="shared" si="9"/>
        <v>16100</v>
      </c>
      <c r="O549" s="272">
        <f t="shared" si="9"/>
        <v>16100</v>
      </c>
      <c r="P549" s="272">
        <f t="shared" si="9"/>
        <v>16100</v>
      </c>
      <c r="Q549" s="272">
        <f t="shared" si="9"/>
        <v>16100</v>
      </c>
      <c r="R549" s="272">
        <f t="shared" si="9"/>
        <v>16100</v>
      </c>
      <c r="S549" s="272">
        <f t="shared" si="9"/>
        <v>16100</v>
      </c>
      <c r="T549" s="272">
        <f t="shared" si="9"/>
        <v>16100</v>
      </c>
    </row>
    <row r="550" spans="2:20" s="294" customFormat="1" ht="20.399999999999999">
      <c r="B550" s="345" t="s">
        <v>2408</v>
      </c>
      <c r="C550" s="272">
        <f>$D$247</f>
        <v>14000</v>
      </c>
      <c r="D550" s="272">
        <f t="shared" ref="D550:T550" si="10">$D$247</f>
        <v>14000</v>
      </c>
      <c r="E550" s="272">
        <f t="shared" si="10"/>
        <v>14000</v>
      </c>
      <c r="F550" s="272">
        <f t="shared" si="10"/>
        <v>14000</v>
      </c>
      <c r="G550" s="272">
        <f t="shared" si="10"/>
        <v>14000</v>
      </c>
      <c r="H550" s="272">
        <f t="shared" si="10"/>
        <v>14000</v>
      </c>
      <c r="I550" s="272">
        <f t="shared" si="10"/>
        <v>14000</v>
      </c>
      <c r="J550" s="272">
        <f t="shared" si="10"/>
        <v>14000</v>
      </c>
      <c r="K550" s="272">
        <f t="shared" si="10"/>
        <v>14000</v>
      </c>
      <c r="L550" s="272">
        <f t="shared" si="10"/>
        <v>14000</v>
      </c>
      <c r="M550" s="272">
        <f t="shared" si="10"/>
        <v>14000</v>
      </c>
      <c r="N550" s="272">
        <f t="shared" si="10"/>
        <v>14000</v>
      </c>
      <c r="O550" s="272">
        <f t="shared" si="10"/>
        <v>14000</v>
      </c>
      <c r="P550" s="272">
        <f t="shared" si="10"/>
        <v>14000</v>
      </c>
      <c r="Q550" s="272">
        <f t="shared" si="10"/>
        <v>14000</v>
      </c>
      <c r="R550" s="272">
        <f t="shared" si="10"/>
        <v>14000</v>
      </c>
      <c r="S550" s="272">
        <f t="shared" si="10"/>
        <v>14000</v>
      </c>
      <c r="T550" s="272">
        <f t="shared" si="10"/>
        <v>14000</v>
      </c>
    </row>
    <row r="551" spans="2:20" s="294" customFormat="1" ht="20.399999999999999">
      <c r="B551" s="345" t="s">
        <v>2409</v>
      </c>
      <c r="C551" s="272">
        <f>$D$250</f>
        <v>22400</v>
      </c>
      <c r="D551" s="272">
        <f t="shared" ref="D551:T551" si="11">$D$250</f>
        <v>22400</v>
      </c>
      <c r="E551" s="272">
        <f t="shared" si="11"/>
        <v>22400</v>
      </c>
      <c r="F551" s="272">
        <f t="shared" si="11"/>
        <v>22400</v>
      </c>
      <c r="G551" s="272">
        <f t="shared" si="11"/>
        <v>22400</v>
      </c>
      <c r="H551" s="272">
        <f t="shared" si="11"/>
        <v>22400</v>
      </c>
      <c r="I551" s="272">
        <f t="shared" si="11"/>
        <v>22400</v>
      </c>
      <c r="J551" s="272">
        <f t="shared" si="11"/>
        <v>22400</v>
      </c>
      <c r="K551" s="272">
        <f t="shared" si="11"/>
        <v>22400</v>
      </c>
      <c r="L551" s="272">
        <f t="shared" si="11"/>
        <v>22400</v>
      </c>
      <c r="M551" s="272">
        <f t="shared" si="11"/>
        <v>22400</v>
      </c>
      <c r="N551" s="272">
        <f t="shared" si="11"/>
        <v>22400</v>
      </c>
      <c r="O551" s="272">
        <f t="shared" si="11"/>
        <v>22400</v>
      </c>
      <c r="P551" s="272">
        <f t="shared" si="11"/>
        <v>22400</v>
      </c>
      <c r="Q551" s="272">
        <f t="shared" si="11"/>
        <v>22400</v>
      </c>
      <c r="R551" s="272">
        <f t="shared" si="11"/>
        <v>22400</v>
      </c>
      <c r="S551" s="272">
        <f t="shared" si="11"/>
        <v>22400</v>
      </c>
      <c r="T551" s="272">
        <f t="shared" si="11"/>
        <v>22400</v>
      </c>
    </row>
    <row r="552" spans="2:20" s="294" customFormat="1" ht="20.399999999999999">
      <c r="B552" s="345" t="s">
        <v>2409</v>
      </c>
      <c r="C552" s="272">
        <f>$D$251</f>
        <v>44149</v>
      </c>
      <c r="D552" s="272">
        <f t="shared" ref="D552:T552" si="12">$D$251</f>
        <v>44149</v>
      </c>
      <c r="E552" s="272">
        <f t="shared" si="12"/>
        <v>44149</v>
      </c>
      <c r="F552" s="272">
        <f t="shared" si="12"/>
        <v>44149</v>
      </c>
      <c r="G552" s="272">
        <f t="shared" si="12"/>
        <v>44149</v>
      </c>
      <c r="H552" s="272">
        <f t="shared" si="12"/>
        <v>44149</v>
      </c>
      <c r="I552" s="272">
        <f t="shared" si="12"/>
        <v>44149</v>
      </c>
      <c r="J552" s="272">
        <f t="shared" si="12"/>
        <v>44149</v>
      </c>
      <c r="K552" s="272">
        <f t="shared" si="12"/>
        <v>44149</v>
      </c>
      <c r="L552" s="272">
        <f t="shared" si="12"/>
        <v>44149</v>
      </c>
      <c r="M552" s="272">
        <f t="shared" si="12"/>
        <v>44149</v>
      </c>
      <c r="N552" s="272">
        <f t="shared" si="12"/>
        <v>44149</v>
      </c>
      <c r="O552" s="272">
        <f t="shared" si="12"/>
        <v>44149</v>
      </c>
      <c r="P552" s="272">
        <f t="shared" si="12"/>
        <v>44149</v>
      </c>
      <c r="Q552" s="272">
        <f t="shared" si="12"/>
        <v>44149</v>
      </c>
      <c r="R552" s="272">
        <f t="shared" si="12"/>
        <v>44149</v>
      </c>
      <c r="S552" s="272">
        <f t="shared" si="12"/>
        <v>44149</v>
      </c>
      <c r="T552" s="272">
        <f t="shared" si="12"/>
        <v>44149</v>
      </c>
    </row>
    <row r="553" spans="2:20" s="294" customFormat="1" ht="20.399999999999999">
      <c r="B553" s="262" t="s">
        <v>2364</v>
      </c>
      <c r="C553" s="272"/>
      <c r="D553" s="272"/>
      <c r="E553" s="272"/>
      <c r="F553" s="272"/>
      <c r="G553" s="272"/>
      <c r="H553" s="272"/>
      <c r="I553" s="272"/>
      <c r="J553" s="272"/>
      <c r="K553" s="272"/>
      <c r="L553" s="272"/>
      <c r="M553" s="272"/>
      <c r="N553" s="272"/>
      <c r="O553" s="272"/>
      <c r="P553" s="272"/>
      <c r="Q553" s="272"/>
      <c r="R553" s="272"/>
      <c r="S553" s="272"/>
      <c r="T553" s="272"/>
    </row>
    <row r="554" spans="2:20" s="296" customFormat="1" ht="20.399999999999999">
      <c r="B554" s="277" t="s">
        <v>2410</v>
      </c>
      <c r="C554" s="262">
        <f t="shared" ref="C554:T554" si="13">C539*$D$526</f>
        <v>28808.411209389007</v>
      </c>
      <c r="D554" s="262">
        <f t="shared" si="13"/>
        <v>29441.865757970216</v>
      </c>
      <c r="E554" s="262">
        <f t="shared" si="13"/>
        <v>30681.233353020409</v>
      </c>
      <c r="F554" s="262">
        <f t="shared" si="13"/>
        <v>30543.525842459279</v>
      </c>
      <c r="G554" s="262">
        <f t="shared" si="13"/>
        <v>18992.338933269904</v>
      </c>
      <c r="H554" s="272">
        <f t="shared" si="13"/>
        <v>18976.094955324119</v>
      </c>
      <c r="I554" s="262">
        <f t="shared" si="13"/>
        <v>18959.839960777477</v>
      </c>
      <c r="J554" s="262">
        <f t="shared" si="13"/>
        <v>2451.1936879881623</v>
      </c>
      <c r="K554" s="262">
        <f t="shared" si="13"/>
        <v>-11457.264878686261</v>
      </c>
      <c r="L554" s="262">
        <f t="shared" si="13"/>
        <v>-28119.873656583321</v>
      </c>
      <c r="M554" s="262">
        <f t="shared" si="13"/>
        <v>-47536.632645703074</v>
      </c>
      <c r="N554" s="262">
        <f t="shared" si="13"/>
        <v>-86865.897661962634</v>
      </c>
      <c r="O554" s="262">
        <f t="shared" si="13"/>
        <v>-89427.257358399685</v>
      </c>
      <c r="P554" s="262">
        <f t="shared" si="13"/>
        <v>-92016.158556948998</v>
      </c>
      <c r="Q554" s="272">
        <f t="shared" si="13"/>
        <v>-154747.65732514075</v>
      </c>
      <c r="R554" s="262">
        <f t="shared" si="13"/>
        <v>-154786.67905017707</v>
      </c>
      <c r="S554" s="262">
        <f t="shared" si="13"/>
        <v>-159162.34070655747</v>
      </c>
      <c r="T554" s="262">
        <f t="shared" si="13"/>
        <v>-164375.39622635965</v>
      </c>
    </row>
    <row r="555" spans="2:20" s="296" customFormat="1" ht="20.399999999999999">
      <c r="B555" s="277" t="s">
        <v>2411</v>
      </c>
      <c r="C555" s="262">
        <f t="shared" ref="C555:T555" si="14">(C539)*$D$527</f>
        <v>24007.009341157507</v>
      </c>
      <c r="D555" s="262">
        <f t="shared" si="14"/>
        <v>24534.888131641848</v>
      </c>
      <c r="E555" s="262">
        <f t="shared" si="14"/>
        <v>25567.694460850344</v>
      </c>
      <c r="F555" s="262">
        <f t="shared" si="14"/>
        <v>25452.938202049401</v>
      </c>
      <c r="G555" s="262">
        <f t="shared" si="14"/>
        <v>15826.949111058257</v>
      </c>
      <c r="H555" s="262">
        <f t="shared" si="14"/>
        <v>15813.4124627701</v>
      </c>
      <c r="I555" s="262">
        <f t="shared" si="14"/>
        <v>15799.866633981232</v>
      </c>
      <c r="J555" s="262">
        <f t="shared" si="14"/>
        <v>2042.661406656802</v>
      </c>
      <c r="K555" s="262">
        <f t="shared" si="14"/>
        <v>-9547.720732238553</v>
      </c>
      <c r="L555" s="262">
        <f t="shared" si="14"/>
        <v>-23433.22804715277</v>
      </c>
      <c r="M555" s="262">
        <f t="shared" si="14"/>
        <v>-39613.860538085901</v>
      </c>
      <c r="N555" s="262">
        <f t="shared" si="14"/>
        <v>-72388.248051635543</v>
      </c>
      <c r="O555" s="262">
        <f t="shared" si="14"/>
        <v>-74522.714465333076</v>
      </c>
      <c r="P555" s="262">
        <f t="shared" si="14"/>
        <v>-76680.132130790851</v>
      </c>
      <c r="Q555" s="272">
        <f t="shared" si="14"/>
        <v>-128956.38110428398</v>
      </c>
      <c r="R555" s="262">
        <f t="shared" si="14"/>
        <v>-128988.8992084809</v>
      </c>
      <c r="S555" s="262">
        <f t="shared" si="14"/>
        <v>-132635.28392213123</v>
      </c>
      <c r="T555" s="262">
        <f t="shared" si="14"/>
        <v>-136979.49685529972</v>
      </c>
    </row>
    <row r="556" spans="2:20" s="296" customFormat="1" ht="20.399999999999999">
      <c r="B556" s="277" t="s">
        <v>2412</v>
      </c>
      <c r="C556" s="262">
        <f t="shared" ref="C556:T556" si="15">(C539)*($D$528)</f>
        <v>16946.810188841369</v>
      </c>
      <c r="D556" s="262">
        <f t="shared" si="15"/>
        <v>17319.445594523349</v>
      </c>
      <c r="E556" s="262">
        <f t="shared" si="15"/>
        <v>18048.514866509831</v>
      </c>
      <c r="F556" s="262">
        <f t="shared" si="15"/>
        <v>17967.507169622448</v>
      </c>
      <c r="G556" s="262">
        <f t="shared" si="15"/>
        <v>11172.416299006771</v>
      </c>
      <c r="H556" s="262">
        <f t="shared" si="15"/>
        <v>11162.860631081938</v>
      </c>
      <c r="I556" s="262">
        <f t="shared" si="15"/>
        <v>11153.298482541346</v>
      </c>
      <c r="J556" s="262">
        <f t="shared" si="15"/>
        <v>1441.9370045954872</v>
      </c>
      <c r="K556" s="262">
        <f t="shared" si="15"/>
        <v>-6739.8403810306045</v>
      </c>
      <c r="L556" s="262">
        <f t="shared" si="15"/>
        <v>-16541.771704404426</v>
      </c>
      <c r="M556" s="262">
        <f t="shared" si="15"/>
        <v>-27963.856965526003</v>
      </c>
      <c r="N556" s="262">
        <f t="shared" si="15"/>
        <v>-51099.655196563741</v>
      </c>
      <c r="O556" s="262">
        <f t="shared" si="15"/>
        <v>-52606.398358669132</v>
      </c>
      <c r="P556" s="262">
        <f t="shared" si="15"/>
        <v>-54129.343060152023</v>
      </c>
      <c r="Q556" s="272">
        <f t="shared" si="15"/>
        <v>-91031.718368499642</v>
      </c>
      <c r="R556" s="262">
        <f t="shared" si="15"/>
        <v>-91054.673253537389</v>
      </c>
      <c r="S556" s="262">
        <f t="shared" si="15"/>
        <v>-93628.696062441973</v>
      </c>
      <c r="T556" s="262">
        <f t="shared" si="15"/>
        <v>-96695.32343581086</v>
      </c>
    </row>
    <row r="557" spans="2:20" s="296" customFormat="1" ht="20.399999999999999">
      <c r="B557" s="277" t="s">
        <v>2413</v>
      </c>
      <c r="C557" s="262">
        <f t="shared" ref="C557:T557" si="16">(C539)*($D$529)</f>
        <v>11962.938469151708</v>
      </c>
      <c r="D557" s="262">
        <f t="shared" si="16"/>
        <v>12225.985873349116</v>
      </c>
      <c r="E557" s="262">
        <f t="shared" si="16"/>
        <v>12740.643838083175</v>
      </c>
      <c r="F557" s="262">
        <f t="shared" si="16"/>
        <v>12683.459619779391</v>
      </c>
      <c r="G557" s="262">
        <f t="shared" si="16"/>
        <v>7886.7307326526116</v>
      </c>
      <c r="H557" s="262">
        <f t="shared" si="16"/>
        <v>7879.9852822614985</v>
      </c>
      <c r="I557" s="262">
        <f t="shared" si="16"/>
        <v>7873.2352571329175</v>
      </c>
      <c r="J557" s="262">
        <f t="shared" si="16"/>
        <v>1017.8790858073618</v>
      </c>
      <c r="K557" s="262">
        <f t="shared" si="16"/>
        <v>-4757.7269628748681</v>
      </c>
      <c r="L557" s="262">
        <f t="shared" si="16"/>
        <v>-11677.017377632777</v>
      </c>
      <c r="M557" s="262">
        <f t="shared" si="16"/>
        <v>-19739.99215846639</v>
      </c>
      <c r="N557" s="262">
        <f t="shared" si="16"/>
        <v>-36071.804906027231</v>
      </c>
      <c r="O557" s="262">
        <f t="shared" si="16"/>
        <v>-37135.431366477613</v>
      </c>
      <c r="P557" s="262">
        <f t="shared" si="16"/>
        <v>-38210.494670588771</v>
      </c>
      <c r="Q557" s="272">
        <f t="shared" si="16"/>
        <v>-64260.284587394817</v>
      </c>
      <c r="R557" s="262">
        <f t="shared" si="16"/>
        <v>-64276.488691542618</v>
      </c>
      <c r="S557" s="262">
        <f t="shared" si="16"/>
        <v>-66093.519515514097</v>
      </c>
      <c r="T557" s="262">
        <f t="shared" si="16"/>
        <v>-68258.285283622128</v>
      </c>
    </row>
    <row r="558" spans="2:20" s="296" customFormat="1" ht="20.399999999999999">
      <c r="B558" s="277" t="s">
        <v>2414</v>
      </c>
      <c r="C558" s="262">
        <f t="shared" ref="C558:T558" si="17">(C539)*($D$530)</f>
        <v>8444.7689696165889</v>
      </c>
      <c r="D558" s="262">
        <f t="shared" si="17"/>
        <v>8630.4570062333969</v>
      </c>
      <c r="E558" s="262">
        <f t="shared" si="17"/>
        <v>8993.7596865706309</v>
      </c>
      <c r="F558" s="262">
        <f t="shared" si="17"/>
        <v>8953.3927220887163</v>
      </c>
      <c r="G558" s="262">
        <f t="shared" si="17"/>
        <v>5567.3293927381546</v>
      </c>
      <c r="H558" s="262">
        <f t="shared" si="17"/>
        <v>5562.5677056078694</v>
      </c>
      <c r="I558" s="262">
        <f t="shared" si="17"/>
        <v>5557.8027891204219</v>
      </c>
      <c r="J558" s="262">
        <f t="shared" si="17"/>
        <v>718.53196777808353</v>
      </c>
      <c r="K558" s="262">
        <f t="shared" si="17"/>
        <v>-3358.5314448953177</v>
      </c>
      <c r="L558" s="262">
        <f t="shared" si="17"/>
        <v>-8242.93414720701</v>
      </c>
      <c r="M558" s="262">
        <f t="shared" si="17"/>
        <v>-13934.676139157007</v>
      </c>
      <c r="N558" s="262">
        <f t="shared" si="17"/>
        <v>-25463.481195191893</v>
      </c>
      <c r="O558" s="262">
        <f t="shared" si="17"/>
        <v>-26214.306734555503</v>
      </c>
      <c r="P558" s="262">
        <f t="shared" si="17"/>
        <v>-26973.205666815509</v>
      </c>
      <c r="Q558" s="272">
        <f t="shared" si="17"/>
        <v>-45362.036982945647</v>
      </c>
      <c r="R558" s="262">
        <f t="shared" si="17"/>
        <v>-45373.475637105796</v>
      </c>
      <c r="S558" s="262">
        <f t="shared" si="17"/>
        <v>-46656.137548197214</v>
      </c>
      <c r="T558" s="262">
        <f t="shared" si="17"/>
        <v>-48184.269355624558</v>
      </c>
    </row>
    <row r="559" spans="2:20" s="296" customFormat="1" ht="20.399999999999999">
      <c r="B559" s="277" t="s">
        <v>2415</v>
      </c>
      <c r="C559" s="262">
        <f t="shared" ref="C559:T559" si="18">(C539)*($D$531)</f>
        <v>5961.2546812051041</v>
      </c>
      <c r="D559" s="262">
        <f t="shared" si="18"/>
        <v>6092.3338950365733</v>
      </c>
      <c r="E559" s="262">
        <f t="shared" si="18"/>
        <v>6348.7932264459705</v>
      </c>
      <c r="F559" s="262">
        <f t="shared" si="18"/>
        <v>6320.2977451782599</v>
      </c>
      <c r="G559" s="262">
        <f t="shared" si="18"/>
        <v>3930.0386456608903</v>
      </c>
      <c r="H559" s="262">
        <f t="shared" si="18"/>
        <v>3926.6773186905516</v>
      </c>
      <c r="I559" s="262">
        <f t="shared" si="18"/>
        <v>3923.31371208171</v>
      </c>
      <c r="J559" s="262">
        <f t="shared" si="18"/>
        <v>507.21956656525185</v>
      </c>
      <c r="K559" s="262">
        <f t="shared" si="18"/>
        <v>-2370.824041473541</v>
      </c>
      <c r="L559" s="262">
        <f t="shared" si="18"/>
        <v>-5818.7772748665457</v>
      </c>
      <c r="M559" s="262">
        <f t="shared" si="18"/>
        <v>-9836.6401336137733</v>
      </c>
      <c r="N559" s="262">
        <f t="shared" si="18"/>
        <v>-17974.949583671983</v>
      </c>
      <c r="O559" s="262">
        <f t="shared" si="18"/>
        <v>-18504.965535251402</v>
      </c>
      <c r="P559" s="262">
        <f t="shared" si="18"/>
        <v>-19040.68058308437</v>
      </c>
      <c r="Q559" s="272">
        <f t="shared" si="18"/>
        <v>-32021.557521171733</v>
      </c>
      <c r="R559" s="262">
        <f t="shared" si="18"/>
        <v>-32029.632192119418</v>
      </c>
      <c r="S559" s="262">
        <f t="shared" si="18"/>
        <v>-32935.07724922018</v>
      </c>
      <c r="T559" s="262">
        <f t="shared" si="18"/>
        <v>-34013.802188090624</v>
      </c>
    </row>
    <row r="560" spans="2:20" s="296" customFormat="1" ht="20.399999999999999">
      <c r="B560" s="277" t="s">
        <v>2416</v>
      </c>
      <c r="C560" s="262">
        <f t="shared" ref="C560:T560" si="19">(C539)*($D$532)</f>
        <v>4208.1148107244426</v>
      </c>
      <c r="D560" s="262">
        <f t="shared" si="19"/>
        <v>4300.645059908632</v>
      </c>
      <c r="E560" s="262">
        <f t="shared" si="19"/>
        <v>4481.6825039646546</v>
      </c>
      <c r="F560" s="262">
        <f t="shared" si="19"/>
        <v>4461.5672324028747</v>
      </c>
      <c r="G560" s="262">
        <f t="shared" si="19"/>
        <v>2774.2572186467555</v>
      </c>
      <c r="H560" s="262">
        <f t="shared" si="19"/>
        <v>2771.8844212133281</v>
      </c>
      <c r="I560" s="262">
        <f t="shared" si="19"/>
        <v>2769.510014558175</v>
      </c>
      <c r="J560" s="262">
        <f t="shared" si="19"/>
        <v>358.05183379968912</v>
      </c>
      <c r="K560" s="262">
        <f t="shared" si="19"/>
        <v>-1673.590593940123</v>
      </c>
      <c r="L560" s="262">
        <f t="shared" si="19"/>
        <v>-4107.5384529155381</v>
      </c>
      <c r="M560" s="262">
        <f t="shared" si="19"/>
        <v>-6943.7917431265641</v>
      </c>
      <c r="N560" s="262">
        <f t="shared" si="19"/>
        <v>-12688.713301171023</v>
      </c>
      <c r="O560" s="262">
        <f t="shared" si="19"/>
        <v>-13062.857352220135</v>
      </c>
      <c r="P560" s="262">
        <f t="shared" si="19"/>
        <v>-13441.024457581607</v>
      </c>
      <c r="Q560" s="272">
        <f t="shared" si="19"/>
        <v>-22604.36731417535</v>
      </c>
      <c r="R560" s="262">
        <f t="shared" si="19"/>
        <v>-22610.067312619271</v>
      </c>
      <c r="S560" s="262">
        <f t="shared" si="19"/>
        <v>-23249.230871105701</v>
      </c>
      <c r="T560" s="262">
        <f t="shared" si="19"/>
        <v>-24010.714591348446</v>
      </c>
    </row>
    <row r="561" spans="1:20" s="296" customFormat="1" ht="20.399999999999999">
      <c r="B561" s="290" t="s">
        <v>2396</v>
      </c>
      <c r="C561" s="262"/>
      <c r="D561" s="262"/>
      <c r="E561" s="262"/>
      <c r="F561" s="262"/>
      <c r="G561" s="262"/>
      <c r="H561" s="262"/>
      <c r="I561" s="262"/>
      <c r="J561" s="262"/>
      <c r="K561" s="262"/>
      <c r="L561" s="262"/>
      <c r="M561" s="262"/>
      <c r="N561" s="262"/>
      <c r="O561" s="262"/>
      <c r="P561" s="262"/>
      <c r="Q561" s="272"/>
      <c r="R561" s="262"/>
      <c r="S561" s="262"/>
      <c r="T561" s="262"/>
    </row>
    <row r="562" spans="1:20" s="296" customFormat="1" ht="20.399999999999999">
      <c r="B562" s="292" t="s">
        <v>2397</v>
      </c>
      <c r="C562" s="262">
        <f t="shared" ref="C562:T562" si="20">((32+C547)/2800)+($D$96)</f>
        <v>2.5578985006693117E-2</v>
      </c>
      <c r="D562" s="262">
        <f t="shared" si="20"/>
        <v>2.5956295331976909E-2</v>
      </c>
      <c r="E562" s="262">
        <f t="shared" si="20"/>
        <v>2.7088226307828277E-2</v>
      </c>
      <c r="F562" s="262">
        <f t="shared" si="20"/>
        <v>2.8974777934247228E-2</v>
      </c>
      <c r="G562" s="262">
        <f t="shared" si="20"/>
        <v>3.3498728734399866E-2</v>
      </c>
      <c r="H562" s="262">
        <f t="shared" si="20"/>
        <v>3.3502501837652694E-2</v>
      </c>
      <c r="I562" s="262">
        <f t="shared" si="20"/>
        <v>3.3506274940905537E-2</v>
      </c>
      <c r="J562" s="262">
        <f t="shared" si="20"/>
        <v>3.6520984439923021E-2</v>
      </c>
      <c r="K562" s="262">
        <f t="shared" si="20"/>
        <v>3.8407536066341966E-2</v>
      </c>
      <c r="L562" s="262">
        <f t="shared" si="20"/>
        <v>4.029408769276091E-2</v>
      </c>
      <c r="M562" s="262">
        <f t="shared" si="20"/>
        <v>4.2180639319179869E-2</v>
      </c>
      <c r="N562" s="262">
        <f t="shared" si="20"/>
        <v>4.5387777084092078E-2</v>
      </c>
      <c r="O562" s="262">
        <f t="shared" si="20"/>
        <v>4.5576432246733974E-2</v>
      </c>
      <c r="P562" s="262">
        <f t="shared" si="20"/>
        <v>4.5765087409375869E-2</v>
      </c>
      <c r="Q562" s="272">
        <f t="shared" si="20"/>
        <v>4.9845283535962244E-2</v>
      </c>
      <c r="R562" s="262">
        <f t="shared" si="20"/>
        <v>4.9847585128946471E-2</v>
      </c>
      <c r="S562" s="262">
        <f t="shared" si="20"/>
        <v>5.0104156150139453E-2</v>
      </c>
      <c r="T562" s="262">
        <f t="shared" si="20"/>
        <v>5.0406004410366481E-2</v>
      </c>
    </row>
    <row r="563" spans="1:20" s="296" customFormat="1" ht="20.399999999999999">
      <c r="B563" s="277" t="s">
        <v>2430</v>
      </c>
      <c r="C563" s="262">
        <f>(($D$60)*(10))*C562</f>
        <v>1099.896355287804</v>
      </c>
      <c r="D563" s="262">
        <f t="shared" ref="D563:T563" si="21">(($D$60)*(10))*D562</f>
        <v>1116.1206992750072</v>
      </c>
      <c r="E563" s="262">
        <f t="shared" si="21"/>
        <v>1164.7937312366159</v>
      </c>
      <c r="F563" s="262">
        <f t="shared" si="21"/>
        <v>1245.9154511726308</v>
      </c>
      <c r="G563" s="262">
        <f t="shared" si="21"/>
        <v>1440.4453355791943</v>
      </c>
      <c r="H563" s="262">
        <f t="shared" si="21"/>
        <v>1440.607579019066</v>
      </c>
      <c r="I563" s="262">
        <f t="shared" si="21"/>
        <v>1440.7698224589381</v>
      </c>
      <c r="J563" s="262">
        <f t="shared" si="21"/>
        <v>1570.4023309166898</v>
      </c>
      <c r="K563" s="262">
        <f t="shared" si="21"/>
        <v>1651.5240508527045</v>
      </c>
      <c r="L563" s="262">
        <f t="shared" si="21"/>
        <v>1732.6457707887191</v>
      </c>
      <c r="M563" s="262">
        <f t="shared" si="21"/>
        <v>1813.7674907247344</v>
      </c>
      <c r="N563" s="262">
        <f t="shared" si="21"/>
        <v>1951.6744146159594</v>
      </c>
      <c r="O563" s="262">
        <f t="shared" si="21"/>
        <v>1959.7865866095608</v>
      </c>
      <c r="P563" s="262">
        <f t="shared" si="21"/>
        <v>1967.8987586031624</v>
      </c>
      <c r="Q563" s="262">
        <f t="shared" si="21"/>
        <v>2143.3471920463767</v>
      </c>
      <c r="R563" s="262">
        <f t="shared" si="21"/>
        <v>2143.4461605446982</v>
      </c>
      <c r="S563" s="262">
        <f t="shared" si="21"/>
        <v>2154.4787144559964</v>
      </c>
      <c r="T563" s="262">
        <f t="shared" si="21"/>
        <v>2167.4581896457585</v>
      </c>
    </row>
    <row r="564" spans="1:20" s="296" customFormat="1" ht="20.399999999999999">
      <c r="B564" s="277" t="s">
        <v>2431</v>
      </c>
      <c r="C564" s="262">
        <f t="shared" ref="C564:T564" si="22">(($D$62)*(10))*C562</f>
        <v>2431.7941045863145</v>
      </c>
      <c r="D564" s="262">
        <f t="shared" si="22"/>
        <v>2467.6649972110449</v>
      </c>
      <c r="E564" s="262">
        <f t="shared" si="22"/>
        <v>2575.2776750852345</v>
      </c>
      <c r="F564" s="262">
        <f t="shared" si="22"/>
        <v>2754.632138208884</v>
      </c>
      <c r="G564" s="262">
        <f t="shared" si="22"/>
        <v>3184.7241407793954</v>
      </c>
      <c r="H564" s="262">
        <f t="shared" si="22"/>
        <v>3185.0828497056418</v>
      </c>
      <c r="I564" s="262">
        <f t="shared" si="22"/>
        <v>3185.4415586318892</v>
      </c>
      <c r="J564" s="262">
        <f t="shared" si="22"/>
        <v>3472.0499907034814</v>
      </c>
      <c r="K564" s="262">
        <f t="shared" si="22"/>
        <v>3651.4044538271305</v>
      </c>
      <c r="L564" s="262">
        <f t="shared" si="22"/>
        <v>3830.7589169507796</v>
      </c>
      <c r="M564" s="262">
        <f t="shared" si="22"/>
        <v>4010.1133800744301</v>
      </c>
      <c r="N564" s="262">
        <f t="shared" si="22"/>
        <v>4315.0159673846338</v>
      </c>
      <c r="O564" s="262">
        <f t="shared" si="22"/>
        <v>4332.9514136969992</v>
      </c>
      <c r="P564" s="262">
        <f t="shared" si="22"/>
        <v>4350.8868600093638</v>
      </c>
      <c r="Q564" s="272">
        <f t="shared" si="22"/>
        <v>4738.7911057639303</v>
      </c>
      <c r="R564" s="262">
        <f t="shared" si="22"/>
        <v>4739.0099182089407</v>
      </c>
      <c r="S564" s="262">
        <f t="shared" si="22"/>
        <v>4763.4021251937575</v>
      </c>
      <c r="T564" s="262">
        <f t="shared" si="22"/>
        <v>4792.0988392935415</v>
      </c>
    </row>
    <row r="565" spans="1:20" s="296" customFormat="1" ht="21">
      <c r="B565" s="277" t="s">
        <v>2429</v>
      </c>
      <c r="C565" s="262">
        <f t="shared" ref="C565:T565" si="23">($D$133)*((C547)^2)</f>
        <v>425.41163814410675</v>
      </c>
      <c r="D565" s="262">
        <f t="shared" si="23"/>
        <v>506.27500737811056</v>
      </c>
      <c r="E565" s="262">
        <f t="shared" si="23"/>
        <v>791.0546990282977</v>
      </c>
      <c r="F565" s="262">
        <f t="shared" si="23"/>
        <v>1406.3194649391962</v>
      </c>
      <c r="G565" s="262">
        <f t="shared" si="23"/>
        <v>3597.9280706803052</v>
      </c>
      <c r="H565" s="262">
        <f t="shared" si="23"/>
        <v>3600.1778302443413</v>
      </c>
      <c r="I565" s="262">
        <f t="shared" si="23"/>
        <v>3602.4282929681117</v>
      </c>
      <c r="J565" s="262">
        <f t="shared" si="23"/>
        <v>5625.2778597567849</v>
      </c>
      <c r="K565" s="262">
        <f t="shared" si="23"/>
        <v>7119.4922912546799</v>
      </c>
      <c r="L565" s="262">
        <f t="shared" si="23"/>
        <v>8789.4966558699743</v>
      </c>
      <c r="M565" s="262">
        <f t="shared" si="23"/>
        <v>10635.290953602671</v>
      </c>
      <c r="N565" s="262">
        <f t="shared" si="23"/>
        <v>14176.579156252679</v>
      </c>
      <c r="O565" s="262">
        <f t="shared" si="23"/>
        <v>14400.711320977365</v>
      </c>
      <c r="P565" s="262">
        <f t="shared" si="23"/>
        <v>14626.601385033224</v>
      </c>
      <c r="Q565" s="272">
        <f t="shared" si="23"/>
        <v>19942.255278652014</v>
      </c>
      <c r="R565" s="262">
        <f t="shared" si="23"/>
        <v>19945.485829283167</v>
      </c>
      <c r="S565" s="262">
        <f t="shared" si="23"/>
        <v>20307.253073721993</v>
      </c>
      <c r="T565" s="262">
        <f t="shared" si="23"/>
        <v>20737.024302207406</v>
      </c>
    </row>
    <row r="566" spans="1:20" s="296" customFormat="1" ht="20.399999999999999">
      <c r="B566" s="277" t="s">
        <v>2432</v>
      </c>
      <c r="C566" s="262">
        <f>C563+C565</f>
        <v>1525.3079934319107</v>
      </c>
      <c r="D566" s="262">
        <f t="shared" ref="D566:T566" si="24">D563+D565</f>
        <v>1622.3957066531177</v>
      </c>
      <c r="E566" s="262">
        <f t="shared" si="24"/>
        <v>1955.8484302649135</v>
      </c>
      <c r="F566" s="262">
        <f t="shared" si="24"/>
        <v>2652.2349161118273</v>
      </c>
      <c r="G566" s="262">
        <f t="shared" si="24"/>
        <v>5038.3734062594995</v>
      </c>
      <c r="H566" s="262">
        <f t="shared" si="24"/>
        <v>5040.785409263407</v>
      </c>
      <c r="I566" s="262">
        <f t="shared" si="24"/>
        <v>5043.1981154270497</v>
      </c>
      <c r="J566" s="262">
        <f t="shared" si="24"/>
        <v>7195.6801906734745</v>
      </c>
      <c r="K566" s="262">
        <f t="shared" si="24"/>
        <v>8771.0163421073848</v>
      </c>
      <c r="L566" s="262">
        <f t="shared" si="24"/>
        <v>10522.142426658693</v>
      </c>
      <c r="M566" s="262">
        <f t="shared" si="24"/>
        <v>12449.058444327406</v>
      </c>
      <c r="N566" s="262">
        <f t="shared" si="24"/>
        <v>16128.253570868639</v>
      </c>
      <c r="O566" s="262">
        <f t="shared" si="24"/>
        <v>16360.497907586927</v>
      </c>
      <c r="P566" s="262">
        <f t="shared" si="24"/>
        <v>16594.500143636385</v>
      </c>
      <c r="Q566" s="262">
        <f t="shared" si="24"/>
        <v>22085.602470698392</v>
      </c>
      <c r="R566" s="262">
        <f t="shared" si="24"/>
        <v>22088.931989827866</v>
      </c>
      <c r="S566" s="262">
        <f t="shared" si="24"/>
        <v>22461.731788177989</v>
      </c>
      <c r="T566" s="262">
        <f t="shared" si="24"/>
        <v>22904.482491853167</v>
      </c>
    </row>
    <row r="567" spans="1:20" s="296" customFormat="1" ht="20.399999999999999">
      <c r="B567" s="277" t="s">
        <v>2433</v>
      </c>
      <c r="C567" s="262">
        <f t="shared" ref="C567:T567" si="25">C564+C565</f>
        <v>2857.2057427304212</v>
      </c>
      <c r="D567" s="262">
        <f t="shared" si="25"/>
        <v>2973.9400045891553</v>
      </c>
      <c r="E567" s="262">
        <f t="shared" si="25"/>
        <v>3366.3323741135323</v>
      </c>
      <c r="F567" s="262">
        <f t="shared" si="25"/>
        <v>4160.9516031480798</v>
      </c>
      <c r="G567" s="262">
        <f t="shared" si="25"/>
        <v>6782.652211459701</v>
      </c>
      <c r="H567" s="262">
        <f t="shared" si="25"/>
        <v>6785.2606799499827</v>
      </c>
      <c r="I567" s="262">
        <f t="shared" si="25"/>
        <v>6787.8698516000004</v>
      </c>
      <c r="J567" s="262">
        <f t="shared" si="25"/>
        <v>9097.3278504602658</v>
      </c>
      <c r="K567" s="262">
        <f t="shared" si="25"/>
        <v>10770.896745081811</v>
      </c>
      <c r="L567" s="262">
        <f t="shared" si="25"/>
        <v>12620.255572820754</v>
      </c>
      <c r="M567" s="262">
        <f t="shared" si="25"/>
        <v>14645.404333677101</v>
      </c>
      <c r="N567" s="262">
        <f t="shared" si="25"/>
        <v>18491.595123637315</v>
      </c>
      <c r="O567" s="262">
        <f t="shared" si="25"/>
        <v>18733.662734674363</v>
      </c>
      <c r="P567" s="262">
        <f t="shared" si="25"/>
        <v>18977.488245042587</v>
      </c>
      <c r="Q567" s="272">
        <f t="shared" si="25"/>
        <v>24681.046384415946</v>
      </c>
      <c r="R567" s="262">
        <f t="shared" si="25"/>
        <v>24684.495747492107</v>
      </c>
      <c r="S567" s="262">
        <f t="shared" si="25"/>
        <v>25070.655198915752</v>
      </c>
      <c r="T567" s="262">
        <f t="shared" si="25"/>
        <v>25529.123141500946</v>
      </c>
    </row>
    <row r="568" spans="1:20" s="296" customFormat="1" ht="20.399999999999999">
      <c r="B568" s="277" t="s">
        <v>2417</v>
      </c>
      <c r="C568" s="262">
        <f t="shared" ref="C568:T568" si="26">C549-C554</f>
        <v>-12708.411209389007</v>
      </c>
      <c r="D568" s="262">
        <f t="shared" si="26"/>
        <v>-13341.865757970216</v>
      </c>
      <c r="E568" s="262">
        <f t="shared" si="26"/>
        <v>-14581.233353020409</v>
      </c>
      <c r="F568" s="262">
        <f t="shared" si="26"/>
        <v>-14443.525842459279</v>
      </c>
      <c r="G568" s="262">
        <f t="shared" si="26"/>
        <v>-2892.3389332699044</v>
      </c>
      <c r="H568" s="262">
        <f t="shared" si="26"/>
        <v>-2876.0949553241189</v>
      </c>
      <c r="I568" s="262">
        <f t="shared" si="26"/>
        <v>-2859.8399607774772</v>
      </c>
      <c r="J568" s="262">
        <f t="shared" si="26"/>
        <v>13648.806312011839</v>
      </c>
      <c r="K568" s="262">
        <f t="shared" si="26"/>
        <v>27557.264878686263</v>
      </c>
      <c r="L568" s="262">
        <f t="shared" si="26"/>
        <v>44219.873656583324</v>
      </c>
      <c r="M568" s="262">
        <f t="shared" si="26"/>
        <v>63636.632645703074</v>
      </c>
      <c r="N568" s="262">
        <f t="shared" si="26"/>
        <v>102965.89766196263</v>
      </c>
      <c r="O568" s="262">
        <f t="shared" si="26"/>
        <v>105527.25735839969</v>
      </c>
      <c r="P568" s="262">
        <f t="shared" si="26"/>
        <v>108116.158556949</v>
      </c>
      <c r="Q568" s="262">
        <f t="shared" si="26"/>
        <v>170847.65732514075</v>
      </c>
      <c r="R568" s="262">
        <f t="shared" si="26"/>
        <v>170886.67905017707</v>
      </c>
      <c r="S568" s="262">
        <f t="shared" si="26"/>
        <v>175262.34070655747</v>
      </c>
      <c r="T568" s="262">
        <f t="shared" si="26"/>
        <v>180475.39622635965</v>
      </c>
    </row>
    <row r="569" spans="1:20" s="296" customFormat="1" ht="20.399999999999999">
      <c r="B569" s="277" t="s">
        <v>2418</v>
      </c>
      <c r="C569" s="262">
        <f t="shared" ref="C569:T569" si="27">C549-C555</f>
        <v>-7907.0093411575072</v>
      </c>
      <c r="D569" s="262">
        <f t="shared" si="27"/>
        <v>-8434.8881316418483</v>
      </c>
      <c r="E569" s="262">
        <f t="shared" si="27"/>
        <v>-9467.6944608503436</v>
      </c>
      <c r="F569" s="262">
        <f t="shared" si="27"/>
        <v>-9352.9382020494013</v>
      </c>
      <c r="G569" s="262">
        <f t="shared" si="27"/>
        <v>273.05088894174332</v>
      </c>
      <c r="H569" s="262">
        <f t="shared" si="27"/>
        <v>286.58753722989968</v>
      </c>
      <c r="I569" s="262">
        <f t="shared" si="27"/>
        <v>300.13336601876836</v>
      </c>
      <c r="J569" s="262">
        <f t="shared" si="27"/>
        <v>14057.338593343198</v>
      </c>
      <c r="K569" s="262">
        <f t="shared" si="27"/>
        <v>25647.720732238551</v>
      </c>
      <c r="L569" s="262">
        <f t="shared" si="27"/>
        <v>39533.22804715277</v>
      </c>
      <c r="M569" s="262">
        <f t="shared" si="27"/>
        <v>55713.860538085901</v>
      </c>
      <c r="N569" s="262">
        <f t="shared" si="27"/>
        <v>88488.248051635543</v>
      </c>
      <c r="O569" s="262">
        <f t="shared" si="27"/>
        <v>90622.714465333076</v>
      </c>
      <c r="P569" s="262">
        <f t="shared" si="27"/>
        <v>92780.132130790851</v>
      </c>
      <c r="Q569" s="262">
        <f t="shared" si="27"/>
        <v>145056.38110428397</v>
      </c>
      <c r="R569" s="262">
        <f t="shared" si="27"/>
        <v>145088.8992084809</v>
      </c>
      <c r="S569" s="262">
        <f t="shared" si="27"/>
        <v>148735.28392213123</v>
      </c>
      <c r="T569" s="262">
        <f t="shared" si="27"/>
        <v>153079.49685529972</v>
      </c>
    </row>
    <row r="570" spans="1:20" s="296" customFormat="1" ht="20.399999999999999">
      <c r="B570" s="277" t="s">
        <v>2434</v>
      </c>
      <c r="C570" s="262">
        <f>C560-C566</f>
        <v>2682.8068172925318</v>
      </c>
      <c r="D570" s="262">
        <f t="shared" ref="D570:T570" si="28">D560-D566</f>
        <v>2678.2493532555145</v>
      </c>
      <c r="E570" s="262">
        <f t="shared" si="28"/>
        <v>2525.8340736997411</v>
      </c>
      <c r="F570" s="262">
        <f t="shared" si="28"/>
        <v>1809.3323162910474</v>
      </c>
      <c r="G570" s="262">
        <f t="shared" si="28"/>
        <v>-2264.1161876127439</v>
      </c>
      <c r="H570" s="262">
        <f t="shared" si="28"/>
        <v>-2268.9009880500789</v>
      </c>
      <c r="I570" s="262">
        <f t="shared" si="28"/>
        <v>-2273.6881008688747</v>
      </c>
      <c r="J570" s="262">
        <f t="shared" si="28"/>
        <v>-6837.6283568737854</v>
      </c>
      <c r="K570" s="262">
        <f t="shared" si="28"/>
        <v>-10444.606936047508</v>
      </c>
      <c r="L570" s="262">
        <f t="shared" si="28"/>
        <v>-14629.680879574231</v>
      </c>
      <c r="M570" s="262">
        <f t="shared" si="28"/>
        <v>-19392.850187453969</v>
      </c>
      <c r="N570" s="262">
        <f t="shared" si="28"/>
        <v>-28816.966872039662</v>
      </c>
      <c r="O570" s="262">
        <f t="shared" si="28"/>
        <v>-29423.35525980706</v>
      </c>
      <c r="P570" s="262">
        <f t="shared" si="28"/>
        <v>-30035.524601217992</v>
      </c>
      <c r="Q570" s="262">
        <f t="shared" si="28"/>
        <v>-44689.969784873741</v>
      </c>
      <c r="R570" s="262">
        <f t="shared" si="28"/>
        <v>-44698.999302447133</v>
      </c>
      <c r="S570" s="262">
        <f t="shared" si="28"/>
        <v>-45710.962659283687</v>
      </c>
      <c r="T570" s="262">
        <f t="shared" si="28"/>
        <v>-46915.197083201609</v>
      </c>
    </row>
    <row r="571" spans="1:20" s="296" customFormat="1" ht="20.399999999999999">
      <c r="B571" s="277" t="s">
        <v>2435</v>
      </c>
      <c r="C571" s="262">
        <f t="shared" ref="C571:T571" si="29">C560-C567</f>
        <v>1350.9090679940214</v>
      </c>
      <c r="D571" s="262">
        <f t="shared" si="29"/>
        <v>1326.7050553194767</v>
      </c>
      <c r="E571" s="262">
        <f t="shared" si="29"/>
        <v>1115.3501298511223</v>
      </c>
      <c r="F571" s="262">
        <f t="shared" si="29"/>
        <v>300.61562925479484</v>
      </c>
      <c r="G571" s="262">
        <f t="shared" si="29"/>
        <v>-4008.3949928129455</v>
      </c>
      <c r="H571" s="262">
        <f t="shared" si="29"/>
        <v>-4013.3762587366546</v>
      </c>
      <c r="I571" s="262">
        <f t="shared" si="29"/>
        <v>-4018.3598370418254</v>
      </c>
      <c r="J571" s="262">
        <f t="shared" si="29"/>
        <v>-8739.2760166605767</v>
      </c>
      <c r="K571" s="262">
        <f t="shared" si="29"/>
        <v>-12444.487339021935</v>
      </c>
      <c r="L571" s="262">
        <f t="shared" si="29"/>
        <v>-16727.794025736293</v>
      </c>
      <c r="M571" s="262">
        <f t="shared" si="29"/>
        <v>-21589.196076803666</v>
      </c>
      <c r="N571" s="262">
        <f t="shared" si="29"/>
        <v>-31180.30842480834</v>
      </c>
      <c r="O571" s="262">
        <f t="shared" si="29"/>
        <v>-31796.520086894496</v>
      </c>
      <c r="P571" s="262">
        <f t="shared" si="29"/>
        <v>-32418.512702624193</v>
      </c>
      <c r="Q571" s="272">
        <f t="shared" si="29"/>
        <v>-47285.413698591292</v>
      </c>
      <c r="R571" s="262">
        <f t="shared" si="29"/>
        <v>-47294.563060111381</v>
      </c>
      <c r="S571" s="262">
        <f t="shared" si="29"/>
        <v>-48319.886070021457</v>
      </c>
      <c r="T571" s="262">
        <f t="shared" si="29"/>
        <v>-49539.837732849395</v>
      </c>
    </row>
    <row r="572" spans="1:20" s="296" customFormat="1">
      <c r="B572" s="277"/>
      <c r="C572" s="262"/>
      <c r="D572" s="262"/>
      <c r="E572" s="262"/>
      <c r="F572" s="262"/>
      <c r="G572" s="262"/>
      <c r="H572" s="262"/>
      <c r="I572" s="262"/>
      <c r="J572" s="262"/>
      <c r="K572" s="262"/>
      <c r="L572" s="262"/>
      <c r="M572" s="262"/>
      <c r="N572" s="262"/>
      <c r="O572" s="262"/>
      <c r="P572" s="262"/>
      <c r="Q572" s="272"/>
      <c r="R572" s="262"/>
      <c r="S572" s="262"/>
      <c r="T572" s="262"/>
    </row>
    <row r="573" spans="1:20" s="296" customFormat="1">
      <c r="B573" s="277"/>
      <c r="C573" s="262"/>
      <c r="D573" s="262"/>
      <c r="E573" s="262"/>
      <c r="F573" s="262"/>
      <c r="G573" s="262"/>
      <c r="H573" s="262"/>
      <c r="I573" s="262"/>
      <c r="J573" s="262"/>
      <c r="K573" s="262"/>
      <c r="L573" s="262"/>
      <c r="M573" s="262"/>
      <c r="N573" s="262"/>
      <c r="O573" s="262"/>
      <c r="P573" s="262"/>
      <c r="Q573" s="272"/>
      <c r="R573" s="262"/>
      <c r="S573" s="262"/>
      <c r="T573" s="262"/>
    </row>
    <row r="574" spans="1:20" s="296" customFormat="1">
      <c r="B574" s="277"/>
      <c r="C574" s="262"/>
      <c r="D574" s="262"/>
      <c r="E574" s="262"/>
      <c r="F574" s="262"/>
      <c r="G574" s="262"/>
      <c r="H574" s="262"/>
      <c r="I574" s="262"/>
      <c r="J574" s="262"/>
      <c r="K574" s="262"/>
      <c r="L574" s="262"/>
      <c r="M574" s="262"/>
      <c r="N574" s="262"/>
      <c r="O574" s="262"/>
      <c r="P574" s="262"/>
      <c r="Q574" s="272"/>
      <c r="R574" s="262"/>
      <c r="S574" s="262"/>
      <c r="T574" s="262"/>
    </row>
    <row r="575" spans="1:20" s="296" customFormat="1">
      <c r="B575" s="277"/>
      <c r="C575" s="262"/>
      <c r="D575" s="262"/>
      <c r="E575" s="262"/>
      <c r="F575" s="262"/>
      <c r="G575" s="262"/>
      <c r="H575" s="262"/>
      <c r="I575" s="262"/>
      <c r="J575" s="262"/>
      <c r="K575" s="262"/>
      <c r="L575" s="262"/>
      <c r="M575" s="262"/>
      <c r="N575" s="262"/>
      <c r="O575" s="262"/>
      <c r="P575" s="262"/>
      <c r="Q575" s="272"/>
      <c r="R575" s="262"/>
      <c r="S575" s="262"/>
      <c r="T575" s="262"/>
    </row>
    <row r="576" spans="1:20">
      <c r="A576" s="323" t="s">
        <v>1910</v>
      </c>
      <c r="B576" s="293"/>
      <c r="C576" s="303"/>
    </row>
    <row r="577" spans="1:3">
      <c r="A577" s="321" t="s">
        <v>551</v>
      </c>
      <c r="B577" s="293" t="s">
        <v>1911</v>
      </c>
      <c r="C577" s="303"/>
    </row>
    <row r="578" spans="1:3">
      <c r="A578" s="321" t="s">
        <v>553</v>
      </c>
      <c r="B578" s="293" t="s">
        <v>1912</v>
      </c>
      <c r="C578" s="303"/>
    </row>
    <row r="579" spans="1:3">
      <c r="A579" s="321"/>
      <c r="B579" s="293" t="s">
        <v>1776</v>
      </c>
      <c r="C579" s="303"/>
    </row>
    <row r="580" spans="1:3">
      <c r="A580" s="321"/>
      <c r="B580" s="293" t="s">
        <v>1781</v>
      </c>
      <c r="C580" s="303"/>
    </row>
    <row r="581" spans="1:3">
      <c r="A581" s="321" t="s">
        <v>555</v>
      </c>
      <c r="B581" s="293" t="s">
        <v>1913</v>
      </c>
      <c r="C581" s="303"/>
    </row>
  </sheetData>
  <pageMargins left="0.7" right="0.7" top="0.75" bottom="0.75" header="0.3" footer="0.3"/>
  <pageSetup orientation="portrait" horizontalDpi="300" verticalDpi="300" r:id="rId1"/>
  <ignoredErrors>
    <ignoredError sqref="D334 D344:D345 D354 D357:D358 D351" evalErro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334"/>
  <sheetViews>
    <sheetView topLeftCell="A9" zoomScale="70" zoomScaleNormal="70" workbookViewId="0">
      <selection activeCell="E25" sqref="E25"/>
    </sheetView>
  </sheetViews>
  <sheetFormatPr defaultColWidth="8.8984375" defaultRowHeight="16.8"/>
  <cols>
    <col min="1" max="1" width="9.3984375" style="265" bestFit="1" customWidth="1"/>
    <col min="2" max="2" width="56.296875" style="264" customWidth="1"/>
    <col min="3" max="3" width="11.796875" style="300" customWidth="1"/>
    <col min="4" max="4" width="15.3984375" style="290" bestFit="1" customWidth="1"/>
    <col min="5" max="5" width="18.296875" style="296" customWidth="1"/>
    <col min="6" max="6" width="14.69921875" style="290" bestFit="1" customWidth="1"/>
    <col min="7" max="7" width="7.796875" style="290" bestFit="1" customWidth="1"/>
    <col min="8" max="8" width="18.19921875" style="290" customWidth="1"/>
    <col min="9" max="16384" width="8.8984375" style="290"/>
  </cols>
  <sheetData>
    <row r="2" spans="1:9" s="267" customFormat="1">
      <c r="A2" s="265" t="s">
        <v>1099</v>
      </c>
      <c r="B2" s="266" t="s">
        <v>1572</v>
      </c>
      <c r="C2" s="299"/>
      <c r="E2" s="273"/>
    </row>
    <row r="3" spans="1:9">
      <c r="A3" s="265" t="s">
        <v>551</v>
      </c>
      <c r="B3" s="264" t="s">
        <v>1570</v>
      </c>
      <c r="C3" s="300" t="s">
        <v>1564</v>
      </c>
      <c r="D3" s="294">
        <v>5</v>
      </c>
      <c r="F3" s="264"/>
      <c r="G3" s="264"/>
      <c r="H3" s="264" t="s">
        <v>7</v>
      </c>
    </row>
    <row r="4" spans="1:9" ht="20.399999999999999">
      <c r="A4" s="265" t="s">
        <v>553</v>
      </c>
      <c r="B4" s="264" t="s">
        <v>1569</v>
      </c>
      <c r="C4" s="300" t="s">
        <v>1591</v>
      </c>
      <c r="D4" s="294">
        <v>0</v>
      </c>
      <c r="F4" s="264"/>
      <c r="G4" s="264"/>
      <c r="H4" s="264" t="s">
        <v>1565</v>
      </c>
    </row>
    <row r="5" spans="1:9">
      <c r="A5" s="265" t="s">
        <v>555</v>
      </c>
      <c r="B5" s="264" t="s">
        <v>1568</v>
      </c>
      <c r="F5" s="264"/>
      <c r="G5" s="264"/>
      <c r="H5" s="264"/>
    </row>
    <row r="6" spans="1:9" ht="20.399999999999999">
      <c r="B6" s="264" t="s">
        <v>1566</v>
      </c>
      <c r="C6" s="300" t="s">
        <v>1592</v>
      </c>
      <c r="D6" s="294">
        <v>120</v>
      </c>
      <c r="F6" s="264"/>
      <c r="G6" s="264"/>
      <c r="H6" s="264" t="s">
        <v>80</v>
      </c>
    </row>
    <row r="7" spans="1:9" ht="20.399999999999999">
      <c r="B7" s="264" t="s">
        <v>1571</v>
      </c>
      <c r="D7" s="294" t="s">
        <v>1587</v>
      </c>
      <c r="F7" s="264"/>
      <c r="G7" s="264"/>
      <c r="H7" s="264"/>
    </row>
    <row r="8" spans="1:9">
      <c r="A8" s="269" t="s">
        <v>1105</v>
      </c>
      <c r="B8" s="291" t="s">
        <v>1574</v>
      </c>
      <c r="C8" s="301"/>
    </row>
    <row r="9" spans="1:9">
      <c r="A9" s="270" t="s">
        <v>1575</v>
      </c>
      <c r="B9" s="268" t="s">
        <v>1576</v>
      </c>
      <c r="C9" s="301"/>
    </row>
    <row r="10" spans="1:9">
      <c r="A10" s="269"/>
      <c r="B10" s="292" t="s">
        <v>1600</v>
      </c>
      <c r="C10" s="301"/>
    </row>
    <row r="11" spans="1:9">
      <c r="A11" s="269"/>
      <c r="B11" s="295" t="s">
        <v>1599</v>
      </c>
      <c r="C11" s="301"/>
      <c r="D11" s="294" t="s">
        <v>1587</v>
      </c>
    </row>
    <row r="12" spans="1:9">
      <c r="A12" s="270" t="s">
        <v>1578</v>
      </c>
      <c r="B12" s="268" t="s">
        <v>1577</v>
      </c>
      <c r="C12" s="301"/>
      <c r="D12" s="294"/>
    </row>
    <row r="13" spans="1:9" ht="19.2">
      <c r="A13" s="269" t="s">
        <v>551</v>
      </c>
      <c r="B13" s="291" t="s">
        <v>1579</v>
      </c>
      <c r="C13" s="301"/>
      <c r="D13" s="294"/>
    </row>
    <row r="14" spans="1:9">
      <c r="A14" s="269"/>
      <c r="B14" s="292" t="s">
        <v>1601</v>
      </c>
      <c r="C14" s="301"/>
      <c r="D14" s="296" t="str">
        <f>$D$11</f>
        <v>xxx</v>
      </c>
    </row>
    <row r="15" spans="1:9" ht="37.200000000000003">
      <c r="A15" s="269"/>
      <c r="B15" s="292" t="s">
        <v>1602</v>
      </c>
      <c r="C15" s="302" t="s">
        <v>1593</v>
      </c>
      <c r="D15" s="272" t="s">
        <v>1590</v>
      </c>
      <c r="E15" s="276"/>
      <c r="H15" s="290" t="s">
        <v>9</v>
      </c>
    </row>
    <row r="16" spans="1:9" ht="20.399999999999999">
      <c r="A16" s="269"/>
      <c r="B16" s="292" t="s">
        <v>1609</v>
      </c>
      <c r="C16" s="302" t="s">
        <v>1594</v>
      </c>
      <c r="D16" s="272">
        <v>2550</v>
      </c>
      <c r="E16" s="295" t="s">
        <v>1991</v>
      </c>
      <c r="F16" s="290" t="str">
        <f>$D$15</f>
        <v>(xxxx ÷ xxxx)</v>
      </c>
      <c r="H16" s="290" t="s">
        <v>9</v>
      </c>
      <c r="I16" s="292">
        <v>-2.1</v>
      </c>
    </row>
    <row r="17" spans="1:9" ht="20.399999999999999">
      <c r="A17" s="269"/>
      <c r="B17" s="264" t="s">
        <v>1603</v>
      </c>
      <c r="C17" s="302"/>
      <c r="D17" s="262"/>
      <c r="E17" s="276"/>
    </row>
    <row r="18" spans="1:9" ht="20.399999999999999">
      <c r="A18" s="269"/>
      <c r="B18" s="292" t="s">
        <v>1573</v>
      </c>
      <c r="C18" s="302"/>
      <c r="I18" s="292">
        <v>-2.2000000000000002</v>
      </c>
    </row>
    <row r="19" spans="1:9">
      <c r="B19" s="292" t="s">
        <v>1580</v>
      </c>
      <c r="C19" s="301"/>
      <c r="D19" s="262"/>
      <c r="E19" s="276"/>
    </row>
    <row r="20" spans="1:9" ht="20.399999999999999">
      <c r="B20" s="292" t="s">
        <v>1581</v>
      </c>
      <c r="C20" s="301"/>
      <c r="D20" s="262"/>
      <c r="E20" s="276"/>
    </row>
    <row r="21" spans="1:9" ht="20.399999999999999">
      <c r="B21" s="292" t="s">
        <v>1582</v>
      </c>
      <c r="C21" s="301"/>
      <c r="D21" s="262"/>
      <c r="E21" s="276"/>
    </row>
    <row r="22" spans="1:9" ht="37.200000000000003">
      <c r="B22" s="292" t="s">
        <v>1680</v>
      </c>
      <c r="C22" s="302" t="s">
        <v>1595</v>
      </c>
      <c r="D22" s="272" t="s">
        <v>1590</v>
      </c>
      <c r="E22" s="276" t="s">
        <v>1589</v>
      </c>
      <c r="I22" s="262" t="s">
        <v>1584</v>
      </c>
    </row>
    <row r="23" spans="1:9" ht="20.399999999999999">
      <c r="B23" s="292" t="s">
        <v>1604</v>
      </c>
      <c r="C23" s="302" t="s">
        <v>1586</v>
      </c>
      <c r="D23" s="272">
        <v>1200</v>
      </c>
      <c r="E23" s="276"/>
      <c r="H23" s="290" t="s">
        <v>9</v>
      </c>
      <c r="I23" s="262" t="s">
        <v>1583</v>
      </c>
    </row>
    <row r="24" spans="1:9" ht="20.399999999999999">
      <c r="B24" s="292" t="s">
        <v>1606</v>
      </c>
      <c r="C24" s="301"/>
      <c r="D24" s="262"/>
      <c r="E24" s="276"/>
    </row>
    <row r="25" spans="1:9" ht="20.399999999999999">
      <c r="B25" s="292" t="s">
        <v>1585</v>
      </c>
      <c r="C25" s="302"/>
      <c r="F25" s="278"/>
      <c r="G25" s="278"/>
      <c r="H25" s="278"/>
      <c r="I25" s="292">
        <v>-2.5</v>
      </c>
    </row>
    <row r="26" spans="1:9" s="264" customFormat="1" ht="20.399999999999999">
      <c r="A26" s="266"/>
      <c r="B26" s="263" t="s">
        <v>1605</v>
      </c>
      <c r="C26" s="302" t="s">
        <v>1596</v>
      </c>
      <c r="D26" s="262">
        <f>($D$23/$D$16)*100</f>
        <v>47.058823529411761</v>
      </c>
      <c r="E26" s="276" t="s">
        <v>1611</v>
      </c>
      <c r="F26" s="276" t="str">
        <f>($D$22)</f>
        <v>(xxxx ÷ xxxx)</v>
      </c>
      <c r="G26" s="276" t="s">
        <v>1589</v>
      </c>
      <c r="H26" s="271"/>
    </row>
    <row r="27" spans="1:9" s="264" customFormat="1">
      <c r="A27" s="266"/>
      <c r="B27" s="263" t="s">
        <v>1607</v>
      </c>
      <c r="C27" s="302"/>
      <c r="D27" s="262"/>
      <c r="E27" s="276"/>
      <c r="F27" s="276"/>
      <c r="G27" s="276"/>
      <c r="H27" s="271"/>
    </row>
    <row r="28" spans="1:9" s="264" customFormat="1" ht="20.399999999999999">
      <c r="A28" s="266"/>
      <c r="B28" s="292" t="s">
        <v>1608</v>
      </c>
      <c r="C28" s="302"/>
      <c r="D28" s="262"/>
      <c r="E28" s="276"/>
      <c r="F28" s="276"/>
      <c r="G28" s="276"/>
      <c r="H28" s="271"/>
      <c r="I28" s="264">
        <v>2.6</v>
      </c>
    </row>
    <row r="29" spans="1:9" s="294" customFormat="1" ht="20.399999999999999">
      <c r="A29" s="283"/>
      <c r="B29" s="263" t="s">
        <v>1610</v>
      </c>
      <c r="C29" s="302" t="s">
        <v>1597</v>
      </c>
      <c r="D29" s="272">
        <f>$D$16-$D$23</f>
        <v>1350</v>
      </c>
      <c r="E29" s="276"/>
      <c r="F29" s="275"/>
      <c r="G29" s="275"/>
      <c r="H29" s="276" t="s">
        <v>9</v>
      </c>
      <c r="I29" s="296">
        <v>2.7</v>
      </c>
    </row>
    <row r="30" spans="1:9" ht="20.399999999999999">
      <c r="B30" s="292" t="s">
        <v>1612</v>
      </c>
      <c r="C30" s="302"/>
      <c r="D30" s="262"/>
      <c r="E30" s="276"/>
      <c r="F30" s="278"/>
      <c r="G30" s="278"/>
      <c r="H30" s="278"/>
    </row>
    <row r="31" spans="1:9" ht="20.399999999999999">
      <c r="B31" s="292" t="s">
        <v>1613</v>
      </c>
      <c r="C31" s="302"/>
      <c r="D31" s="262"/>
      <c r="E31" s="276"/>
      <c r="F31" s="278"/>
      <c r="G31" s="278"/>
      <c r="H31" s="278"/>
      <c r="I31" s="290">
        <v>2.8</v>
      </c>
    </row>
    <row r="32" spans="1:9" ht="20.399999999999999">
      <c r="B32" s="292" t="s">
        <v>1681</v>
      </c>
      <c r="C32" s="301" t="s">
        <v>1598</v>
      </c>
      <c r="D32" s="290">
        <f>(($D$29)/($D$16))*100</f>
        <v>52.941176470588239</v>
      </c>
      <c r="E32" s="276" t="s">
        <v>1617</v>
      </c>
      <c r="F32" s="275"/>
      <c r="G32" s="275"/>
      <c r="I32" s="290">
        <v>2.9</v>
      </c>
    </row>
    <row r="33" spans="2:9" ht="37.200000000000003">
      <c r="B33" s="292" t="s">
        <v>1676</v>
      </c>
      <c r="C33" s="302" t="s">
        <v>1588</v>
      </c>
      <c r="D33" s="272" t="s">
        <v>1590</v>
      </c>
      <c r="E33" s="276" t="s">
        <v>1589</v>
      </c>
      <c r="I33" s="262" t="s">
        <v>1615</v>
      </c>
    </row>
    <row r="34" spans="2:9" ht="20.399999999999999">
      <c r="B34" s="292" t="s">
        <v>1616</v>
      </c>
      <c r="C34" s="301" t="s">
        <v>1598</v>
      </c>
      <c r="D34" s="290">
        <f>$D$32</f>
        <v>52.941176470588239</v>
      </c>
      <c r="E34" s="276" t="s">
        <v>1614</v>
      </c>
      <c r="F34" s="297" t="str">
        <f>$D$33</f>
        <v>(xxxx ÷ xxxx)</v>
      </c>
      <c r="G34" s="297" t="s">
        <v>1589</v>
      </c>
    </row>
    <row r="35" spans="2:9">
      <c r="B35" s="271" t="s">
        <v>1618</v>
      </c>
    </row>
    <row r="36" spans="2:9" ht="19.2">
      <c r="B36" s="291" t="s">
        <v>1619</v>
      </c>
      <c r="C36" s="303"/>
      <c r="D36" s="262"/>
    </row>
    <row r="37" spans="2:9" ht="20.399999999999999">
      <c r="B37" s="292" t="s">
        <v>1620</v>
      </c>
      <c r="C37" s="303"/>
      <c r="D37" s="262"/>
    </row>
    <row r="38" spans="2:9" ht="20.399999999999999">
      <c r="B38" s="292" t="s">
        <v>1624</v>
      </c>
      <c r="C38" s="304"/>
      <c r="D38" s="262"/>
      <c r="I38" s="290">
        <v>2.11</v>
      </c>
    </row>
    <row r="39" spans="2:9">
      <c r="B39" s="292" t="s">
        <v>1621</v>
      </c>
      <c r="C39" s="303"/>
      <c r="D39" s="262"/>
    </row>
    <row r="40" spans="2:9" ht="37.200000000000003">
      <c r="B40" s="264" t="s">
        <v>1625</v>
      </c>
      <c r="C40" s="304"/>
      <c r="D40" s="262"/>
    </row>
    <row r="41" spans="2:9" ht="20.399999999999999">
      <c r="B41" s="292" t="s">
        <v>1626</v>
      </c>
      <c r="C41" s="304"/>
      <c r="D41" s="262"/>
    </row>
    <row r="42" spans="2:9">
      <c r="B42" s="291" t="s">
        <v>1622</v>
      </c>
      <c r="C42" s="303"/>
      <c r="D42" s="262"/>
    </row>
    <row r="43" spans="2:9" ht="37.200000000000003">
      <c r="B43" s="292" t="s">
        <v>1623</v>
      </c>
      <c r="C43" s="303"/>
      <c r="D43" s="262"/>
    </row>
    <row r="44" spans="2:9" ht="20.399999999999999">
      <c r="B44" s="292" t="s">
        <v>1627</v>
      </c>
      <c r="C44" s="303"/>
      <c r="D44" s="262"/>
      <c r="I44" s="290">
        <v>2.12</v>
      </c>
    </row>
    <row r="45" spans="2:9">
      <c r="B45" s="292" t="s">
        <v>1542</v>
      </c>
      <c r="C45" s="303"/>
      <c r="D45" s="262"/>
    </row>
    <row r="46" spans="2:9" ht="20.399999999999999">
      <c r="B46" s="292" t="s">
        <v>1628</v>
      </c>
      <c r="C46" s="304"/>
      <c r="D46" s="262"/>
    </row>
    <row r="47" spans="2:9" ht="20.399999999999999">
      <c r="B47" s="263" t="s">
        <v>1631</v>
      </c>
      <c r="C47" s="304" t="s">
        <v>1630</v>
      </c>
      <c r="D47" s="272" t="s">
        <v>1590</v>
      </c>
      <c r="H47" s="290" t="s">
        <v>9</v>
      </c>
      <c r="I47" s="290">
        <v>2.13</v>
      </c>
    </row>
    <row r="48" spans="2:9" ht="20.399999999999999">
      <c r="B48" s="292" t="s">
        <v>1609</v>
      </c>
      <c r="C48" s="304" t="s">
        <v>1632</v>
      </c>
      <c r="D48" s="262">
        <v>70</v>
      </c>
      <c r="E48" s="292" t="s">
        <v>1992</v>
      </c>
      <c r="F48" s="276" t="str">
        <f>$D$47</f>
        <v>(xxxx ÷ xxxx)</v>
      </c>
      <c r="H48" s="290" t="s">
        <v>9</v>
      </c>
      <c r="I48" s="290">
        <v>2.14</v>
      </c>
    </row>
    <row r="49" spans="2:9" ht="20.399999999999999">
      <c r="B49" s="292" t="s">
        <v>1629</v>
      </c>
      <c r="C49" s="304"/>
      <c r="D49" s="262"/>
      <c r="E49" s="262"/>
    </row>
    <row r="50" spans="2:9" ht="33.6">
      <c r="B50" s="292" t="s">
        <v>1634</v>
      </c>
      <c r="C50" s="304" t="s">
        <v>1633</v>
      </c>
      <c r="D50" s="272" t="s">
        <v>1590</v>
      </c>
      <c r="E50" s="262"/>
      <c r="H50" s="290" t="s">
        <v>9</v>
      </c>
      <c r="I50" s="290">
        <v>2.15</v>
      </c>
    </row>
    <row r="51" spans="2:9" ht="20.399999999999999">
      <c r="B51" s="292" t="s">
        <v>1609</v>
      </c>
      <c r="C51" s="304" t="s">
        <v>1635</v>
      </c>
      <c r="D51" s="272">
        <v>5</v>
      </c>
      <c r="E51" s="292" t="s">
        <v>1993</v>
      </c>
      <c r="F51" s="290" t="str">
        <f>$D$50</f>
        <v>(xxxx ÷ xxxx)</v>
      </c>
      <c r="H51" s="290" t="s">
        <v>9</v>
      </c>
      <c r="I51" s="290">
        <v>2.16</v>
      </c>
    </row>
    <row r="52" spans="2:9" ht="33.6">
      <c r="B52" s="292" t="s">
        <v>1640</v>
      </c>
      <c r="C52" s="302" t="s">
        <v>1564</v>
      </c>
      <c r="D52" s="262">
        <f>$D$3</f>
        <v>5</v>
      </c>
      <c r="H52" s="290" t="s">
        <v>7</v>
      </c>
    </row>
    <row r="53" spans="2:9" ht="20.399999999999999">
      <c r="B53" s="292" t="s">
        <v>1636</v>
      </c>
      <c r="C53" s="304" t="s">
        <v>1637</v>
      </c>
      <c r="D53" s="262">
        <f>(($D$48)+($D$51))*($D$52)</f>
        <v>375</v>
      </c>
      <c r="H53" s="290" t="s">
        <v>9</v>
      </c>
    </row>
    <row r="54" spans="2:9" ht="20.399999999999999">
      <c r="B54" s="292" t="s">
        <v>1639</v>
      </c>
      <c r="C54" s="304" t="s">
        <v>1567</v>
      </c>
      <c r="D54" s="262">
        <f>($D$4)</f>
        <v>0</v>
      </c>
      <c r="H54" s="290" t="s">
        <v>9</v>
      </c>
    </row>
    <row r="55" spans="2:9" ht="20.399999999999999">
      <c r="B55" s="292" t="s">
        <v>1677</v>
      </c>
      <c r="C55" s="304" t="s">
        <v>1638</v>
      </c>
      <c r="D55" s="262">
        <f>($D$53)+($D$54)</f>
        <v>375</v>
      </c>
      <c r="H55" s="290" t="s">
        <v>9</v>
      </c>
      <c r="I55" s="290">
        <v>2.17</v>
      </c>
    </row>
    <row r="56" spans="2:9">
      <c r="B56" s="291" t="s">
        <v>1641</v>
      </c>
      <c r="C56" s="303"/>
      <c r="D56" s="262"/>
    </row>
    <row r="57" spans="2:9" ht="20.399999999999999">
      <c r="B57" s="292" t="s">
        <v>1642</v>
      </c>
      <c r="C57" s="303"/>
      <c r="D57" s="262"/>
    </row>
    <row r="58" spans="2:9" ht="20.399999999999999">
      <c r="B58" s="292" t="s">
        <v>1643</v>
      </c>
      <c r="C58" s="304"/>
      <c r="D58" s="262"/>
      <c r="I58" s="290">
        <v>2.1800000000000002</v>
      </c>
    </row>
    <row r="59" spans="2:9">
      <c r="B59" s="292" t="s">
        <v>1621</v>
      </c>
      <c r="C59" s="303"/>
      <c r="D59" s="262"/>
    </row>
    <row r="60" spans="2:9" ht="20.399999999999999">
      <c r="B60" s="292" t="s">
        <v>1650</v>
      </c>
      <c r="C60" s="304" t="s">
        <v>1649</v>
      </c>
      <c r="D60" s="262">
        <f>$D$16</f>
        <v>2550</v>
      </c>
      <c r="H60" s="290" t="s">
        <v>9</v>
      </c>
    </row>
    <row r="61" spans="2:9" ht="20.399999999999999">
      <c r="B61" s="292" t="s">
        <v>1651</v>
      </c>
      <c r="C61" s="304" t="s">
        <v>1652</v>
      </c>
      <c r="D61" s="262">
        <f>$D$55</f>
        <v>375</v>
      </c>
      <c r="H61" s="290" t="s">
        <v>9</v>
      </c>
    </row>
    <row r="62" spans="2:9" ht="20.399999999999999">
      <c r="B62" s="263" t="s">
        <v>1653</v>
      </c>
      <c r="C62" s="304" t="s">
        <v>1654</v>
      </c>
      <c r="D62" s="262">
        <f>$D$60+$D$61</f>
        <v>2925</v>
      </c>
      <c r="H62" s="290" t="s">
        <v>9</v>
      </c>
      <c r="I62" s="290">
        <v>2.19</v>
      </c>
    </row>
    <row r="63" spans="2:9" ht="33.6">
      <c r="B63" s="292" t="s">
        <v>1644</v>
      </c>
      <c r="C63" s="303"/>
      <c r="D63" s="262"/>
    </row>
    <row r="64" spans="2:9" ht="20.399999999999999">
      <c r="B64" s="292" t="s">
        <v>1645</v>
      </c>
      <c r="C64" s="304"/>
      <c r="D64" s="262"/>
      <c r="I64" s="290" t="s">
        <v>1655</v>
      </c>
    </row>
    <row r="65" spans="1:9">
      <c r="B65" s="292" t="s">
        <v>1580</v>
      </c>
      <c r="C65" s="303"/>
      <c r="D65" s="262"/>
    </row>
    <row r="66" spans="1:9" ht="20.399999999999999">
      <c r="B66" s="263" t="s">
        <v>1646</v>
      </c>
      <c r="C66" s="303"/>
      <c r="D66" s="262"/>
    </row>
    <row r="67" spans="1:9" ht="20.399999999999999">
      <c r="B67" s="292" t="s">
        <v>1647</v>
      </c>
      <c r="C67" s="303"/>
      <c r="D67" s="262"/>
    </row>
    <row r="68" spans="1:9" ht="37.200000000000003">
      <c r="B68" s="292" t="s">
        <v>1678</v>
      </c>
      <c r="C68" s="302" t="s">
        <v>1656</v>
      </c>
      <c r="D68" s="272" t="s">
        <v>1590</v>
      </c>
      <c r="E68" s="276" t="s">
        <v>1657</v>
      </c>
      <c r="I68" s="262">
        <v>2.21</v>
      </c>
    </row>
    <row r="69" spans="1:9" ht="20.399999999999999">
      <c r="B69" s="292" t="s">
        <v>1679</v>
      </c>
      <c r="C69" s="302" t="s">
        <v>1658</v>
      </c>
      <c r="D69" s="272">
        <v>1250</v>
      </c>
      <c r="E69" s="276"/>
      <c r="H69" s="290" t="s">
        <v>9</v>
      </c>
      <c r="I69" s="262">
        <v>2.2200000000000002</v>
      </c>
    </row>
    <row r="70" spans="1:9" ht="20.399999999999999">
      <c r="B70" s="263" t="s">
        <v>1682</v>
      </c>
      <c r="C70" s="301"/>
      <c r="D70" s="262"/>
      <c r="E70" s="276"/>
    </row>
    <row r="71" spans="1:9" ht="20.399999999999999">
      <c r="B71" s="292" t="s">
        <v>1648</v>
      </c>
      <c r="C71" s="302"/>
      <c r="F71" s="278"/>
      <c r="G71" s="278"/>
      <c r="H71" s="278"/>
      <c r="I71" s="292">
        <v>2.23</v>
      </c>
    </row>
    <row r="72" spans="1:9" s="264" customFormat="1" ht="20.399999999999999">
      <c r="A72" s="266"/>
      <c r="B72" s="263" t="s">
        <v>1659</v>
      </c>
      <c r="C72" s="302" t="s">
        <v>1660</v>
      </c>
      <c r="D72" s="262">
        <f>($D$69/$D$62)*100</f>
        <v>42.735042735042732</v>
      </c>
      <c r="E72" s="276" t="s">
        <v>1672</v>
      </c>
      <c r="F72" s="276"/>
      <c r="G72" s="276"/>
      <c r="H72" s="271"/>
      <c r="I72" s="264">
        <v>2.2400000000000002</v>
      </c>
    </row>
    <row r="73" spans="1:9" s="264" customFormat="1" ht="20.399999999999999">
      <c r="A73" s="266"/>
      <c r="B73" s="292" t="s">
        <v>1683</v>
      </c>
      <c r="C73" s="302" t="s">
        <v>1660</v>
      </c>
      <c r="D73" s="262">
        <f>($D$69/$D$62)*100</f>
        <v>42.735042735042732</v>
      </c>
      <c r="E73" s="276" t="s">
        <v>1661</v>
      </c>
      <c r="F73" s="276" t="str">
        <f>($D$68)</f>
        <v>(xxxx ÷ xxxx)</v>
      </c>
      <c r="G73" s="276" t="s">
        <v>1657</v>
      </c>
      <c r="H73" s="271"/>
    </row>
    <row r="74" spans="1:9" s="264" customFormat="1">
      <c r="A74" s="266"/>
      <c r="B74" s="271" t="s">
        <v>1684</v>
      </c>
      <c r="C74" s="302"/>
      <c r="D74" s="262"/>
      <c r="E74" s="276"/>
      <c r="F74" s="276"/>
      <c r="G74" s="276"/>
      <c r="H74" s="271"/>
    </row>
    <row r="75" spans="1:9" s="264" customFormat="1">
      <c r="A75" s="266"/>
      <c r="B75" s="263" t="s">
        <v>1662</v>
      </c>
      <c r="C75" s="302"/>
      <c r="D75" s="262"/>
      <c r="E75" s="276"/>
      <c r="F75" s="276"/>
      <c r="G75" s="276"/>
      <c r="H75" s="271"/>
    </row>
    <row r="76" spans="1:9" s="264" customFormat="1" ht="20.399999999999999">
      <c r="A76" s="266"/>
      <c r="B76" s="292" t="s">
        <v>1663</v>
      </c>
      <c r="C76" s="302"/>
      <c r="D76" s="262"/>
      <c r="E76" s="276"/>
      <c r="F76" s="276"/>
      <c r="G76" s="276"/>
      <c r="H76" s="271"/>
      <c r="I76" s="264">
        <v>2.25</v>
      </c>
    </row>
    <row r="77" spans="1:9" s="294" customFormat="1" ht="20.399999999999999">
      <c r="A77" s="283"/>
      <c r="B77" s="263" t="s">
        <v>1664</v>
      </c>
      <c r="C77" s="302" t="s">
        <v>1665</v>
      </c>
      <c r="D77" s="272">
        <f>$D$62-$D$69</f>
        <v>1675</v>
      </c>
      <c r="E77" s="276"/>
      <c r="F77" s="275"/>
      <c r="G77" s="275"/>
      <c r="H77" s="276" t="s">
        <v>9</v>
      </c>
      <c r="I77" s="296">
        <v>2.2599999999999998</v>
      </c>
    </row>
    <row r="78" spans="1:9" ht="20.399999999999999">
      <c r="B78" s="292" t="s">
        <v>1666</v>
      </c>
      <c r="C78" s="302"/>
      <c r="D78" s="262"/>
      <c r="E78" s="276"/>
      <c r="F78" s="278"/>
      <c r="G78" s="278"/>
      <c r="H78" s="278"/>
    </row>
    <row r="79" spans="1:9" ht="20.399999999999999">
      <c r="B79" s="292" t="s">
        <v>1667</v>
      </c>
      <c r="C79" s="302"/>
      <c r="D79" s="262"/>
      <c r="E79" s="276"/>
      <c r="F79" s="278"/>
      <c r="G79" s="278"/>
      <c r="H79" s="278"/>
      <c r="I79" s="290">
        <v>2.27</v>
      </c>
    </row>
    <row r="80" spans="1:9" ht="20.399999999999999">
      <c r="B80" s="292" t="s">
        <v>1668</v>
      </c>
      <c r="C80" s="301" t="s">
        <v>1669</v>
      </c>
      <c r="D80" s="290">
        <f>(($D$77)/($D$62))*100</f>
        <v>57.26495726495726</v>
      </c>
      <c r="E80" s="276" t="s">
        <v>1672</v>
      </c>
      <c r="F80" s="275"/>
      <c r="G80" s="275"/>
      <c r="I80" s="290">
        <v>2.2799999999999998</v>
      </c>
    </row>
    <row r="81" spans="1:9" ht="37.200000000000003">
      <c r="B81" s="292" t="s">
        <v>1670</v>
      </c>
      <c r="C81" s="302" t="s">
        <v>1671</v>
      </c>
      <c r="D81" s="272" t="s">
        <v>1590</v>
      </c>
      <c r="E81" s="276" t="s">
        <v>1657</v>
      </c>
      <c r="I81" s="262">
        <v>2.29</v>
      </c>
    </row>
    <row r="82" spans="1:9" ht="20.399999999999999">
      <c r="B82" s="292" t="s">
        <v>1673</v>
      </c>
      <c r="C82" s="301" t="s">
        <v>1669</v>
      </c>
      <c r="D82" s="290">
        <f>$D$32</f>
        <v>52.941176470588239</v>
      </c>
      <c r="E82" s="276" t="s">
        <v>1675</v>
      </c>
      <c r="F82" s="297" t="str">
        <f>$D$33</f>
        <v>(xxxx ÷ xxxx)</v>
      </c>
      <c r="G82" s="297" t="s">
        <v>1657</v>
      </c>
    </row>
    <row r="83" spans="1:9">
      <c r="B83" s="271" t="s">
        <v>1674</v>
      </c>
    </row>
    <row r="84" spans="1:9">
      <c r="A84" s="268" t="s">
        <v>1692</v>
      </c>
      <c r="B84" s="268" t="s">
        <v>1685</v>
      </c>
      <c r="C84" s="303"/>
      <c r="D84" s="262"/>
    </row>
    <row r="85" spans="1:9">
      <c r="A85" s="291" t="s">
        <v>551</v>
      </c>
      <c r="B85" s="292" t="s">
        <v>1711</v>
      </c>
      <c r="C85" s="303"/>
      <c r="D85" s="262"/>
    </row>
    <row r="86" spans="1:9">
      <c r="A86" s="291"/>
      <c r="B86" s="292" t="s">
        <v>1697</v>
      </c>
      <c r="C86" s="303"/>
      <c r="D86" s="262" t="str">
        <f>$D$14</f>
        <v>xxx</v>
      </c>
    </row>
    <row r="87" spans="1:9">
      <c r="A87" s="291"/>
      <c r="B87" s="292" t="s">
        <v>1698</v>
      </c>
      <c r="C87" s="303"/>
      <c r="D87" s="262" t="str">
        <f>$D$7</f>
        <v>xxx</v>
      </c>
    </row>
    <row r="88" spans="1:9" ht="20.399999999999999">
      <c r="A88" s="291"/>
      <c r="B88" s="292" t="s">
        <v>1699</v>
      </c>
      <c r="C88" s="304" t="s">
        <v>1700</v>
      </c>
      <c r="D88" s="272" t="s">
        <v>1590</v>
      </c>
      <c r="H88" s="295" t="s">
        <v>80</v>
      </c>
      <c r="I88" s="290" t="s">
        <v>1701</v>
      </c>
    </row>
    <row r="89" spans="1:9" ht="20.399999999999999">
      <c r="A89" s="291"/>
      <c r="B89" s="292" t="s">
        <v>1609</v>
      </c>
      <c r="C89" s="302" t="s">
        <v>1702</v>
      </c>
      <c r="D89" s="272">
        <v>6</v>
      </c>
      <c r="E89" s="262" t="s">
        <v>1994</v>
      </c>
      <c r="F89" s="290" t="str">
        <f>$D$88</f>
        <v>(xxxx ÷ xxxx)</v>
      </c>
      <c r="H89" s="295"/>
      <c r="I89" s="290">
        <v>2.31</v>
      </c>
    </row>
    <row r="90" spans="1:9">
      <c r="A90" s="291" t="s">
        <v>553</v>
      </c>
      <c r="B90" s="292" t="s">
        <v>1710</v>
      </c>
      <c r="C90" s="304"/>
      <c r="D90" s="262"/>
      <c r="E90" s="276"/>
      <c r="H90" s="295"/>
    </row>
    <row r="91" spans="1:9">
      <c r="A91" s="291"/>
      <c r="B91" s="292" t="s">
        <v>1703</v>
      </c>
      <c r="C91" s="304"/>
      <c r="D91" s="262" t="str">
        <f>$D$87</f>
        <v>xxx</v>
      </c>
      <c r="E91" s="278"/>
      <c r="H91" s="295"/>
    </row>
    <row r="92" spans="1:9" ht="20.399999999999999">
      <c r="A92" s="291"/>
      <c r="B92" s="292" t="s">
        <v>1704</v>
      </c>
      <c r="C92" s="304" t="s">
        <v>1705</v>
      </c>
      <c r="D92" s="262">
        <f>$D$6</f>
        <v>120</v>
      </c>
      <c r="E92" s="278"/>
      <c r="H92" s="295" t="s">
        <v>80</v>
      </c>
      <c r="I92" s="290">
        <v>2.3199999999999998</v>
      </c>
    </row>
    <row r="93" spans="1:9">
      <c r="A93" s="291" t="s">
        <v>555</v>
      </c>
      <c r="B93" s="292" t="s">
        <v>1712</v>
      </c>
      <c r="C93" s="304"/>
      <c r="D93" s="262"/>
      <c r="E93" s="278"/>
    </row>
    <row r="94" spans="1:9" ht="50.4">
      <c r="A94" s="291"/>
      <c r="B94" s="292" t="s">
        <v>1706</v>
      </c>
      <c r="C94" s="304" t="s">
        <v>1695</v>
      </c>
      <c r="D94" s="272" t="s">
        <v>1590</v>
      </c>
      <c r="E94" s="278"/>
      <c r="I94" s="290">
        <v>2.33</v>
      </c>
    </row>
    <row r="95" spans="1:9">
      <c r="A95" s="291"/>
      <c r="B95" s="292" t="s">
        <v>1686</v>
      </c>
      <c r="C95" s="304"/>
      <c r="D95" s="262"/>
      <c r="E95" s="278"/>
    </row>
    <row r="96" spans="1:9">
      <c r="A96" s="291"/>
      <c r="B96" s="292" t="s">
        <v>1609</v>
      </c>
      <c r="C96" s="302" t="s">
        <v>1707</v>
      </c>
      <c r="D96" s="272">
        <v>0.01</v>
      </c>
      <c r="E96" s="262" t="s">
        <v>1995</v>
      </c>
      <c r="F96" s="290" t="str">
        <f>$D$94</f>
        <v>(xxxx ÷ xxxx)</v>
      </c>
      <c r="I96" s="290">
        <v>2.34</v>
      </c>
    </row>
    <row r="97" spans="1:9">
      <c r="A97" s="291" t="s">
        <v>1138</v>
      </c>
      <c r="B97" s="292" t="s">
        <v>1708</v>
      </c>
      <c r="C97" s="304"/>
      <c r="D97" s="262"/>
      <c r="E97" s="278"/>
    </row>
    <row r="98" spans="1:9">
      <c r="A98" s="291" t="s">
        <v>1693</v>
      </c>
      <c r="B98" s="292" t="s">
        <v>1709</v>
      </c>
      <c r="C98" s="304"/>
      <c r="D98" s="262"/>
      <c r="E98" s="278"/>
    </row>
    <row r="99" spans="1:9" ht="36">
      <c r="A99" s="291"/>
      <c r="B99" s="291" t="s">
        <v>1713</v>
      </c>
      <c r="C99" s="304"/>
      <c r="D99" s="262"/>
      <c r="E99" s="278"/>
    </row>
    <row r="100" spans="1:9">
      <c r="A100" s="291"/>
      <c r="B100" s="291" t="s">
        <v>1717</v>
      </c>
      <c r="C100" s="269"/>
      <c r="D100" s="262"/>
      <c r="E100" s="278"/>
    </row>
    <row r="101" spans="1:9" ht="40.799999999999997">
      <c r="A101" s="291"/>
      <c r="B101" s="292" t="s">
        <v>1714</v>
      </c>
      <c r="C101" s="304"/>
      <c r="D101" s="262"/>
      <c r="E101" s="278"/>
    </row>
    <row r="102" spans="1:9" ht="20.399999999999999">
      <c r="A102" s="291"/>
      <c r="B102" s="292" t="s">
        <v>1687</v>
      </c>
      <c r="C102" s="304"/>
      <c r="D102" s="262"/>
      <c r="E102" s="278"/>
      <c r="I102" s="290">
        <v>2.35</v>
      </c>
    </row>
    <row r="103" spans="1:9" ht="20.399999999999999">
      <c r="A103" s="291"/>
      <c r="B103" s="292" t="s">
        <v>1688</v>
      </c>
      <c r="C103" s="304"/>
      <c r="D103" s="262"/>
      <c r="E103" s="278"/>
    </row>
    <row r="104" spans="1:9" ht="20.399999999999999">
      <c r="A104" s="291"/>
      <c r="B104" s="292" t="s">
        <v>1715</v>
      </c>
      <c r="C104" s="304"/>
      <c r="D104" s="262"/>
      <c r="E104" s="278"/>
    </row>
    <row r="105" spans="1:9" ht="20.399999999999999">
      <c r="A105" s="291"/>
      <c r="B105" s="292" t="s">
        <v>1689</v>
      </c>
      <c r="C105" s="304"/>
      <c r="D105" s="262"/>
      <c r="E105" s="278"/>
      <c r="I105" s="290">
        <v>2.36</v>
      </c>
    </row>
    <row r="106" spans="1:9" ht="20.399999999999999">
      <c r="A106" s="284"/>
      <c r="B106" s="292" t="s">
        <v>1716</v>
      </c>
      <c r="C106" s="305" t="s">
        <v>1696</v>
      </c>
      <c r="D106" s="262">
        <f>(32+($D$92)*(10^3)/3600)/2800</f>
        <v>2.3333333333333338E-2</v>
      </c>
      <c r="E106" s="262"/>
      <c r="I106" s="290">
        <v>2.37</v>
      </c>
    </row>
    <row r="107" spans="1:9">
      <c r="A107" s="291"/>
      <c r="B107" s="279" t="s">
        <v>1718</v>
      </c>
      <c r="C107" s="269"/>
      <c r="D107" s="262"/>
      <c r="E107" s="278"/>
    </row>
    <row r="108" spans="1:9">
      <c r="A108" s="291"/>
      <c r="B108" s="292" t="s">
        <v>1690</v>
      </c>
      <c r="C108" s="304"/>
      <c r="D108" s="262"/>
      <c r="E108" s="278"/>
    </row>
    <row r="109" spans="1:9">
      <c r="A109" s="291"/>
      <c r="B109" s="292" t="s">
        <v>1790</v>
      </c>
      <c r="C109" s="304"/>
      <c r="D109" s="262" t="str">
        <f>$D$87</f>
        <v>xxx</v>
      </c>
      <c r="E109" s="278"/>
    </row>
    <row r="110" spans="1:9" ht="33.6">
      <c r="A110" s="291"/>
      <c r="B110" s="292" t="s">
        <v>1719</v>
      </c>
      <c r="C110" s="304"/>
      <c r="D110" s="262"/>
      <c r="E110" s="278"/>
    </row>
    <row r="111" spans="1:9" ht="37.200000000000003">
      <c r="A111" s="284"/>
      <c r="B111" s="293" t="s">
        <v>1791</v>
      </c>
      <c r="C111" s="305" t="s">
        <v>1792</v>
      </c>
      <c r="D111" s="272" t="s">
        <v>1590</v>
      </c>
      <c r="E111" s="278"/>
      <c r="I111" s="290">
        <v>2.35</v>
      </c>
    </row>
    <row r="112" spans="1:9" ht="20.399999999999999">
      <c r="A112" s="291"/>
      <c r="B112" s="292" t="s">
        <v>1609</v>
      </c>
      <c r="C112" s="305" t="s">
        <v>1793</v>
      </c>
      <c r="D112" s="272">
        <v>1.4E-2</v>
      </c>
      <c r="E112" s="293" t="s">
        <v>1988</v>
      </c>
      <c r="F112" s="290" t="str">
        <f>$D$111</f>
        <v>(xxxx ÷ xxxx)</v>
      </c>
      <c r="I112" s="290">
        <v>2.36</v>
      </c>
    </row>
    <row r="113" spans="1:9" ht="37.200000000000003">
      <c r="A113" s="291"/>
      <c r="B113" s="292" t="s">
        <v>1691</v>
      </c>
      <c r="C113" s="304"/>
      <c r="D113" s="262"/>
      <c r="E113" s="278"/>
    </row>
    <row r="114" spans="1:9" ht="21">
      <c r="A114" s="291"/>
      <c r="B114" s="292" t="s">
        <v>1996</v>
      </c>
      <c r="C114" s="304"/>
      <c r="D114" s="262"/>
      <c r="E114" s="278"/>
      <c r="I114" s="290">
        <v>2.37</v>
      </c>
    </row>
    <row r="115" spans="1:9" ht="37.200000000000003">
      <c r="A115" s="291"/>
      <c r="B115" s="292" t="s">
        <v>1720</v>
      </c>
      <c r="C115" s="304"/>
      <c r="D115" s="262"/>
      <c r="E115" s="278"/>
    </row>
    <row r="116" spans="1:9" ht="21">
      <c r="A116" s="291"/>
      <c r="B116" s="292" t="s">
        <v>1997</v>
      </c>
      <c r="C116" s="304"/>
      <c r="D116" s="262"/>
      <c r="E116" s="278"/>
      <c r="I116" s="290">
        <v>2.38</v>
      </c>
    </row>
    <row r="117" spans="1:9" ht="20.399999999999999">
      <c r="A117" s="291"/>
      <c r="B117" s="292" t="s">
        <v>1722</v>
      </c>
      <c r="C117" s="304" t="s">
        <v>1721</v>
      </c>
      <c r="D117" s="262">
        <f>$D$112*(1+((($D$92*10^3)/3600)^2)/1500)</f>
        <v>2.4370370370370372E-2</v>
      </c>
      <c r="E117" s="278"/>
      <c r="I117" s="290">
        <v>2.39</v>
      </c>
    </row>
    <row r="118" spans="1:9">
      <c r="A118" s="291" t="s">
        <v>1694</v>
      </c>
      <c r="B118" s="292" t="s">
        <v>1723</v>
      </c>
      <c r="C118" s="304"/>
      <c r="D118" s="262"/>
      <c r="E118" s="278"/>
    </row>
    <row r="119" spans="1:9">
      <c r="A119" s="291"/>
      <c r="B119" s="292" t="s">
        <v>1724</v>
      </c>
      <c r="C119" s="304"/>
      <c r="D119" s="262" t="str">
        <f>$D$87</f>
        <v>xxx</v>
      </c>
      <c r="E119" s="278"/>
    </row>
    <row r="120" spans="1:9">
      <c r="A120" s="291"/>
      <c r="B120" s="292" t="s">
        <v>1728</v>
      </c>
      <c r="C120" s="304" t="s">
        <v>1725</v>
      </c>
      <c r="D120" s="272" t="s">
        <v>1590</v>
      </c>
      <c r="E120" s="278"/>
      <c r="I120" s="290" t="s">
        <v>1729</v>
      </c>
    </row>
    <row r="121" spans="1:9">
      <c r="A121" s="291"/>
      <c r="B121" s="292" t="s">
        <v>1726</v>
      </c>
      <c r="C121" s="302" t="s">
        <v>1727</v>
      </c>
      <c r="D121" s="294">
        <v>0.7</v>
      </c>
      <c r="E121" s="295" t="s">
        <v>1987</v>
      </c>
      <c r="F121" s="292" t="str">
        <f>$D$120</f>
        <v>(xxxx ÷ xxxx)</v>
      </c>
      <c r="I121" s="290">
        <v>2.41</v>
      </c>
    </row>
    <row r="122" spans="1:9">
      <c r="A122" s="268" t="s">
        <v>1737</v>
      </c>
      <c r="B122" s="268" t="s">
        <v>1739</v>
      </c>
      <c r="C122" s="303"/>
    </row>
    <row r="123" spans="1:9" ht="50.4">
      <c r="A123" s="291"/>
      <c r="B123" s="292" t="s">
        <v>1730</v>
      </c>
      <c r="C123" s="303"/>
    </row>
    <row r="124" spans="1:9" ht="19.2">
      <c r="A124" s="291"/>
      <c r="B124" s="292" t="s">
        <v>1731</v>
      </c>
      <c r="C124" s="304"/>
      <c r="I124" s="290">
        <v>2.42</v>
      </c>
    </row>
    <row r="125" spans="1:9">
      <c r="A125" s="291"/>
      <c r="B125" s="292" t="s">
        <v>1767</v>
      </c>
      <c r="C125" s="303"/>
      <c r="D125" s="290" t="str">
        <f>$D$11</f>
        <v>xxx</v>
      </c>
    </row>
    <row r="126" spans="1:9" ht="19.2">
      <c r="A126" s="291"/>
      <c r="B126" s="292" t="s">
        <v>1742</v>
      </c>
      <c r="C126" s="302" t="s">
        <v>1740</v>
      </c>
      <c r="D126" s="272" t="s">
        <v>1590</v>
      </c>
      <c r="H126" s="290" t="s">
        <v>1743</v>
      </c>
      <c r="I126" s="290">
        <v>2.4300000000000002</v>
      </c>
    </row>
    <row r="127" spans="1:9" ht="19.2">
      <c r="A127" s="291"/>
      <c r="B127" s="292" t="s">
        <v>1732</v>
      </c>
      <c r="C127" s="301"/>
    </row>
    <row r="128" spans="1:9">
      <c r="A128" s="291"/>
      <c r="B128" s="292" t="s">
        <v>1733</v>
      </c>
      <c r="C128" s="301"/>
    </row>
    <row r="129" spans="1:9" ht="19.2">
      <c r="A129" s="291"/>
      <c r="B129" s="292" t="s">
        <v>1744</v>
      </c>
      <c r="C129" s="302"/>
      <c r="I129" s="290">
        <v>2.44</v>
      </c>
    </row>
    <row r="130" spans="1:9" ht="19.2">
      <c r="A130" s="291"/>
      <c r="B130" s="292" t="s">
        <v>1745</v>
      </c>
      <c r="C130" s="302" t="s">
        <v>1741</v>
      </c>
      <c r="D130" s="272" t="s">
        <v>1590</v>
      </c>
      <c r="H130" s="290" t="s">
        <v>1746</v>
      </c>
      <c r="I130" s="290">
        <v>2.4500000000000002</v>
      </c>
    </row>
    <row r="131" spans="1:9">
      <c r="A131" s="291"/>
      <c r="B131" s="292" t="s">
        <v>1751</v>
      </c>
      <c r="C131" s="301"/>
    </row>
    <row r="132" spans="1:9" ht="20.399999999999999">
      <c r="A132" s="284"/>
      <c r="B132" s="295" t="s">
        <v>1748</v>
      </c>
      <c r="C132" s="302" t="s">
        <v>1752</v>
      </c>
      <c r="D132" s="272" t="s">
        <v>1590</v>
      </c>
      <c r="H132" s="290" t="s">
        <v>106</v>
      </c>
      <c r="I132" s="290">
        <v>2.46</v>
      </c>
    </row>
    <row r="133" spans="1:9" ht="20.399999999999999">
      <c r="A133" s="284"/>
      <c r="B133" s="295" t="s">
        <v>1726</v>
      </c>
      <c r="C133" s="302" t="s">
        <v>1753</v>
      </c>
      <c r="D133" s="294">
        <v>1700</v>
      </c>
      <c r="E133" s="295" t="s">
        <v>1989</v>
      </c>
      <c r="F133" s="290" t="str">
        <f>$D$132</f>
        <v>(xxxx ÷ xxxx)</v>
      </c>
      <c r="H133" s="290" t="s">
        <v>106</v>
      </c>
      <c r="I133" s="290">
        <v>2.4700000000000002</v>
      </c>
    </row>
    <row r="134" spans="1:9">
      <c r="A134" s="284"/>
      <c r="B134" s="295" t="s">
        <v>1749</v>
      </c>
      <c r="C134" s="302" t="s">
        <v>1740</v>
      </c>
      <c r="D134" s="272" t="s">
        <v>1590</v>
      </c>
      <c r="H134" s="290" t="s">
        <v>106</v>
      </c>
      <c r="I134" s="290">
        <v>2.48</v>
      </c>
    </row>
    <row r="135" spans="1:9">
      <c r="A135" s="284"/>
      <c r="B135" s="295" t="s">
        <v>1726</v>
      </c>
      <c r="C135" s="302" t="s">
        <v>1747</v>
      </c>
      <c r="D135" s="294" t="s">
        <v>1434</v>
      </c>
      <c r="E135" s="295" t="s">
        <v>1986</v>
      </c>
      <c r="F135" s="290" t="str">
        <f>$D$134</f>
        <v>(xxxx ÷ xxxx)</v>
      </c>
      <c r="H135" s="290" t="s">
        <v>106</v>
      </c>
      <c r="I135" s="290">
        <v>2.4900000000000002</v>
      </c>
    </row>
    <row r="136" spans="1:9" ht="20.399999999999999">
      <c r="A136" s="284"/>
      <c r="B136" s="295" t="s">
        <v>1750</v>
      </c>
      <c r="C136" s="302" t="s">
        <v>1754</v>
      </c>
      <c r="D136" s="272" t="s">
        <v>1590</v>
      </c>
      <c r="H136" s="290" t="s">
        <v>106</v>
      </c>
      <c r="I136" s="290" t="s">
        <v>1756</v>
      </c>
    </row>
    <row r="137" spans="1:9" ht="20.399999999999999">
      <c r="A137" s="284"/>
      <c r="B137" s="295" t="s">
        <v>1726</v>
      </c>
      <c r="C137" s="302" t="s">
        <v>1755</v>
      </c>
      <c r="D137" s="294">
        <v>1600</v>
      </c>
      <c r="E137" s="295" t="s">
        <v>1990</v>
      </c>
      <c r="F137" s="290" t="str">
        <f>$D$136</f>
        <v>(xxxx ÷ xxxx)</v>
      </c>
      <c r="H137" s="290" t="s">
        <v>106</v>
      </c>
      <c r="I137" s="290">
        <v>2.5099999999999998</v>
      </c>
    </row>
    <row r="138" spans="1:9" ht="19.2">
      <c r="A138" s="291"/>
      <c r="B138" s="293" t="s">
        <v>1757</v>
      </c>
      <c r="C138" s="306" t="s">
        <v>1758</v>
      </c>
      <c r="D138" s="294">
        <f>0.8*(($D$133)*($D$137))/10^6</f>
        <v>2.1760000000000002</v>
      </c>
      <c r="E138" s="294"/>
      <c r="F138" s="294"/>
      <c r="G138" s="294"/>
      <c r="H138" s="294" t="s">
        <v>1759</v>
      </c>
      <c r="I138" s="294">
        <v>2.52</v>
      </c>
    </row>
    <row r="139" spans="1:9" ht="19.2">
      <c r="A139" s="291"/>
      <c r="B139" s="293" t="s">
        <v>1757</v>
      </c>
      <c r="C139" s="306" t="s">
        <v>1758</v>
      </c>
      <c r="D139" s="294" t="e">
        <f>(($D$135)*($D$137))/10^6</f>
        <v>#VALUE!</v>
      </c>
      <c r="E139" s="294"/>
      <c r="F139" s="294"/>
      <c r="G139" s="294"/>
      <c r="H139" s="294" t="s">
        <v>1759</v>
      </c>
      <c r="I139" s="294">
        <v>2.52</v>
      </c>
    </row>
    <row r="140" spans="1:9" ht="19.2">
      <c r="A140" s="291"/>
      <c r="B140" s="293" t="s">
        <v>1760</v>
      </c>
      <c r="C140" s="306" t="s">
        <v>1758</v>
      </c>
      <c r="D140" s="294">
        <f>0.8*(($D$133)*($D$137))/10^6</f>
        <v>2.1760000000000002</v>
      </c>
      <c r="E140" s="295" t="s">
        <v>1985</v>
      </c>
      <c r="F140" s="294" t="str">
        <f>$D$130</f>
        <v>(xxxx ÷ xxxx)</v>
      </c>
      <c r="G140" s="294"/>
      <c r="H140" s="294" t="s">
        <v>1759</v>
      </c>
      <c r="I140" s="294">
        <v>2.5299999999999998</v>
      </c>
    </row>
    <row r="141" spans="1:9" ht="19.2">
      <c r="A141" s="291"/>
      <c r="B141" s="293" t="s">
        <v>1760</v>
      </c>
      <c r="C141" s="306" t="s">
        <v>1758</v>
      </c>
      <c r="D141" s="294" t="e">
        <f>(($D$135)*($D$137))/10^6</f>
        <v>#VALUE!</v>
      </c>
      <c r="E141" s="295" t="s">
        <v>1985</v>
      </c>
      <c r="F141" s="294" t="str">
        <f>$D$130</f>
        <v>(xxxx ÷ xxxx)</v>
      </c>
      <c r="G141" s="294"/>
      <c r="H141" s="294" t="s">
        <v>1759</v>
      </c>
      <c r="I141" s="294">
        <v>2.5299999999999998</v>
      </c>
    </row>
    <row r="142" spans="1:9" ht="19.2">
      <c r="A142" s="291"/>
      <c r="B142" s="292" t="s">
        <v>1734</v>
      </c>
      <c r="C142" s="303"/>
    </row>
    <row r="143" spans="1:9">
      <c r="A143" s="291"/>
      <c r="B143" s="292" t="s">
        <v>1601</v>
      </c>
      <c r="C143" s="303"/>
      <c r="D143" s="290" t="str">
        <f>$D$125</f>
        <v>xxx</v>
      </c>
    </row>
    <row r="144" spans="1:9" ht="19.2">
      <c r="A144" s="291"/>
      <c r="B144" s="292" t="s">
        <v>1761</v>
      </c>
      <c r="C144" s="304" t="s">
        <v>1763</v>
      </c>
      <c r="D144" s="272" t="s">
        <v>1590</v>
      </c>
      <c r="H144" s="292" t="s">
        <v>1762</v>
      </c>
      <c r="I144" s="290">
        <v>2.54</v>
      </c>
    </row>
    <row r="145" spans="1:9" ht="19.2">
      <c r="A145" s="291"/>
      <c r="B145" s="292" t="s">
        <v>1764</v>
      </c>
      <c r="C145" s="304" t="s">
        <v>1765</v>
      </c>
      <c r="D145" s="272" t="s">
        <v>1434</v>
      </c>
      <c r="E145" s="295" t="s">
        <v>1983</v>
      </c>
      <c r="F145" s="290" t="str">
        <f>$D$144</f>
        <v>(xxxx ÷ xxxx)</v>
      </c>
      <c r="H145" s="292" t="s">
        <v>1762</v>
      </c>
      <c r="I145" s="290">
        <v>2.5499999999999998</v>
      </c>
    </row>
    <row r="146" spans="1:9" s="294" customFormat="1">
      <c r="A146" s="284"/>
      <c r="B146" s="293" t="s">
        <v>1766</v>
      </c>
      <c r="C146" s="305" t="s">
        <v>1747</v>
      </c>
      <c r="D146" s="294" t="e">
        <f>($D$145)*($D$140)</f>
        <v>#VALUE!</v>
      </c>
      <c r="E146" s="295"/>
      <c r="I146" s="294">
        <v>2.56</v>
      </c>
    </row>
    <row r="147" spans="1:9" s="294" customFormat="1">
      <c r="A147" s="284"/>
      <c r="B147" s="293" t="s">
        <v>1766</v>
      </c>
      <c r="C147" s="305" t="s">
        <v>1747</v>
      </c>
      <c r="D147" s="294" t="e">
        <f>($D$145)*($D$141)</f>
        <v>#VALUE!</v>
      </c>
      <c r="E147" s="295"/>
      <c r="I147" s="294">
        <v>2.56</v>
      </c>
    </row>
    <row r="148" spans="1:9">
      <c r="A148" s="291"/>
      <c r="B148" s="293" t="s">
        <v>1760</v>
      </c>
      <c r="C148" s="305" t="s">
        <v>1747</v>
      </c>
      <c r="D148" s="294" t="e">
        <f>($D$145)*($D$140)</f>
        <v>#VALUE!</v>
      </c>
      <c r="E148" s="295" t="s">
        <v>1986</v>
      </c>
      <c r="F148" s="294" t="str">
        <f>$D$126</f>
        <v>(xxxx ÷ xxxx)</v>
      </c>
      <c r="I148" s="290">
        <v>2.57</v>
      </c>
    </row>
    <row r="149" spans="1:9">
      <c r="A149" s="291"/>
      <c r="B149" s="293" t="s">
        <v>1760</v>
      </c>
      <c r="C149" s="305" t="s">
        <v>1747</v>
      </c>
      <c r="D149" s="294" t="e">
        <f>($D$145)*($D$141)</f>
        <v>#VALUE!</v>
      </c>
      <c r="E149" s="295" t="s">
        <v>1986</v>
      </c>
      <c r="F149" s="294" t="str">
        <f>$D$126</f>
        <v>(xxxx ÷ xxxx)</v>
      </c>
      <c r="I149" s="290">
        <v>2.57</v>
      </c>
    </row>
    <row r="150" spans="1:9" s="281" customFormat="1">
      <c r="A150" s="280" t="s">
        <v>1181</v>
      </c>
      <c r="B150" s="280" t="s">
        <v>1738</v>
      </c>
      <c r="C150" s="307"/>
      <c r="E150" s="282"/>
    </row>
    <row r="151" spans="1:9">
      <c r="A151" s="284"/>
      <c r="B151" s="293" t="s">
        <v>1735</v>
      </c>
      <c r="C151" s="303"/>
    </row>
    <row r="152" spans="1:9">
      <c r="A152" s="284"/>
      <c r="B152" s="293" t="s">
        <v>1184</v>
      </c>
      <c r="C152" s="303"/>
    </row>
    <row r="153" spans="1:9">
      <c r="A153" s="284"/>
      <c r="B153" s="293" t="s">
        <v>1185</v>
      </c>
      <c r="C153" s="303"/>
    </row>
    <row r="154" spans="1:9">
      <c r="A154" s="284"/>
      <c r="B154" s="293" t="s">
        <v>1736</v>
      </c>
      <c r="C154" s="303"/>
    </row>
    <row r="155" spans="1:9">
      <c r="A155" s="284"/>
      <c r="B155" s="293" t="s">
        <v>1187</v>
      </c>
      <c r="C155" s="303"/>
    </row>
    <row r="156" spans="1:9">
      <c r="A156" s="284"/>
      <c r="B156" s="293" t="s">
        <v>1185</v>
      </c>
      <c r="C156" s="303"/>
    </row>
    <row r="157" spans="1:9" s="286" customFormat="1">
      <c r="A157" s="268" t="s">
        <v>1768</v>
      </c>
      <c r="B157" s="285" t="s">
        <v>1769</v>
      </c>
      <c r="C157" s="308"/>
      <c r="E157" s="287"/>
    </row>
    <row r="158" spans="1:9">
      <c r="A158" s="291" t="s">
        <v>551</v>
      </c>
      <c r="B158" s="274" t="s">
        <v>1770</v>
      </c>
      <c r="C158" s="301"/>
    </row>
    <row r="159" spans="1:9">
      <c r="A159" s="291"/>
      <c r="B159" s="295" t="s">
        <v>1795</v>
      </c>
      <c r="C159" s="302"/>
      <c r="D159" s="272" t="s">
        <v>1434</v>
      </c>
    </row>
    <row r="160" spans="1:9">
      <c r="A160" s="291"/>
      <c r="B160" s="295" t="s">
        <v>1796</v>
      </c>
      <c r="C160" s="302"/>
      <c r="D160" s="272" t="s">
        <v>1434</v>
      </c>
    </row>
    <row r="161" spans="1:9">
      <c r="A161" s="291"/>
      <c r="B161" s="295" t="s">
        <v>1797</v>
      </c>
      <c r="C161" s="302"/>
      <c r="D161" s="272" t="s">
        <v>1434</v>
      </c>
    </row>
    <row r="162" spans="1:9">
      <c r="A162" s="291" t="s">
        <v>1771</v>
      </c>
      <c r="B162" s="295" t="s">
        <v>1794</v>
      </c>
      <c r="C162" s="301"/>
    </row>
    <row r="163" spans="1:9">
      <c r="A163" s="291"/>
      <c r="B163" s="295" t="s">
        <v>1973</v>
      </c>
      <c r="C163" s="301"/>
    </row>
    <row r="164" spans="1:9">
      <c r="A164" s="291"/>
      <c r="B164" s="292" t="s">
        <v>1974</v>
      </c>
      <c r="C164" s="301"/>
      <c r="D164" s="290" t="str">
        <f>$D$161</f>
        <v>…</v>
      </c>
    </row>
    <row r="165" spans="1:9" ht="33.6">
      <c r="A165" s="291"/>
      <c r="B165" s="277" t="s">
        <v>1975</v>
      </c>
      <c r="C165" s="301"/>
      <c r="D165" s="294" t="s">
        <v>1434</v>
      </c>
    </row>
    <row r="166" spans="1:9" ht="20.399999999999999">
      <c r="A166" s="291"/>
      <c r="B166" s="295" t="s">
        <v>1976</v>
      </c>
      <c r="C166" s="302" t="s">
        <v>1787</v>
      </c>
      <c r="D166" s="272" t="s">
        <v>1590</v>
      </c>
      <c r="H166" s="290" t="s">
        <v>1782</v>
      </c>
      <c r="I166" s="290">
        <v>2.58</v>
      </c>
    </row>
    <row r="167" spans="1:9" ht="20.399999999999999">
      <c r="A167" s="291"/>
      <c r="B167" s="295" t="s">
        <v>1978</v>
      </c>
      <c r="C167" s="302" t="s">
        <v>1788</v>
      </c>
      <c r="D167" s="272">
        <v>1000</v>
      </c>
      <c r="E167" s="295" t="s">
        <v>1984</v>
      </c>
      <c r="F167" s="292" t="str">
        <f>$D$166</f>
        <v>(xxxx ÷ xxxx)</v>
      </c>
      <c r="H167" s="292" t="s">
        <v>1783</v>
      </c>
      <c r="I167" s="290">
        <v>2.59</v>
      </c>
    </row>
    <row r="168" spans="1:9" ht="20.399999999999999">
      <c r="A168" s="291"/>
      <c r="B168" s="292" t="s">
        <v>1977</v>
      </c>
      <c r="C168" s="302" t="s">
        <v>1784</v>
      </c>
      <c r="D168" s="272" t="s">
        <v>1590</v>
      </c>
      <c r="I168" s="290" t="s">
        <v>1799</v>
      </c>
    </row>
    <row r="169" spans="1:9">
      <c r="A169" s="309"/>
      <c r="B169" s="292" t="s">
        <v>1978</v>
      </c>
      <c r="C169" s="304" t="s">
        <v>1785</v>
      </c>
      <c r="D169" s="310">
        <v>1.2</v>
      </c>
      <c r="E169" s="292" t="s">
        <v>1786</v>
      </c>
      <c r="F169" s="309" t="str">
        <f>$D$168</f>
        <v>(xxxx ÷ xxxx)</v>
      </c>
      <c r="G169" s="309"/>
      <c r="H169" s="309"/>
      <c r="I169" s="309"/>
    </row>
    <row r="170" spans="1:9">
      <c r="A170" s="291" t="s">
        <v>555</v>
      </c>
      <c r="B170" s="292" t="s">
        <v>1789</v>
      </c>
      <c r="C170" s="301"/>
    </row>
    <row r="171" spans="1:9" ht="57.6">
      <c r="A171" s="291"/>
      <c r="B171" s="292" t="s">
        <v>1798</v>
      </c>
      <c r="C171" s="301"/>
    </row>
    <row r="172" spans="1:9" ht="33.6">
      <c r="A172" s="291"/>
      <c r="B172" s="264" t="s">
        <v>1982</v>
      </c>
      <c r="C172" s="301"/>
    </row>
    <row r="173" spans="1:9">
      <c r="A173" s="291"/>
      <c r="B173" s="292" t="s">
        <v>1974</v>
      </c>
      <c r="C173" s="301"/>
      <c r="D173" s="290" t="str">
        <f>$D$161</f>
        <v>…</v>
      </c>
    </row>
    <row r="174" spans="1:9">
      <c r="A174" s="291"/>
      <c r="B174" s="292" t="s">
        <v>1981</v>
      </c>
      <c r="C174" s="301"/>
      <c r="D174" s="298" t="s">
        <v>1212</v>
      </c>
      <c r="H174" s="290" t="s">
        <v>1800</v>
      </c>
    </row>
    <row r="175" spans="1:9">
      <c r="A175" s="291"/>
      <c r="B175" s="292" t="s">
        <v>1980</v>
      </c>
      <c r="C175" s="301"/>
      <c r="D175" s="294" t="s">
        <v>1979</v>
      </c>
    </row>
    <row r="176" spans="1:9" ht="33.6">
      <c r="A176" s="291"/>
      <c r="B176" s="264" t="s">
        <v>1801</v>
      </c>
      <c r="C176" s="301"/>
    </row>
    <row r="177" spans="1:9">
      <c r="A177" s="291"/>
      <c r="C177" s="301" t="s">
        <v>1803</v>
      </c>
      <c r="D177" s="294" t="s">
        <v>1434</v>
      </c>
      <c r="I177" s="290" t="s">
        <v>1805</v>
      </c>
    </row>
    <row r="178" spans="1:9">
      <c r="A178" s="291"/>
      <c r="C178" s="301" t="s">
        <v>1802</v>
      </c>
      <c r="D178" s="294" t="s">
        <v>1434</v>
      </c>
      <c r="I178" s="290" t="s">
        <v>1806</v>
      </c>
    </row>
    <row r="179" spans="1:9">
      <c r="A179" s="291"/>
      <c r="C179" s="301" t="s">
        <v>1804</v>
      </c>
      <c r="D179" s="294" t="s">
        <v>1434</v>
      </c>
      <c r="I179" s="290" t="s">
        <v>1807</v>
      </c>
    </row>
    <row r="180" spans="1:9">
      <c r="A180" s="268" t="s">
        <v>1772</v>
      </c>
      <c r="B180" s="268" t="s">
        <v>1773</v>
      </c>
      <c r="C180" s="301"/>
      <c r="D180" s="294" t="s">
        <v>1434</v>
      </c>
    </row>
    <row r="181" spans="1:9">
      <c r="A181" s="268" t="s">
        <v>1775</v>
      </c>
      <c r="B181" s="268" t="s">
        <v>1774</v>
      </c>
      <c r="C181" s="301"/>
      <c r="D181" s="294"/>
    </row>
    <row r="182" spans="1:9">
      <c r="A182" s="291" t="s">
        <v>551</v>
      </c>
      <c r="B182" s="292" t="s">
        <v>1776</v>
      </c>
      <c r="C182" s="301"/>
      <c r="D182" s="294"/>
    </row>
    <row r="183" spans="1:9">
      <c r="A183" s="291"/>
      <c r="B183" s="292" t="s">
        <v>1808</v>
      </c>
      <c r="C183" s="301"/>
      <c r="D183" s="294" t="s">
        <v>1434</v>
      </c>
    </row>
    <row r="184" spans="1:9">
      <c r="A184" s="291"/>
      <c r="B184" s="292" t="s">
        <v>1809</v>
      </c>
      <c r="C184" s="301"/>
      <c r="D184" s="294" t="s">
        <v>1434</v>
      </c>
    </row>
    <row r="185" spans="1:9">
      <c r="A185" s="291"/>
      <c r="B185" s="292" t="s">
        <v>1779</v>
      </c>
      <c r="C185" s="301"/>
      <c r="D185" s="294" t="s">
        <v>1434</v>
      </c>
    </row>
    <row r="186" spans="1:9">
      <c r="A186" s="291"/>
      <c r="B186" s="292" t="s">
        <v>1778</v>
      </c>
      <c r="C186" s="301"/>
      <c r="D186" s="294" t="s">
        <v>1434</v>
      </c>
    </row>
    <row r="187" spans="1:9">
      <c r="A187" s="291" t="s">
        <v>553</v>
      </c>
      <c r="B187" s="292" t="s">
        <v>1781</v>
      </c>
      <c r="C187" s="301"/>
      <c r="D187" s="294"/>
    </row>
    <row r="188" spans="1:9">
      <c r="A188" s="291"/>
      <c r="B188" s="292" t="s">
        <v>1777</v>
      </c>
      <c r="C188" s="301"/>
      <c r="D188" s="294" t="s">
        <v>1434</v>
      </c>
    </row>
    <row r="189" spans="1:9">
      <c r="A189" s="291"/>
      <c r="B189" s="292" t="s">
        <v>1780</v>
      </c>
      <c r="C189" s="301"/>
      <c r="D189" s="294" t="s">
        <v>1434</v>
      </c>
    </row>
    <row r="190" spans="1:9">
      <c r="A190" s="291"/>
      <c r="B190" s="292" t="s">
        <v>1779</v>
      </c>
      <c r="C190" s="301"/>
      <c r="D190" s="294" t="s">
        <v>1434</v>
      </c>
    </row>
    <row r="191" spans="1:9">
      <c r="A191" s="291"/>
      <c r="B191" s="292" t="s">
        <v>1778</v>
      </c>
      <c r="C191" s="301"/>
      <c r="D191" s="294" t="s">
        <v>1434</v>
      </c>
    </row>
    <row r="200" spans="1:9">
      <c r="A200" s="268" t="s">
        <v>1819</v>
      </c>
      <c r="B200" s="268" t="s">
        <v>1810</v>
      </c>
      <c r="C200" s="303"/>
      <c r="D200" s="262"/>
      <c r="E200" s="278"/>
    </row>
    <row r="201" spans="1:9">
      <c r="A201" s="291" t="s">
        <v>551</v>
      </c>
      <c r="B201" s="291" t="s">
        <v>1825</v>
      </c>
      <c r="C201" s="303"/>
      <c r="D201" s="262"/>
      <c r="E201" s="278"/>
    </row>
    <row r="202" spans="1:9">
      <c r="A202" s="268" t="s">
        <v>1015</v>
      </c>
      <c r="B202" s="268" t="s">
        <v>1826</v>
      </c>
      <c r="C202" s="303"/>
      <c r="D202" s="262"/>
      <c r="E202" s="278"/>
    </row>
    <row r="203" spans="1:9">
      <c r="A203" s="292"/>
      <c r="B203" s="292" t="s">
        <v>1811</v>
      </c>
      <c r="C203" s="303"/>
      <c r="D203" s="262"/>
      <c r="E203" s="278"/>
    </row>
    <row r="204" spans="1:9" ht="20.399999999999999">
      <c r="A204" s="292"/>
      <c r="B204" s="292" t="s">
        <v>1841</v>
      </c>
      <c r="C204" s="304" t="s">
        <v>1649</v>
      </c>
      <c r="D204" s="290">
        <f>$D$16</f>
        <v>2550</v>
      </c>
      <c r="H204" s="292" t="s">
        <v>9</v>
      </c>
      <c r="I204" s="292"/>
    </row>
    <row r="205" spans="1:9" ht="20.399999999999999">
      <c r="A205" s="292"/>
      <c r="B205" s="292" t="s">
        <v>1842</v>
      </c>
      <c r="C205" s="304" t="s">
        <v>1654</v>
      </c>
      <c r="D205" s="290">
        <f>$D$62</f>
        <v>2925</v>
      </c>
      <c r="H205" s="292" t="s">
        <v>9</v>
      </c>
      <c r="I205" s="292"/>
    </row>
    <row r="206" spans="1:9">
      <c r="A206" s="268" t="s">
        <v>1820</v>
      </c>
      <c r="B206" s="268" t="s">
        <v>1827</v>
      </c>
      <c r="C206" s="303"/>
      <c r="H206" s="278"/>
      <c r="I206" s="278"/>
    </row>
    <row r="207" spans="1:9">
      <c r="A207" s="292"/>
      <c r="B207" s="263" t="s">
        <v>1812</v>
      </c>
      <c r="C207" s="303"/>
      <c r="H207" s="278"/>
      <c r="I207" s="278"/>
    </row>
    <row r="208" spans="1:9">
      <c r="A208" s="292"/>
      <c r="B208" s="292" t="s">
        <v>1828</v>
      </c>
      <c r="C208" s="303"/>
      <c r="H208" s="278"/>
      <c r="I208" s="278"/>
    </row>
    <row r="209" spans="1:9" ht="20.399999999999999">
      <c r="A209" s="292"/>
      <c r="B209" s="292" t="s">
        <v>1850</v>
      </c>
      <c r="C209" s="304" t="s">
        <v>1843</v>
      </c>
      <c r="D209" s="290">
        <f>$D$23</f>
        <v>1200</v>
      </c>
      <c r="H209" s="292" t="s">
        <v>9</v>
      </c>
      <c r="I209" s="292"/>
    </row>
    <row r="210" spans="1:9" ht="20.399999999999999">
      <c r="A210" s="292"/>
      <c r="B210" s="292" t="s">
        <v>1851</v>
      </c>
      <c r="C210" s="304" t="s">
        <v>1844</v>
      </c>
      <c r="D210" s="290">
        <f>$D$69</f>
        <v>1250</v>
      </c>
      <c r="H210" s="292" t="s">
        <v>9</v>
      </c>
      <c r="I210" s="292"/>
    </row>
    <row r="211" spans="1:9">
      <c r="A211" s="292"/>
      <c r="B211" s="292" t="s">
        <v>1829</v>
      </c>
      <c r="C211" s="303"/>
      <c r="H211" s="278"/>
      <c r="I211" s="278"/>
    </row>
    <row r="212" spans="1:9" ht="20.399999999999999">
      <c r="A212" s="292"/>
      <c r="B212" s="292" t="s">
        <v>1853</v>
      </c>
      <c r="C212" s="304" t="s">
        <v>1845</v>
      </c>
      <c r="D212" s="290">
        <f>$D$29</f>
        <v>1350</v>
      </c>
      <c r="H212" s="292" t="s">
        <v>9</v>
      </c>
      <c r="I212" s="292"/>
    </row>
    <row r="213" spans="1:9" ht="20.399999999999999">
      <c r="A213" s="292"/>
      <c r="B213" s="292" t="s">
        <v>1852</v>
      </c>
      <c r="C213" s="304" t="s">
        <v>1846</v>
      </c>
      <c r="D213" s="290">
        <f>$D$77</f>
        <v>1675</v>
      </c>
      <c r="H213" s="292" t="s">
        <v>9</v>
      </c>
      <c r="I213" s="292"/>
    </row>
    <row r="214" spans="1:9" ht="54">
      <c r="A214" s="292"/>
      <c r="B214" s="264" t="s">
        <v>1813</v>
      </c>
      <c r="C214" s="303"/>
      <c r="H214" s="278"/>
      <c r="I214" s="278"/>
    </row>
    <row r="215" spans="1:9" ht="20.399999999999999">
      <c r="A215" s="292"/>
      <c r="B215" s="292" t="s">
        <v>1814</v>
      </c>
      <c r="C215" s="303"/>
      <c r="H215" s="278"/>
      <c r="I215" s="278"/>
    </row>
    <row r="216" spans="1:9">
      <c r="A216" s="291" t="s">
        <v>553</v>
      </c>
      <c r="B216" s="291" t="s">
        <v>1830</v>
      </c>
      <c r="C216" s="303"/>
      <c r="H216" s="278"/>
      <c r="I216" s="278"/>
    </row>
    <row r="217" spans="1:9">
      <c r="A217" s="292"/>
      <c r="B217" s="291" t="s">
        <v>1831</v>
      </c>
      <c r="C217" s="303"/>
      <c r="H217" s="278"/>
      <c r="I217" s="278"/>
    </row>
    <row r="218" spans="1:9">
      <c r="A218" s="292"/>
      <c r="B218" s="292" t="s">
        <v>1872</v>
      </c>
      <c r="C218" s="303"/>
      <c r="D218" s="272" t="s">
        <v>1847</v>
      </c>
      <c r="H218" s="278"/>
      <c r="I218" s="278"/>
    </row>
    <row r="219" spans="1:9">
      <c r="A219" s="292"/>
      <c r="B219" s="292" t="s">
        <v>1873</v>
      </c>
      <c r="C219" s="303"/>
      <c r="D219" s="294" t="s">
        <v>1434</v>
      </c>
      <c r="H219" s="278"/>
      <c r="I219" s="278"/>
    </row>
    <row r="220" spans="1:9" ht="20.399999999999999">
      <c r="A220" s="292"/>
      <c r="B220" s="292" t="s">
        <v>1857</v>
      </c>
      <c r="C220" s="304"/>
      <c r="D220" s="262" t="s">
        <v>1854</v>
      </c>
      <c r="E220" s="292"/>
      <c r="H220" s="278"/>
      <c r="I220" s="278"/>
    </row>
    <row r="221" spans="1:9">
      <c r="A221" s="292"/>
      <c r="B221" s="292" t="s">
        <v>1171</v>
      </c>
      <c r="C221" s="304"/>
      <c r="D221" s="262"/>
      <c r="E221" s="292"/>
      <c r="H221" s="278"/>
      <c r="I221" s="278"/>
    </row>
    <row r="222" spans="1:9" ht="20.399999999999999">
      <c r="A222" s="292"/>
      <c r="B222" s="292"/>
      <c r="C222" s="304" t="s">
        <v>1855</v>
      </c>
      <c r="D222" s="272">
        <f>$D$209</f>
        <v>1200</v>
      </c>
      <c r="E222" s="292"/>
      <c r="H222" s="278"/>
      <c r="I222" s="278"/>
    </row>
    <row r="223" spans="1:9" ht="20.399999999999999">
      <c r="A223" s="292"/>
      <c r="B223" s="292"/>
      <c r="C223" s="304" t="s">
        <v>1856</v>
      </c>
      <c r="D223" s="272">
        <f>$D$210</f>
        <v>1250</v>
      </c>
      <c r="E223" s="292"/>
      <c r="H223" s="278"/>
      <c r="I223" s="278"/>
    </row>
    <row r="224" spans="1:9" ht="54">
      <c r="A224" s="292"/>
      <c r="B224" s="264" t="s">
        <v>1863</v>
      </c>
      <c r="C224" s="303"/>
      <c r="H224" s="278"/>
      <c r="I224" s="278"/>
    </row>
    <row r="225" spans="1:9" ht="20.399999999999999">
      <c r="A225" s="292"/>
      <c r="B225" s="292" t="s">
        <v>1832</v>
      </c>
      <c r="C225" s="304" t="s">
        <v>1848</v>
      </c>
      <c r="D225" s="262" t="s">
        <v>1858</v>
      </c>
      <c r="H225" s="278"/>
      <c r="I225" s="278"/>
    </row>
    <row r="226" spans="1:9">
      <c r="A226" s="292"/>
      <c r="B226" s="292" t="s">
        <v>1862</v>
      </c>
      <c r="C226" s="304" t="s">
        <v>1848</v>
      </c>
      <c r="D226" s="294">
        <f>$D$222</f>
        <v>1200</v>
      </c>
      <c r="H226" s="278"/>
      <c r="I226" s="290">
        <v>2.64</v>
      </c>
    </row>
    <row r="227" spans="1:9" ht="20.399999999999999">
      <c r="A227" s="292"/>
      <c r="B227" s="292" t="s">
        <v>1833</v>
      </c>
      <c r="C227" s="304" t="s">
        <v>1849</v>
      </c>
      <c r="D227" s="262" t="s">
        <v>1859</v>
      </c>
      <c r="H227" s="278"/>
      <c r="I227" s="278"/>
    </row>
    <row r="228" spans="1:9">
      <c r="A228" s="292"/>
      <c r="B228" s="292" t="s">
        <v>1862</v>
      </c>
      <c r="C228" s="304" t="s">
        <v>1849</v>
      </c>
      <c r="D228" s="294">
        <f>$D$223</f>
        <v>1250</v>
      </c>
      <c r="H228" s="278"/>
      <c r="I228" s="290">
        <v>2.65</v>
      </c>
    </row>
    <row r="229" spans="1:9">
      <c r="A229" s="292"/>
      <c r="B229" s="291" t="s">
        <v>1860</v>
      </c>
      <c r="C229" s="304"/>
      <c r="D229" s="294"/>
      <c r="H229" s="278"/>
    </row>
    <row r="230" spans="1:9" ht="50.4">
      <c r="A230" s="292"/>
      <c r="B230" s="292" t="s">
        <v>1866</v>
      </c>
      <c r="C230" s="304"/>
      <c r="D230" s="294"/>
      <c r="H230" s="278"/>
    </row>
    <row r="231" spans="1:9">
      <c r="A231" s="292"/>
      <c r="B231" s="292" t="s">
        <v>1868</v>
      </c>
      <c r="C231" s="304" t="s">
        <v>1727</v>
      </c>
      <c r="D231" s="294">
        <f>$D$121</f>
        <v>0.7</v>
      </c>
      <c r="H231" s="278"/>
    </row>
    <row r="232" spans="1:9" ht="33.6">
      <c r="A232" s="292"/>
      <c r="B232" s="292" t="s">
        <v>1867</v>
      </c>
      <c r="C232" s="304"/>
      <c r="D232" s="294"/>
      <c r="H232" s="278"/>
    </row>
    <row r="233" spans="1:9">
      <c r="A233" s="292"/>
      <c r="B233" s="292" t="s">
        <v>1861</v>
      </c>
      <c r="C233" s="302" t="s">
        <v>1848</v>
      </c>
      <c r="D233" s="262">
        <f>$D$226</f>
        <v>1200</v>
      </c>
      <c r="E233" s="278"/>
      <c r="F233" s="278"/>
      <c r="H233" s="278"/>
    </row>
    <row r="234" spans="1:9" ht="20.399999999999999">
      <c r="A234" s="292"/>
      <c r="B234" s="292" t="s">
        <v>1864</v>
      </c>
      <c r="C234" s="302" t="s">
        <v>1870</v>
      </c>
      <c r="D234" s="262">
        <f xml:space="preserve"> $D$231*$D$233*10</f>
        <v>8400</v>
      </c>
      <c r="E234" s="292"/>
      <c r="F234" s="278"/>
      <c r="H234" s="278" t="s">
        <v>1877</v>
      </c>
      <c r="I234" s="290">
        <v>2.66</v>
      </c>
    </row>
    <row r="235" spans="1:9">
      <c r="A235" s="292"/>
      <c r="B235" s="292" t="s">
        <v>1865</v>
      </c>
      <c r="C235" s="302" t="s">
        <v>1849</v>
      </c>
      <c r="D235" s="262">
        <f>$D$228</f>
        <v>1250</v>
      </c>
      <c r="E235" s="278"/>
      <c r="F235" s="278"/>
      <c r="H235" s="278"/>
    </row>
    <row r="236" spans="1:9" ht="20.399999999999999">
      <c r="A236" s="292"/>
      <c r="B236" s="292" t="s">
        <v>1869</v>
      </c>
      <c r="C236" s="302" t="s">
        <v>1871</v>
      </c>
      <c r="D236" s="262">
        <f xml:space="preserve"> $D$231*$D$235*10</f>
        <v>8750</v>
      </c>
      <c r="E236" s="292"/>
      <c r="F236" s="278"/>
      <c r="H236" s="278" t="s">
        <v>1876</v>
      </c>
      <c r="I236" s="290">
        <v>2.67</v>
      </c>
    </row>
    <row r="237" spans="1:9">
      <c r="A237" s="284" t="s">
        <v>555</v>
      </c>
      <c r="B237" s="284" t="s">
        <v>1244</v>
      </c>
      <c r="C237" s="303"/>
      <c r="H237" s="278"/>
      <c r="I237" s="278"/>
    </row>
    <row r="238" spans="1:9">
      <c r="A238" s="268" t="s">
        <v>1821</v>
      </c>
      <c r="B238" s="268" t="s">
        <v>1889</v>
      </c>
      <c r="C238" s="303"/>
      <c r="H238" s="278"/>
      <c r="I238" s="278"/>
    </row>
    <row r="239" spans="1:9">
      <c r="A239" s="292"/>
      <c r="B239" s="292" t="s">
        <v>1815</v>
      </c>
      <c r="C239" s="303"/>
      <c r="H239" s="278"/>
      <c r="I239" s="278"/>
    </row>
    <row r="240" spans="1:9">
      <c r="A240" s="292"/>
      <c r="B240" s="292" t="s">
        <v>1834</v>
      </c>
      <c r="C240" s="303"/>
      <c r="H240" s="278"/>
      <c r="I240" s="278"/>
    </row>
    <row r="241" spans="1:9" ht="20.399999999999999">
      <c r="A241" s="292"/>
      <c r="B241" s="292" t="s">
        <v>1874</v>
      </c>
      <c r="C241" s="304" t="s">
        <v>1875</v>
      </c>
      <c r="D241" s="262">
        <f>($D$209)/2</f>
        <v>600</v>
      </c>
      <c r="H241" s="278" t="s">
        <v>9</v>
      </c>
      <c r="I241" s="278">
        <v>2.68</v>
      </c>
    </row>
    <row r="242" spans="1:9" ht="20.399999999999999">
      <c r="A242" s="292"/>
      <c r="B242" s="292" t="s">
        <v>1878</v>
      </c>
      <c r="C242" s="304" t="s">
        <v>1879</v>
      </c>
      <c r="D242" s="262">
        <f>($D$210)/2</f>
        <v>625</v>
      </c>
      <c r="H242" s="278" t="s">
        <v>9</v>
      </c>
      <c r="I242" s="278">
        <v>2.69</v>
      </c>
    </row>
    <row r="243" spans="1:9">
      <c r="A243" s="292"/>
      <c r="B243" s="292" t="s">
        <v>1835</v>
      </c>
      <c r="C243" s="303"/>
      <c r="H243" s="278"/>
      <c r="I243" s="278"/>
    </row>
    <row r="244" spans="1:9" ht="20.399999999999999">
      <c r="A244" s="292"/>
      <c r="B244" s="292" t="s">
        <v>1836</v>
      </c>
      <c r="C244" s="304" t="s">
        <v>1880</v>
      </c>
      <c r="D244" s="290">
        <f>($D$212)/2</f>
        <v>675</v>
      </c>
      <c r="H244" s="278" t="s">
        <v>9</v>
      </c>
      <c r="I244" s="278" t="s">
        <v>1905</v>
      </c>
    </row>
    <row r="245" spans="1:9" ht="20.399999999999999">
      <c r="A245" s="292"/>
      <c r="B245" s="292" t="s">
        <v>1837</v>
      </c>
      <c r="C245" s="304" t="s">
        <v>1881</v>
      </c>
      <c r="D245" s="290">
        <f>($D$213)/2</f>
        <v>837.5</v>
      </c>
      <c r="H245" s="278" t="s">
        <v>9</v>
      </c>
      <c r="I245" s="278">
        <v>2.71</v>
      </c>
    </row>
    <row r="246" spans="1:9" ht="74.400000000000006">
      <c r="A246" s="292"/>
      <c r="B246" s="292" t="s">
        <v>1884</v>
      </c>
      <c r="C246" s="303"/>
      <c r="D246" s="262"/>
      <c r="H246" s="278"/>
      <c r="I246" s="278"/>
    </row>
    <row r="247" spans="1:9" ht="40.799999999999997">
      <c r="A247" s="292"/>
      <c r="B247" s="292" t="s">
        <v>1885</v>
      </c>
      <c r="C247" s="303"/>
      <c r="D247" s="262"/>
      <c r="H247" s="278"/>
      <c r="I247" s="278"/>
    </row>
    <row r="248" spans="1:9" ht="20.399999999999999">
      <c r="A248" s="292"/>
      <c r="B248" s="292" t="s">
        <v>1883</v>
      </c>
      <c r="C248" s="304"/>
      <c r="D248" s="262"/>
      <c r="H248" s="278"/>
      <c r="I248" s="278"/>
    </row>
    <row r="249" spans="1:9">
      <c r="A249" s="292"/>
      <c r="B249" s="289" t="s">
        <v>1888</v>
      </c>
      <c r="C249" s="304" t="s">
        <v>1887</v>
      </c>
      <c r="D249" s="262" t="s">
        <v>1886</v>
      </c>
      <c r="H249" s="278"/>
      <c r="I249" s="278">
        <v>2.72</v>
      </c>
    </row>
    <row r="250" spans="1:9" ht="20.399999999999999">
      <c r="A250" s="292"/>
      <c r="B250" s="292" t="s">
        <v>1890</v>
      </c>
      <c r="C250" s="304" t="s">
        <v>1998</v>
      </c>
      <c r="D250" s="262">
        <f>$D$245</f>
        <v>837.5</v>
      </c>
      <c r="H250" s="278"/>
      <c r="I250" s="278">
        <v>2.73</v>
      </c>
    </row>
    <row r="251" spans="1:9">
      <c r="A251" s="292"/>
      <c r="B251" s="292" t="s">
        <v>1891</v>
      </c>
      <c r="C251" s="304"/>
      <c r="D251" s="272"/>
      <c r="H251" s="278"/>
      <c r="I251" s="278"/>
    </row>
    <row r="252" spans="1:9">
      <c r="A252" s="292"/>
      <c r="B252" s="292" t="s">
        <v>1892</v>
      </c>
      <c r="C252" s="304"/>
      <c r="D252" s="272"/>
      <c r="H252" s="278"/>
      <c r="I252" s="278"/>
    </row>
    <row r="253" spans="1:9">
      <c r="A253" s="292"/>
      <c r="B253" s="289" t="s">
        <v>1893</v>
      </c>
      <c r="C253" s="304"/>
      <c r="D253" s="272" t="s">
        <v>1434</v>
      </c>
      <c r="H253" s="278"/>
      <c r="I253" s="278"/>
    </row>
    <row r="254" spans="1:9" ht="33.6">
      <c r="A254" s="292"/>
      <c r="B254" s="289" t="s">
        <v>1894</v>
      </c>
      <c r="C254" s="304" t="s">
        <v>1895</v>
      </c>
      <c r="D254" s="290">
        <f>$D$250</f>
        <v>837.5</v>
      </c>
      <c r="H254" s="278"/>
      <c r="I254" s="278">
        <v>2.74</v>
      </c>
    </row>
    <row r="255" spans="1:9" ht="20.399999999999999">
      <c r="A255" s="268" t="s">
        <v>1823</v>
      </c>
      <c r="B255" s="268" t="s">
        <v>1838</v>
      </c>
      <c r="C255" s="303"/>
      <c r="H255" s="278"/>
      <c r="I255" s="278"/>
    </row>
    <row r="256" spans="1:9" ht="20.399999999999999">
      <c r="A256" s="292"/>
      <c r="B256" s="292" t="s">
        <v>1896</v>
      </c>
      <c r="C256" s="304" t="s">
        <v>1897</v>
      </c>
      <c r="D256" s="272">
        <f>$D$92</f>
        <v>120</v>
      </c>
      <c r="H256" s="292" t="s">
        <v>1898</v>
      </c>
      <c r="I256" s="278"/>
    </row>
    <row r="257" spans="1:9">
      <c r="A257" s="268" t="s">
        <v>1824</v>
      </c>
      <c r="B257" s="268" t="s">
        <v>1839</v>
      </c>
      <c r="C257" s="303"/>
      <c r="H257" s="278"/>
      <c r="I257" s="278"/>
    </row>
    <row r="258" spans="1:9">
      <c r="A258" s="292"/>
      <c r="B258" s="292" t="s">
        <v>1899</v>
      </c>
      <c r="C258" s="303"/>
      <c r="D258" s="290" t="str">
        <f>$D$11</f>
        <v>xxx</v>
      </c>
      <c r="H258" s="278"/>
      <c r="I258" s="278"/>
    </row>
    <row r="259" spans="1:9">
      <c r="A259" s="292"/>
      <c r="B259" s="292" t="s">
        <v>1902</v>
      </c>
      <c r="C259" s="303"/>
      <c r="D259" s="272" t="s">
        <v>1901</v>
      </c>
      <c r="H259" s="278"/>
      <c r="I259" s="278"/>
    </row>
    <row r="260" spans="1:9" ht="33.6">
      <c r="A260" s="292"/>
      <c r="B260" s="292" t="s">
        <v>1900</v>
      </c>
      <c r="C260" s="303"/>
      <c r="H260" s="278"/>
      <c r="I260" s="278"/>
    </row>
    <row r="261" spans="1:9">
      <c r="A261" s="292"/>
      <c r="B261" s="292" t="s">
        <v>1903</v>
      </c>
      <c r="C261" s="304" t="s">
        <v>1784</v>
      </c>
      <c r="D261" s="272" t="s">
        <v>1590</v>
      </c>
      <c r="H261" s="278"/>
      <c r="I261" s="278">
        <v>2.75</v>
      </c>
    </row>
    <row r="262" spans="1:9">
      <c r="A262" s="292"/>
      <c r="B262" s="292" t="s">
        <v>1904</v>
      </c>
      <c r="C262" s="304" t="s">
        <v>1785</v>
      </c>
      <c r="D262" s="294" t="s">
        <v>1434</v>
      </c>
      <c r="E262" s="292" t="s">
        <v>1786</v>
      </c>
      <c r="F262" s="290" t="str">
        <f>$D$261</f>
        <v>(xxxx ÷ xxxx)</v>
      </c>
      <c r="H262" s="278"/>
      <c r="I262" s="278">
        <v>2.76</v>
      </c>
    </row>
    <row r="263" spans="1:9">
      <c r="A263" s="268" t="s">
        <v>1822</v>
      </c>
      <c r="B263" s="268" t="s">
        <v>1840</v>
      </c>
      <c r="C263" s="303"/>
      <c r="H263" s="278"/>
      <c r="I263" s="278"/>
    </row>
    <row r="264" spans="1:9">
      <c r="A264" s="292"/>
      <c r="B264" s="292"/>
      <c r="C264" s="303"/>
      <c r="D264" s="262"/>
      <c r="E264" s="278"/>
    </row>
    <row r="265" spans="1:9" ht="20.399999999999999">
      <c r="A265" s="293"/>
      <c r="B265" s="293" t="s">
        <v>1816</v>
      </c>
      <c r="C265" s="303"/>
      <c r="D265" s="262"/>
      <c r="E265" s="278"/>
    </row>
    <row r="266" spans="1:9" ht="20.399999999999999">
      <c r="A266" s="293"/>
      <c r="B266" s="293" t="s">
        <v>1817</v>
      </c>
      <c r="C266" s="303"/>
      <c r="D266" s="262"/>
      <c r="E266" s="278"/>
    </row>
    <row r="267" spans="1:9" ht="20.399999999999999">
      <c r="A267" s="293"/>
      <c r="B267" s="293" t="s">
        <v>1818</v>
      </c>
      <c r="C267" s="305"/>
      <c r="D267" s="262"/>
      <c r="E267" s="278"/>
    </row>
    <row r="273" spans="1:9">
      <c r="A273" s="268" t="s">
        <v>1907</v>
      </c>
      <c r="B273" s="268" t="s">
        <v>1908</v>
      </c>
      <c r="C273" s="311"/>
    </row>
    <row r="274" spans="1:9" ht="50.4">
      <c r="A274" s="292"/>
      <c r="B274" s="292" t="s">
        <v>1999</v>
      </c>
      <c r="C274" s="311"/>
    </row>
    <row r="275" spans="1:9">
      <c r="A275" s="292"/>
      <c r="B275" s="292" t="s">
        <v>1914</v>
      </c>
      <c r="C275" s="311"/>
      <c r="D275" s="290" t="str">
        <f>$D$11</f>
        <v>xxx</v>
      </c>
    </row>
    <row r="276" spans="1:9" ht="20.399999999999999">
      <c r="A276" s="292"/>
      <c r="B276" s="292" t="s">
        <v>1726</v>
      </c>
      <c r="C276" s="304" t="s">
        <v>1915</v>
      </c>
      <c r="D276" s="272">
        <v>0.93</v>
      </c>
      <c r="I276" s="290" t="s">
        <v>1970</v>
      </c>
    </row>
    <row r="277" spans="1:9">
      <c r="A277" s="280" t="s">
        <v>1909</v>
      </c>
      <c r="B277" s="280" t="s">
        <v>1086</v>
      </c>
      <c r="C277" s="311"/>
    </row>
    <row r="278" spans="1:9">
      <c r="A278" s="280"/>
      <c r="B278" s="280"/>
      <c r="C278" s="311"/>
    </row>
    <row r="279" spans="1:9">
      <c r="A279" s="293"/>
      <c r="B279" s="293" t="s">
        <v>1086</v>
      </c>
      <c r="C279" s="311"/>
    </row>
    <row r="280" spans="1:9">
      <c r="A280" s="293"/>
      <c r="B280" s="293" t="s">
        <v>1086</v>
      </c>
      <c r="C280" s="311"/>
    </row>
    <row r="281" spans="1:9">
      <c r="A281" s="280" t="s">
        <v>1910</v>
      </c>
      <c r="B281" s="280" t="s">
        <v>1290</v>
      </c>
      <c r="C281" s="311"/>
    </row>
    <row r="282" spans="1:9">
      <c r="A282" s="293" t="s">
        <v>551</v>
      </c>
      <c r="B282" s="293" t="s">
        <v>1911</v>
      </c>
      <c r="C282" s="311"/>
    </row>
    <row r="283" spans="1:9">
      <c r="A283" s="293" t="s">
        <v>553</v>
      </c>
      <c r="B283" s="293" t="s">
        <v>1912</v>
      </c>
      <c r="C283" s="311"/>
    </row>
    <row r="284" spans="1:9">
      <c r="A284" s="293"/>
      <c r="B284" s="293" t="s">
        <v>1776</v>
      </c>
      <c r="C284" s="311"/>
    </row>
    <row r="285" spans="1:9">
      <c r="A285" s="293"/>
      <c r="B285" s="293" t="s">
        <v>1781</v>
      </c>
      <c r="C285" s="311"/>
    </row>
    <row r="286" spans="1:9">
      <c r="A286" s="293" t="s">
        <v>555</v>
      </c>
      <c r="B286" s="293" t="s">
        <v>1913</v>
      </c>
      <c r="C286" s="311"/>
    </row>
    <row r="287" spans="1:9" ht="50.4">
      <c r="A287" s="284" t="s">
        <v>1906</v>
      </c>
      <c r="B287" s="284" t="s">
        <v>1906</v>
      </c>
      <c r="C287" s="311"/>
    </row>
    <row r="293" spans="1:6">
      <c r="A293" s="291" t="s">
        <v>1967</v>
      </c>
      <c r="B293" s="291" t="s">
        <v>1968</v>
      </c>
      <c r="C293" s="311"/>
      <c r="D293" s="312"/>
      <c r="E293" s="309"/>
      <c r="F293" s="309"/>
    </row>
    <row r="294" spans="1:6" s="267" customFormat="1" ht="19.2">
      <c r="A294" s="291" t="s">
        <v>551</v>
      </c>
      <c r="B294" s="291" t="s">
        <v>1969</v>
      </c>
      <c r="C294" s="313"/>
      <c r="D294" s="314"/>
      <c r="E294" s="315"/>
      <c r="F294" s="315"/>
    </row>
    <row r="295" spans="1:6" ht="37.200000000000003">
      <c r="B295" s="292" t="s">
        <v>1916</v>
      </c>
      <c r="C295" s="311"/>
      <c r="D295" s="312"/>
      <c r="E295" s="309"/>
      <c r="F295" s="309"/>
    </row>
    <row r="296" spans="1:6" ht="21">
      <c r="B296" s="292" t="s">
        <v>1917</v>
      </c>
      <c r="C296" s="304">
        <v>-2.5099999999999998</v>
      </c>
      <c r="D296" s="312"/>
      <c r="E296" s="309"/>
      <c r="F296" s="309"/>
    </row>
    <row r="297" spans="1:6">
      <c r="B297" s="292" t="s">
        <v>1542</v>
      </c>
      <c r="C297" s="311"/>
      <c r="D297" s="312"/>
      <c r="E297" s="309"/>
      <c r="F297" s="309"/>
    </row>
    <row r="298" spans="1:6" ht="20.399999999999999">
      <c r="B298" s="292" t="s">
        <v>1971</v>
      </c>
      <c r="C298" s="304" t="s">
        <v>1918</v>
      </c>
      <c r="D298" s="272">
        <f>$D$276</f>
        <v>0.93</v>
      </c>
      <c r="E298" s="309"/>
      <c r="F298" s="309"/>
    </row>
    <row r="299" spans="1:6" ht="20.399999999999999">
      <c r="B299" s="263" t="s">
        <v>1972</v>
      </c>
      <c r="C299" s="304" t="s">
        <v>1919</v>
      </c>
      <c r="D299" s="272">
        <f>$D$106</f>
        <v>2.3333333333333338E-2</v>
      </c>
      <c r="E299" s="309"/>
      <c r="F299" s="309"/>
    </row>
    <row r="300" spans="1:6">
      <c r="B300" s="292" t="s">
        <v>1920</v>
      </c>
      <c r="C300" s="304" t="s">
        <v>1921</v>
      </c>
      <c r="D300" s="272">
        <f>$D$96</f>
        <v>0.01</v>
      </c>
      <c r="E300" s="309"/>
      <c r="F300" s="309"/>
    </row>
    <row r="301" spans="1:6" ht="20.399999999999999">
      <c r="B301" s="292" t="s">
        <v>1922</v>
      </c>
      <c r="C301" s="304" t="s">
        <v>2000</v>
      </c>
      <c r="D301" s="272">
        <f>$D$62</f>
        <v>2925</v>
      </c>
      <c r="E301" s="309"/>
      <c r="F301" s="309"/>
    </row>
    <row r="302" spans="1:6" ht="20.399999999999999">
      <c r="B302" s="292" t="s">
        <v>1923</v>
      </c>
      <c r="C302" s="304" t="s">
        <v>1924</v>
      </c>
      <c r="D302" s="272">
        <f>$D$6</f>
        <v>120</v>
      </c>
      <c r="E302" s="309"/>
      <c r="F302" s="309"/>
    </row>
    <row r="303" spans="1:6">
      <c r="B303" s="292" t="s">
        <v>1925</v>
      </c>
      <c r="C303" s="304" t="s">
        <v>1926</v>
      </c>
      <c r="D303" s="272" t="e">
        <f>$D$148</f>
        <v>#VALUE!</v>
      </c>
      <c r="E303" s="309"/>
      <c r="F303" s="309"/>
    </row>
    <row r="304" spans="1:6">
      <c r="B304" s="292" t="s">
        <v>1927</v>
      </c>
      <c r="C304" s="311"/>
      <c r="D304" s="312"/>
      <c r="E304" s="309"/>
      <c r="F304" s="309"/>
    </row>
    <row r="305" spans="2:6" ht="20.399999999999999">
      <c r="B305" s="292" t="s">
        <v>1928</v>
      </c>
      <c r="C305" s="304" t="s">
        <v>1929</v>
      </c>
      <c r="D305" s="312"/>
      <c r="E305" s="309"/>
      <c r="F305" s="309"/>
    </row>
    <row r="306" spans="2:6" ht="20.399999999999999">
      <c r="B306" s="292" t="s">
        <v>1928</v>
      </c>
      <c r="C306" s="305" t="e">
        <f xml:space="preserve"> ………………………………………</f>
        <v>#NAME?</v>
      </c>
      <c r="D306" s="312"/>
      <c r="E306" s="309"/>
      <c r="F306" s="309"/>
    </row>
    <row r="307" spans="2:6" ht="20.399999999999999">
      <c r="B307" s="292" t="s">
        <v>1928</v>
      </c>
      <c r="C307" s="305" t="e">
        <f xml:space="preserve"> … kW</f>
        <v>#NAME?</v>
      </c>
      <c r="D307" s="262" t="s">
        <v>1930</v>
      </c>
      <c r="E307" s="309"/>
      <c r="F307" s="309"/>
    </row>
    <row r="308" spans="2:6">
      <c r="B308" s="292" t="s">
        <v>1931</v>
      </c>
      <c r="C308" s="311"/>
      <c r="D308" s="312"/>
      <c r="E308" s="309"/>
      <c r="F308" s="309"/>
    </row>
    <row r="309" spans="2:6" ht="40.799999999999997">
      <c r="B309" s="292" t="s">
        <v>1932</v>
      </c>
      <c r="C309" s="311"/>
      <c r="D309" s="312"/>
      <c r="E309" s="309"/>
      <c r="F309" s="309"/>
    </row>
    <row r="310" spans="2:6" ht="21">
      <c r="B310" s="292" t="s">
        <v>1933</v>
      </c>
      <c r="C310" s="304">
        <v>-2.5299999999999998</v>
      </c>
      <c r="D310" s="312"/>
      <c r="E310" s="309"/>
      <c r="F310" s="309"/>
    </row>
    <row r="311" spans="2:6" ht="40.799999999999997">
      <c r="B311" s="292" t="s">
        <v>1934</v>
      </c>
      <c r="C311" s="311"/>
      <c r="D311" s="312"/>
      <c r="E311" s="309"/>
      <c r="F311" s="309"/>
    </row>
    <row r="312" spans="2:6" ht="21">
      <c r="B312" s="292" t="s">
        <v>1935</v>
      </c>
      <c r="C312" s="304">
        <v>-2.54</v>
      </c>
      <c r="D312" s="312"/>
      <c r="E312" s="309"/>
      <c r="F312" s="309"/>
    </row>
    <row r="313" spans="2:6" ht="20.399999999999999">
      <c r="B313" s="292" t="s">
        <v>1936</v>
      </c>
      <c r="C313" s="311"/>
      <c r="D313" s="312"/>
      <c r="E313" s="309"/>
      <c r="F313" s="309"/>
    </row>
    <row r="314" spans="2:6" ht="21">
      <c r="B314" s="292" t="s">
        <v>1937</v>
      </c>
      <c r="C314" s="304">
        <v>-2.5499999999999998</v>
      </c>
      <c r="D314" s="312"/>
      <c r="E314" s="309"/>
      <c r="F314" s="309"/>
    </row>
    <row r="315" spans="2:6" ht="20.399999999999999">
      <c r="B315" s="292" t="s">
        <v>1882</v>
      </c>
      <c r="C315" s="304" t="s">
        <v>1938</v>
      </c>
      <c r="D315" s="262">
        <v>-2.56</v>
      </c>
      <c r="E315" s="309"/>
      <c r="F315" s="309"/>
    </row>
    <row r="316" spans="2:6">
      <c r="B316" s="292" t="s">
        <v>1939</v>
      </c>
      <c r="C316" s="311"/>
      <c r="D316" s="312"/>
      <c r="E316" s="309"/>
      <c r="F316" s="309"/>
    </row>
    <row r="317" spans="2:6">
      <c r="B317" s="292" t="s">
        <v>1940</v>
      </c>
      <c r="C317" s="311"/>
      <c r="D317" s="312"/>
      <c r="E317" s="309"/>
      <c r="F317" s="309"/>
    </row>
    <row r="318" spans="2:6">
      <c r="B318" s="292" t="s">
        <v>1941</v>
      </c>
      <c r="C318" s="311"/>
      <c r="D318" s="312"/>
      <c r="E318" s="309"/>
      <c r="F318" s="309"/>
    </row>
    <row r="319" spans="2:6" ht="20.399999999999999">
      <c r="B319" s="292" t="s">
        <v>1942</v>
      </c>
      <c r="C319" s="304" t="s">
        <v>1943</v>
      </c>
      <c r="D319" s="312"/>
      <c r="E319" s="309"/>
      <c r="F319" s="309"/>
    </row>
    <row r="320" spans="2:6">
      <c r="B320" s="292" t="s">
        <v>1944</v>
      </c>
      <c r="C320" s="304" t="s">
        <v>1945</v>
      </c>
      <c r="D320" s="262">
        <v>-2.57</v>
      </c>
      <c r="E320" s="309"/>
      <c r="F320" s="309"/>
    </row>
    <row r="321" spans="2:6">
      <c r="B321" s="289" t="s">
        <v>1946</v>
      </c>
      <c r="C321" s="311"/>
      <c r="D321" s="312"/>
      <c r="E321" s="309"/>
      <c r="F321" s="309"/>
    </row>
    <row r="322" spans="2:6" ht="21">
      <c r="B322" s="289" t="s">
        <v>1947</v>
      </c>
      <c r="C322" s="311"/>
      <c r="D322" s="312"/>
      <c r="E322" s="309"/>
      <c r="F322" s="309"/>
    </row>
    <row r="323" spans="2:6">
      <c r="B323" s="289" t="s">
        <v>1542</v>
      </c>
      <c r="C323" s="311"/>
      <c r="D323" s="312"/>
      <c r="E323" s="309"/>
      <c r="F323" s="309"/>
    </row>
    <row r="324" spans="2:6" ht="40.799999999999997">
      <c r="B324" s="292" t="s">
        <v>1948</v>
      </c>
      <c r="C324" s="305" t="e">
        <f xml:space="preserve"> … kW</f>
        <v>#NAME?</v>
      </c>
      <c r="D324" s="312"/>
      <c r="E324" s="309"/>
      <c r="F324" s="309"/>
    </row>
    <row r="325" spans="2:6">
      <c r="B325" s="292" t="s">
        <v>1949</v>
      </c>
      <c r="C325" s="311"/>
      <c r="D325" s="262" t="s">
        <v>1950</v>
      </c>
      <c r="E325" s="293" t="s">
        <v>1951</v>
      </c>
      <c r="F325" s="309"/>
    </row>
    <row r="326" spans="2:6">
      <c r="B326" s="309"/>
      <c r="C326" s="311"/>
      <c r="D326" s="262" t="s">
        <v>1952</v>
      </c>
      <c r="E326" s="293" t="s">
        <v>1951</v>
      </c>
      <c r="F326" s="309"/>
    </row>
    <row r="327" spans="2:6">
      <c r="B327" s="309"/>
      <c r="C327" s="311"/>
      <c r="D327" s="262" t="s">
        <v>1953</v>
      </c>
      <c r="E327" s="293" t="s">
        <v>1954</v>
      </c>
      <c r="F327" s="309"/>
    </row>
    <row r="328" spans="2:6">
      <c r="B328" s="292" t="s">
        <v>1955</v>
      </c>
      <c r="C328" s="304" t="s">
        <v>1956</v>
      </c>
      <c r="D328" s="272" t="e">
        <f xml:space="preserve">  …</f>
        <v>#NAME?</v>
      </c>
      <c r="E328" s="292" t="s">
        <v>849</v>
      </c>
      <c r="F328" s="309"/>
    </row>
    <row r="329" spans="2:6">
      <c r="B329" s="289" t="s">
        <v>1957</v>
      </c>
      <c r="C329" s="311"/>
      <c r="D329" s="312"/>
      <c r="E329" s="309"/>
      <c r="F329" s="309"/>
    </row>
    <row r="330" spans="2:6" ht="37.799999999999997">
      <c r="B330" s="292" t="s">
        <v>1958</v>
      </c>
      <c r="C330" s="311"/>
      <c r="D330" s="312"/>
      <c r="E330" s="309"/>
      <c r="F330" s="309"/>
    </row>
    <row r="331" spans="2:6" ht="20.399999999999999">
      <c r="B331" s="292" t="s">
        <v>1959</v>
      </c>
      <c r="C331" s="305">
        <v>-2.58</v>
      </c>
      <c r="D331" s="312"/>
      <c r="E331" s="309"/>
      <c r="F331" s="309"/>
    </row>
    <row r="332" spans="2:6">
      <c r="B332" s="292" t="s">
        <v>1960</v>
      </c>
      <c r="C332" s="311"/>
      <c r="D332" s="312"/>
      <c r="E332" s="309"/>
      <c r="F332" s="309"/>
    </row>
    <row r="333" spans="2:6" ht="20.399999999999999">
      <c r="B333" s="292" t="s">
        <v>1961</v>
      </c>
      <c r="C333" s="311"/>
      <c r="D333" s="262" t="s">
        <v>1962</v>
      </c>
      <c r="E333" s="293" t="e">
        <f xml:space="preserve"> ……… kW</f>
        <v>#NAME?</v>
      </c>
      <c r="F333" s="292" t="s">
        <v>1963</v>
      </c>
    </row>
    <row r="334" spans="2:6" ht="20.399999999999999">
      <c r="B334" s="292" t="s">
        <v>1964</v>
      </c>
      <c r="C334" s="304" t="s">
        <v>1965</v>
      </c>
      <c r="D334" s="262" t="e">
        <f xml:space="preserve"> ……… v/p</f>
        <v>#NAME?</v>
      </c>
      <c r="E334" s="292" t="s">
        <v>1966</v>
      </c>
      <c r="F334" s="309"/>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M19"/>
  <sheetViews>
    <sheetView workbookViewId="0">
      <selection activeCell="BK12" sqref="BK12:BL16"/>
    </sheetView>
  </sheetViews>
  <sheetFormatPr defaultColWidth="9" defaultRowHeight="13.8"/>
  <sheetData>
    <row r="1" spans="1:65">
      <c r="AA1" t="s">
        <v>1410</v>
      </c>
      <c r="AB1" s="8"/>
      <c r="AC1" s="8"/>
      <c r="AD1" s="9"/>
      <c r="AE1" s="9"/>
      <c r="AF1" s="9"/>
      <c r="AG1" s="9"/>
      <c r="AH1" s="9"/>
      <c r="AI1" s="9"/>
      <c r="AJ1" s="9"/>
      <c r="AK1" s="9"/>
      <c r="AL1" s="9"/>
      <c r="AN1" s="8"/>
      <c r="AO1" s="8"/>
      <c r="AP1" s="8"/>
      <c r="AQ1" s="8"/>
      <c r="AR1" s="8"/>
      <c r="AS1" s="8"/>
      <c r="BA1" s="8"/>
      <c r="BB1" s="8"/>
    </row>
    <row r="2" spans="1:65">
      <c r="AA2" s="8"/>
      <c r="AB2" s="8"/>
      <c r="AC2" s="8"/>
      <c r="AD2" s="9"/>
      <c r="AE2" s="9"/>
      <c r="AF2" s="9"/>
      <c r="AG2" s="9"/>
      <c r="AH2" s="9"/>
      <c r="AI2" s="9"/>
      <c r="AJ2" s="9"/>
      <c r="AK2" s="9"/>
      <c r="AL2" s="9"/>
      <c r="AN2" s="8"/>
      <c r="AO2" s="8"/>
      <c r="AP2" s="8"/>
      <c r="AQ2" s="8"/>
      <c r="AR2" s="8"/>
      <c r="AS2" s="8"/>
      <c r="BA2" s="8"/>
      <c r="BB2" s="8"/>
    </row>
    <row r="3" spans="1:65">
      <c r="AA3" s="8"/>
      <c r="AB3" s="8"/>
      <c r="AC3" s="8"/>
      <c r="AD3" s="9"/>
      <c r="AE3" s="9"/>
      <c r="AF3" s="9"/>
      <c r="AG3" s="9"/>
      <c r="AH3" s="9"/>
      <c r="AI3" s="9"/>
      <c r="AJ3" s="9"/>
      <c r="AK3" s="9"/>
      <c r="AL3" s="9"/>
      <c r="AN3" s="8"/>
      <c r="AO3" s="8"/>
      <c r="AP3" s="8"/>
      <c r="AQ3" s="8"/>
      <c r="AR3" s="8"/>
      <c r="AS3" s="8"/>
      <c r="BA3" s="8"/>
      <c r="BB3" s="8"/>
    </row>
    <row r="4" spans="1:65">
      <c r="AA4" s="8"/>
      <c r="AB4" s="8"/>
      <c r="AC4" s="8"/>
      <c r="AD4" s="9"/>
      <c r="AE4" s="9"/>
      <c r="AF4" s="9"/>
      <c r="AG4" s="9"/>
      <c r="AH4" s="9"/>
      <c r="AI4" s="9"/>
      <c r="AJ4" s="9"/>
      <c r="AK4" s="9"/>
      <c r="AL4" s="9"/>
      <c r="AN4" s="8"/>
      <c r="AO4" s="8"/>
      <c r="AP4" s="8"/>
      <c r="AQ4" s="8"/>
      <c r="AR4" s="8"/>
      <c r="AS4" s="8"/>
      <c r="BA4" s="8"/>
      <c r="BB4" s="8"/>
    </row>
    <row r="5" spans="1:65">
      <c r="AA5" s="8"/>
      <c r="AB5" s="8"/>
      <c r="AC5" s="8"/>
      <c r="AD5" s="9"/>
      <c r="AE5" s="9"/>
      <c r="AF5" s="9"/>
      <c r="AG5" s="9"/>
      <c r="AH5" s="9"/>
      <c r="AI5" s="9"/>
      <c r="AJ5" s="9"/>
      <c r="AK5" s="9"/>
      <c r="AL5" s="9"/>
      <c r="AN5" s="8"/>
      <c r="AO5" s="8"/>
      <c r="AP5" s="8"/>
      <c r="AQ5" s="8"/>
      <c r="AR5" s="8"/>
      <c r="AS5" s="8"/>
      <c r="BA5" s="8"/>
      <c r="BB5" s="8"/>
    </row>
    <row r="6" spans="1:65">
      <c r="AA6" s="8"/>
      <c r="AB6" s="8"/>
      <c r="AC6" s="8"/>
      <c r="AD6" s="9"/>
      <c r="AE6" s="9"/>
      <c r="AF6" s="9"/>
      <c r="AG6" s="9"/>
      <c r="AH6" s="9"/>
      <c r="AI6" s="9"/>
      <c r="AJ6" s="9"/>
      <c r="AK6" s="9"/>
      <c r="AL6" s="9"/>
      <c r="AN6" s="8"/>
      <c r="AO6" s="8"/>
      <c r="AP6" s="8"/>
      <c r="AQ6" s="8"/>
      <c r="AR6" s="8"/>
      <c r="AS6" s="8"/>
      <c r="BA6" s="8"/>
      <c r="BB6" s="8"/>
    </row>
    <row r="7" spans="1:65">
      <c r="AA7" s="8"/>
      <c r="AB7" s="8"/>
      <c r="AC7" s="8"/>
      <c r="AD7" s="9"/>
      <c r="AE7" s="9"/>
      <c r="AF7" s="9"/>
      <c r="AG7" s="9"/>
      <c r="AH7" s="9"/>
      <c r="AI7" s="9"/>
      <c r="AJ7" s="9"/>
      <c r="AK7" s="9"/>
      <c r="AL7" s="9"/>
      <c r="AN7" s="8"/>
      <c r="AO7" s="8"/>
      <c r="AP7" s="8"/>
      <c r="AQ7" s="8"/>
      <c r="AR7" s="8"/>
      <c r="AS7" s="8"/>
      <c r="BA7" s="8"/>
      <c r="BB7" s="8"/>
    </row>
    <row r="8" spans="1:65" ht="82.8">
      <c r="A8" s="8"/>
      <c r="B8" s="8"/>
      <c r="C8" s="8"/>
      <c r="D8" s="8"/>
      <c r="E8" s="8"/>
      <c r="F8" s="8"/>
      <c r="G8" s="8"/>
      <c r="H8" s="8"/>
      <c r="I8" s="8"/>
      <c r="J8" s="8"/>
      <c r="K8" s="8"/>
      <c r="L8" s="8"/>
      <c r="M8" s="8"/>
      <c r="N8" s="8"/>
      <c r="O8" s="8"/>
      <c r="P8" s="8"/>
      <c r="Q8" s="8"/>
      <c r="R8" s="8"/>
      <c r="S8" s="8"/>
      <c r="T8" s="8"/>
      <c r="U8" s="8"/>
      <c r="V8" s="8"/>
      <c r="W8" s="8"/>
      <c r="X8" s="8"/>
      <c r="Y8" s="8"/>
      <c r="Z8" s="8"/>
      <c r="AA8" s="14" t="s">
        <v>1411</v>
      </c>
      <c r="AB8" s="14" t="s">
        <v>1412</v>
      </c>
      <c r="AC8" s="14" t="s">
        <v>1413</v>
      </c>
      <c r="AD8" s="17" t="s">
        <v>1414</v>
      </c>
      <c r="AE8" s="17"/>
      <c r="AF8" s="17"/>
      <c r="AG8" s="17"/>
      <c r="AH8" s="17"/>
      <c r="AI8" s="17"/>
      <c r="AJ8" s="17"/>
      <c r="AK8" s="17"/>
      <c r="AL8" s="17" t="s">
        <v>1415</v>
      </c>
      <c r="AM8" s="14" t="s">
        <v>1416</v>
      </c>
      <c r="AN8" s="14" t="s">
        <v>1417</v>
      </c>
      <c r="AO8" s="14" t="s">
        <v>1418</v>
      </c>
      <c r="AP8" s="14" t="s">
        <v>1419</v>
      </c>
      <c r="AQ8" s="14"/>
      <c r="AR8" s="14"/>
      <c r="AS8" s="14"/>
      <c r="AT8" s="8" t="s">
        <v>1420</v>
      </c>
      <c r="AU8" s="14" t="s">
        <v>1421</v>
      </c>
      <c r="AV8" s="14"/>
      <c r="AW8" s="14"/>
      <c r="AX8" s="14"/>
      <c r="AY8" s="14"/>
      <c r="AZ8" s="14"/>
      <c r="BA8" s="14" t="s">
        <v>1422</v>
      </c>
      <c r="BB8" s="14" t="s">
        <v>1423</v>
      </c>
      <c r="BC8" s="8"/>
      <c r="BD8" s="8"/>
      <c r="BE8" s="14" t="s">
        <v>1424</v>
      </c>
      <c r="BF8" s="14" t="s">
        <v>1425</v>
      </c>
      <c r="BG8" s="14" t="s">
        <v>1426</v>
      </c>
      <c r="BH8" s="14" t="s">
        <v>1427</v>
      </c>
      <c r="BI8" s="14" t="s">
        <v>1428</v>
      </c>
      <c r="BJ8" s="14" t="s">
        <v>1429</v>
      </c>
      <c r="BK8" s="8"/>
      <c r="BL8" s="8"/>
      <c r="BM8" s="8"/>
    </row>
    <row r="9" spans="1:65">
      <c r="A9" s="8"/>
      <c r="B9" s="8">
        <v>4</v>
      </c>
      <c r="C9" s="8">
        <v>4</v>
      </c>
      <c r="D9" s="8">
        <v>4</v>
      </c>
      <c r="E9" s="8">
        <v>4</v>
      </c>
      <c r="F9" s="8">
        <v>4</v>
      </c>
      <c r="G9" s="8">
        <v>4</v>
      </c>
      <c r="H9" s="8">
        <v>4</v>
      </c>
      <c r="I9" s="8">
        <v>4</v>
      </c>
      <c r="J9" s="8">
        <v>4</v>
      </c>
      <c r="K9" s="8">
        <v>7</v>
      </c>
      <c r="L9" s="8">
        <v>7</v>
      </c>
      <c r="M9" s="8">
        <v>7</v>
      </c>
      <c r="N9" s="8">
        <v>7</v>
      </c>
      <c r="O9" s="8">
        <v>7</v>
      </c>
      <c r="P9" s="8">
        <v>7</v>
      </c>
      <c r="Q9" s="8">
        <v>7</v>
      </c>
      <c r="R9" s="8">
        <v>7</v>
      </c>
      <c r="S9" s="8">
        <v>7</v>
      </c>
      <c r="T9" s="8">
        <v>7</v>
      </c>
      <c r="U9" s="8">
        <v>7</v>
      </c>
      <c r="V9" s="8">
        <v>7</v>
      </c>
      <c r="W9" s="8"/>
      <c r="X9" s="8"/>
      <c r="Y9" s="8"/>
      <c r="Z9" s="8"/>
      <c r="AA9" s="14"/>
      <c r="AB9" s="14"/>
      <c r="AC9" s="14"/>
      <c r="AD9" s="17"/>
      <c r="AE9" s="17"/>
      <c r="AF9" s="17"/>
      <c r="AG9" s="17"/>
      <c r="AH9" s="17"/>
      <c r="AI9" s="17"/>
      <c r="AJ9" s="17"/>
      <c r="AK9" s="17"/>
      <c r="AL9" s="17"/>
      <c r="AM9" s="14"/>
      <c r="AN9" s="14"/>
      <c r="AO9" s="14"/>
      <c r="AP9" s="14"/>
      <c r="AQ9" s="14"/>
      <c r="AR9" s="14"/>
      <c r="AS9" s="14"/>
      <c r="AT9" s="8"/>
      <c r="AU9" s="14"/>
      <c r="AV9" s="14"/>
      <c r="AW9" s="14"/>
      <c r="AX9" s="14"/>
      <c r="AY9" s="14"/>
      <c r="AZ9" s="14"/>
      <c r="BA9" s="14"/>
      <c r="BB9" s="14"/>
      <c r="BC9" s="8"/>
      <c r="BD9" s="8"/>
      <c r="BE9" s="8">
        <v>47</v>
      </c>
      <c r="BF9" s="8">
        <v>47</v>
      </c>
      <c r="BG9" s="8"/>
      <c r="BH9" s="8"/>
      <c r="BI9" s="9"/>
      <c r="BK9" s="8"/>
      <c r="BL9" s="8"/>
      <c r="BM9" s="8"/>
    </row>
    <row r="10" spans="1:65">
      <c r="B10" t="s">
        <v>1430</v>
      </c>
      <c r="C10" t="s">
        <v>1430</v>
      </c>
      <c r="D10" t="s">
        <v>1430</v>
      </c>
      <c r="E10" t="s">
        <v>1430</v>
      </c>
      <c r="F10" t="s">
        <v>1430</v>
      </c>
      <c r="G10" t="s">
        <v>1430</v>
      </c>
      <c r="H10" t="s">
        <v>1430</v>
      </c>
      <c r="I10" t="s">
        <v>1430</v>
      </c>
      <c r="J10" t="s">
        <v>1430</v>
      </c>
      <c r="AA10" s="8"/>
      <c r="AB10" s="8"/>
      <c r="AC10" s="4"/>
      <c r="AD10" s="9"/>
      <c r="AE10" s="9"/>
      <c r="AF10" s="9"/>
      <c r="AG10" s="9"/>
      <c r="AH10" s="9"/>
      <c r="AI10" s="9"/>
      <c r="AJ10" s="9"/>
      <c r="AK10" s="9"/>
      <c r="AL10" s="9"/>
      <c r="AN10" s="8"/>
      <c r="AO10" s="8"/>
      <c r="AP10" s="8"/>
      <c r="AQ10" s="8"/>
      <c r="AR10" s="8"/>
      <c r="AS10" s="8"/>
      <c r="BA10" s="8"/>
      <c r="BB10" s="8"/>
    </row>
    <row r="11" spans="1:65">
      <c r="A11" s="8" t="s">
        <v>1431</v>
      </c>
      <c r="B11" s="8"/>
      <c r="C11" s="8"/>
      <c r="D11" s="8"/>
      <c r="E11" s="8"/>
      <c r="F11" s="8"/>
      <c r="G11" s="8"/>
      <c r="H11" s="8"/>
      <c r="I11" s="8"/>
      <c r="J11" s="8"/>
      <c r="K11" s="8" t="s">
        <v>1431</v>
      </c>
      <c r="L11" s="8">
        <v>2095</v>
      </c>
      <c r="M11" s="8">
        <v>2130</v>
      </c>
      <c r="N11" s="8">
        <v>1602</v>
      </c>
      <c r="O11" s="8">
        <v>1725</v>
      </c>
      <c r="P11" s="8">
        <v>2370</v>
      </c>
      <c r="Q11" s="8">
        <v>2140</v>
      </c>
      <c r="R11" s="8">
        <v>1799</v>
      </c>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U11" s="8"/>
      <c r="AV11" s="8"/>
      <c r="AW11" s="8"/>
      <c r="AX11" s="8"/>
      <c r="AY11" s="8"/>
      <c r="AZ11" s="8"/>
      <c r="BA11" s="8"/>
      <c r="BB11" s="8"/>
      <c r="BC11" s="8"/>
      <c r="BD11" s="8" t="s">
        <v>1431</v>
      </c>
      <c r="BE11" s="8"/>
      <c r="BF11" s="8"/>
      <c r="BK11" s="8"/>
      <c r="BL11" s="8"/>
      <c r="BM11" s="8"/>
    </row>
    <row r="12" spans="1:65" ht="14.4">
      <c r="A12" s="11" t="s">
        <v>61</v>
      </c>
      <c r="B12" s="11">
        <v>2690</v>
      </c>
      <c r="C12" s="12" t="s">
        <v>1432</v>
      </c>
      <c r="D12" s="12">
        <v>2725</v>
      </c>
      <c r="E12" s="12">
        <v>2890</v>
      </c>
      <c r="F12" s="12">
        <v>2875</v>
      </c>
      <c r="G12" s="12">
        <v>2820</v>
      </c>
      <c r="H12" s="12">
        <v>2924</v>
      </c>
      <c r="I12" s="12">
        <v>2912</v>
      </c>
      <c r="J12" s="12">
        <v>2712</v>
      </c>
      <c r="K12" s="11" t="s">
        <v>61</v>
      </c>
      <c r="L12" s="8">
        <v>2865</v>
      </c>
      <c r="M12" s="8">
        <v>2845</v>
      </c>
      <c r="N12" s="8">
        <v>2865</v>
      </c>
      <c r="O12" s="8">
        <v>2670</v>
      </c>
      <c r="P12" s="8">
        <v>2660</v>
      </c>
      <c r="Q12" s="8">
        <v>2850</v>
      </c>
      <c r="R12" s="8">
        <v>2745</v>
      </c>
      <c r="S12" s="8">
        <v>2791</v>
      </c>
      <c r="T12" s="8">
        <v>2650</v>
      </c>
      <c r="U12" s="8">
        <v>2741</v>
      </c>
      <c r="V12" s="8">
        <v>2850</v>
      </c>
      <c r="W12" s="11"/>
      <c r="X12" s="11"/>
      <c r="Y12" s="11"/>
      <c r="Z12" s="11"/>
      <c r="AA12" s="8">
        <v>3670</v>
      </c>
      <c r="AB12" s="8">
        <v>3550</v>
      </c>
      <c r="AC12" s="8">
        <v>3750</v>
      </c>
      <c r="AD12" s="4">
        <v>3110</v>
      </c>
      <c r="AE12" s="4"/>
      <c r="AF12" s="4"/>
      <c r="AG12" s="4"/>
      <c r="AH12" s="4"/>
      <c r="AI12" s="4"/>
      <c r="AJ12" s="4"/>
      <c r="AK12" s="4"/>
      <c r="AL12" s="4" t="s">
        <v>1433</v>
      </c>
      <c r="AM12" s="8">
        <v>4085</v>
      </c>
      <c r="AN12" s="8" t="s">
        <v>1434</v>
      </c>
      <c r="AO12" s="8">
        <v>3800</v>
      </c>
      <c r="AP12" s="8">
        <v>4175</v>
      </c>
      <c r="AQ12" s="8">
        <v>4085</v>
      </c>
      <c r="AR12" s="8">
        <v>4085</v>
      </c>
      <c r="AS12" s="8">
        <v>4300</v>
      </c>
      <c r="AT12" s="4" t="s">
        <v>1435</v>
      </c>
      <c r="AU12" s="8">
        <v>6120</v>
      </c>
      <c r="AV12" s="8">
        <v>6150</v>
      </c>
      <c r="AW12" s="8">
        <v>6150</v>
      </c>
      <c r="AX12" s="8">
        <v>6120</v>
      </c>
      <c r="AY12" s="8">
        <v>6120</v>
      </c>
      <c r="AZ12" s="4" t="s">
        <v>1436</v>
      </c>
      <c r="BA12" s="8">
        <v>6150</v>
      </c>
      <c r="BB12" s="8">
        <v>6000</v>
      </c>
      <c r="BC12" s="8"/>
      <c r="BD12" s="11" t="s">
        <v>61</v>
      </c>
      <c r="BE12" s="8">
        <v>5950</v>
      </c>
      <c r="BF12" s="8">
        <v>6000</v>
      </c>
      <c r="BG12" s="8">
        <v>6000</v>
      </c>
      <c r="BH12" s="8">
        <v>5950</v>
      </c>
      <c r="BI12" s="4">
        <v>6000</v>
      </c>
      <c r="BJ12" s="4">
        <v>6000</v>
      </c>
      <c r="BK12" s="8" t="s">
        <v>1437</v>
      </c>
      <c r="BL12" s="11" t="s">
        <v>61</v>
      </c>
      <c r="BM12" s="8"/>
    </row>
    <row r="13" spans="1:65" ht="14.4">
      <c r="A13" s="12" t="s">
        <v>130</v>
      </c>
      <c r="B13" s="12">
        <v>4550</v>
      </c>
      <c r="C13" s="12">
        <v>4630</v>
      </c>
      <c r="D13" s="12">
        <v>4735</v>
      </c>
      <c r="E13" s="12">
        <v>4751</v>
      </c>
      <c r="F13" s="12">
        <v>4694</v>
      </c>
      <c r="G13" s="12">
        <v>4762</v>
      </c>
      <c r="H13" s="12">
        <v>4939</v>
      </c>
      <c r="I13" s="12">
        <v>4915</v>
      </c>
      <c r="J13" s="12">
        <v>4769</v>
      </c>
      <c r="K13" s="12" t="s">
        <v>130</v>
      </c>
      <c r="L13" s="8">
        <v>4850</v>
      </c>
      <c r="M13" s="8">
        <v>4825</v>
      </c>
      <c r="N13" s="8">
        <v>4850</v>
      </c>
      <c r="O13" s="8">
        <v>4695</v>
      </c>
      <c r="P13" s="8">
        <v>4592</v>
      </c>
      <c r="Q13" s="8">
        <v>4903</v>
      </c>
      <c r="R13" s="8">
        <v>4795</v>
      </c>
      <c r="S13" s="8">
        <v>4697</v>
      </c>
      <c r="T13" s="8">
        <v>4655</v>
      </c>
      <c r="U13" s="8">
        <v>4661</v>
      </c>
      <c r="V13" s="8">
        <v>4788</v>
      </c>
      <c r="W13" s="12"/>
      <c r="X13" s="12"/>
      <c r="Y13" s="12"/>
      <c r="Z13" s="12"/>
      <c r="AA13" s="8">
        <v>6195</v>
      </c>
      <c r="AB13" s="8">
        <v>5640</v>
      </c>
      <c r="AC13" s="8">
        <v>5780</v>
      </c>
      <c r="AD13" s="4">
        <v>5380</v>
      </c>
      <c r="AE13" s="4"/>
      <c r="AF13" s="4"/>
      <c r="AG13" s="4"/>
      <c r="AH13" s="4"/>
      <c r="AI13" s="4"/>
      <c r="AJ13" s="4"/>
      <c r="AK13" s="4"/>
      <c r="AL13" s="4" t="s">
        <v>1438</v>
      </c>
      <c r="AM13" s="8">
        <v>7620</v>
      </c>
      <c r="AN13" s="8">
        <v>8990</v>
      </c>
      <c r="AO13" s="8">
        <v>7950</v>
      </c>
      <c r="AP13" s="8">
        <v>8285</v>
      </c>
      <c r="AQ13" s="8">
        <v>7590</v>
      </c>
      <c r="AR13" s="8">
        <v>7620</v>
      </c>
      <c r="AS13" s="8">
        <v>9100</v>
      </c>
      <c r="AT13" s="4" t="s">
        <v>1439</v>
      </c>
      <c r="AU13" s="8">
        <v>12060</v>
      </c>
      <c r="AV13" s="8">
        <v>12050</v>
      </c>
      <c r="AW13" s="8">
        <v>12180</v>
      </c>
      <c r="AX13" s="8">
        <v>12060</v>
      </c>
      <c r="AY13" s="8">
        <v>12040</v>
      </c>
      <c r="AZ13" s="4" t="s">
        <v>1440</v>
      </c>
      <c r="BA13" s="8">
        <v>12180</v>
      </c>
      <c r="BB13" s="8">
        <v>12180</v>
      </c>
      <c r="BC13" s="8"/>
      <c r="BD13" s="12" t="s">
        <v>130</v>
      </c>
      <c r="BE13" s="8">
        <v>12000</v>
      </c>
      <c r="BF13" s="8">
        <v>12000</v>
      </c>
      <c r="BG13" s="8">
        <v>12000</v>
      </c>
      <c r="BH13" s="8">
        <v>12000</v>
      </c>
      <c r="BI13" s="4">
        <v>11900</v>
      </c>
      <c r="BJ13" s="4">
        <v>11900</v>
      </c>
      <c r="BK13" s="8" t="s">
        <v>1441</v>
      </c>
      <c r="BL13" s="12" t="s">
        <v>130</v>
      </c>
      <c r="BM13" s="8"/>
    </row>
    <row r="14" spans="1:65" ht="14.4">
      <c r="A14" s="11" t="s">
        <v>1442</v>
      </c>
      <c r="B14" s="12">
        <v>1750</v>
      </c>
      <c r="C14" s="12">
        <v>1740</v>
      </c>
      <c r="D14" s="12">
        <v>1795</v>
      </c>
      <c r="E14" s="12" t="s">
        <v>1443</v>
      </c>
      <c r="F14" s="12" t="s">
        <v>1444</v>
      </c>
      <c r="G14" s="12">
        <v>1847</v>
      </c>
      <c r="H14" s="12">
        <v>1874</v>
      </c>
      <c r="I14" s="12">
        <v>1874</v>
      </c>
      <c r="J14" s="12">
        <v>1820</v>
      </c>
      <c r="K14" s="11" t="s">
        <v>1442</v>
      </c>
      <c r="L14" s="8"/>
      <c r="M14" s="8">
        <v>1860</v>
      </c>
      <c r="N14" s="8">
        <v>1960</v>
      </c>
      <c r="O14" s="8">
        <v>1810</v>
      </c>
      <c r="P14" s="8">
        <v>1855</v>
      </c>
      <c r="Q14" s="8">
        <v>1869</v>
      </c>
      <c r="R14" s="8">
        <v>1855</v>
      </c>
      <c r="S14" s="8">
        <v>1882</v>
      </c>
      <c r="T14" s="8">
        <v>1965</v>
      </c>
      <c r="U14" s="8">
        <v>1894</v>
      </c>
      <c r="V14" s="8">
        <v>1903</v>
      </c>
      <c r="W14" s="11"/>
      <c r="X14" s="11"/>
      <c r="Y14" s="11"/>
      <c r="Z14" s="11"/>
      <c r="AA14" s="8">
        <v>2038</v>
      </c>
      <c r="AB14" s="8">
        <v>1922</v>
      </c>
      <c r="AC14" s="8">
        <v>2000</v>
      </c>
      <c r="AD14" s="4">
        <v>1880</v>
      </c>
      <c r="AE14" s="4"/>
      <c r="AF14" s="4"/>
      <c r="AG14" s="4"/>
      <c r="AH14" s="4"/>
      <c r="AI14" s="4"/>
      <c r="AJ14" s="4"/>
      <c r="AK14" s="4"/>
      <c r="AL14" s="4" t="s">
        <v>1445</v>
      </c>
      <c r="AM14" s="8">
        <v>2090</v>
      </c>
      <c r="AN14" s="8">
        <v>2300</v>
      </c>
      <c r="AO14" s="8">
        <v>2200</v>
      </c>
      <c r="AP14" s="8">
        <v>2310</v>
      </c>
      <c r="AQ14" s="8">
        <v>2035</v>
      </c>
      <c r="AR14" s="8">
        <v>2090</v>
      </c>
      <c r="AS14" s="8">
        <v>2440</v>
      </c>
      <c r="AT14" s="4" t="s">
        <v>1446</v>
      </c>
      <c r="AU14" s="8">
        <v>2495</v>
      </c>
      <c r="AV14" s="8">
        <v>2500</v>
      </c>
      <c r="AW14" s="8">
        <v>2500</v>
      </c>
      <c r="AX14" s="8">
        <v>2495</v>
      </c>
      <c r="AY14" s="8">
        <v>2495</v>
      </c>
      <c r="AZ14" s="4" t="s">
        <v>1447</v>
      </c>
      <c r="BA14" s="8">
        <v>2500</v>
      </c>
      <c r="BB14" s="8">
        <v>2500</v>
      </c>
      <c r="BC14" s="8"/>
      <c r="BD14" s="11" t="s">
        <v>1442</v>
      </c>
      <c r="BE14" s="8">
        <v>2500</v>
      </c>
      <c r="BF14" s="8">
        <v>2500</v>
      </c>
      <c r="BG14" s="8">
        <v>2500</v>
      </c>
      <c r="BH14" s="8">
        <v>2500</v>
      </c>
      <c r="BI14" s="4">
        <v>2500</v>
      </c>
      <c r="BJ14" s="4">
        <v>2500</v>
      </c>
      <c r="BK14" s="8" t="s">
        <v>1448</v>
      </c>
      <c r="BL14" s="11" t="s">
        <v>1442</v>
      </c>
      <c r="BM14" s="8"/>
    </row>
    <row r="15" spans="1:65">
      <c r="A15" s="8" t="s">
        <v>67</v>
      </c>
      <c r="B15" s="8" t="s">
        <v>1434</v>
      </c>
      <c r="C15" s="8" t="s">
        <v>1434</v>
      </c>
      <c r="D15" s="8">
        <v>1550</v>
      </c>
      <c r="E15" s="8">
        <v>2890</v>
      </c>
      <c r="F15" s="8">
        <v>1580</v>
      </c>
      <c r="G15" s="8">
        <v>1572</v>
      </c>
      <c r="H15" s="8">
        <v>1627</v>
      </c>
      <c r="I15" s="8">
        <v>1627</v>
      </c>
      <c r="J15" s="8">
        <v>1552</v>
      </c>
      <c r="K15" s="8" t="s">
        <v>67</v>
      </c>
      <c r="L15" s="8"/>
      <c r="M15" s="8">
        <v>1570</v>
      </c>
      <c r="N15" s="8">
        <v>1620</v>
      </c>
      <c r="O15" s="8" t="s">
        <v>1434</v>
      </c>
      <c r="P15" s="8">
        <v>1600</v>
      </c>
      <c r="Q15" s="8" t="s">
        <v>1449</v>
      </c>
      <c r="R15" s="8">
        <v>1540</v>
      </c>
      <c r="S15" s="8" t="s">
        <v>1450</v>
      </c>
      <c r="T15" s="8" t="s">
        <v>1451</v>
      </c>
      <c r="W15" s="8"/>
      <c r="X15" s="8"/>
      <c r="Y15" s="8"/>
      <c r="Z15" s="8"/>
      <c r="AA15" s="8"/>
      <c r="AB15" s="8"/>
      <c r="AC15" s="8"/>
      <c r="AD15" s="4"/>
      <c r="AE15" s="4"/>
      <c r="AF15" s="4"/>
      <c r="AG15" s="4"/>
      <c r="AH15" s="4"/>
      <c r="AI15" s="4"/>
      <c r="AJ15" s="4"/>
      <c r="AK15" s="4"/>
      <c r="AL15" s="4"/>
      <c r="AM15" s="8"/>
      <c r="AN15" s="8"/>
      <c r="AO15" s="8"/>
      <c r="AP15" s="8"/>
      <c r="AQ15" s="8"/>
      <c r="AR15" s="8"/>
      <c r="AS15" s="8"/>
      <c r="AT15" s="4"/>
      <c r="AU15" s="8"/>
      <c r="AV15" s="8"/>
      <c r="AW15" s="8"/>
      <c r="AX15" s="8"/>
      <c r="AY15" s="8"/>
      <c r="AZ15" s="4"/>
      <c r="BA15" s="8"/>
      <c r="BB15" s="8"/>
      <c r="BC15" s="8"/>
      <c r="BD15" s="8" t="s">
        <v>67</v>
      </c>
      <c r="BE15" s="8" t="s">
        <v>1452</v>
      </c>
      <c r="BF15" s="8" t="s">
        <v>1453</v>
      </c>
      <c r="BG15" s="8" t="s">
        <v>1434</v>
      </c>
      <c r="BH15" s="8" t="s">
        <v>1434</v>
      </c>
      <c r="BI15" s="4" t="s">
        <v>1454</v>
      </c>
      <c r="BJ15" s="4"/>
      <c r="BK15" s="8" t="s">
        <v>1455</v>
      </c>
      <c r="BL15" s="8" t="s">
        <v>67</v>
      </c>
      <c r="BM15" s="8"/>
    </row>
    <row r="16" spans="1:65" ht="14.4">
      <c r="A16" s="11" t="s">
        <v>1456</v>
      </c>
      <c r="B16" s="12">
        <v>1310</v>
      </c>
      <c r="C16" s="12">
        <v>1415</v>
      </c>
      <c r="D16" s="12">
        <v>1440</v>
      </c>
      <c r="E16" s="12" t="s">
        <v>1457</v>
      </c>
      <c r="F16" s="12">
        <v>1443</v>
      </c>
      <c r="G16" s="12">
        <v>1428</v>
      </c>
      <c r="H16" s="12">
        <v>1461</v>
      </c>
      <c r="I16" s="12">
        <v>1455</v>
      </c>
      <c r="J16" s="12">
        <v>1472</v>
      </c>
      <c r="K16" s="11" t="s">
        <v>1456</v>
      </c>
      <c r="L16" s="8">
        <v>1845</v>
      </c>
      <c r="M16" s="8">
        <v>1840</v>
      </c>
      <c r="N16" s="8">
        <v>1845</v>
      </c>
      <c r="O16" s="8">
        <v>1710</v>
      </c>
      <c r="P16" s="8">
        <v>1689</v>
      </c>
      <c r="Q16" s="8">
        <v>1837</v>
      </c>
      <c r="R16" s="8">
        <v>1835</v>
      </c>
      <c r="S16" s="8">
        <v>1676</v>
      </c>
      <c r="T16" s="8">
        <v>1922</v>
      </c>
      <c r="U16" s="8">
        <v>1786</v>
      </c>
      <c r="V16" s="8">
        <v>1791</v>
      </c>
      <c r="W16" s="11"/>
      <c r="X16" s="11"/>
      <c r="Y16" s="11"/>
      <c r="Z16" s="11"/>
      <c r="AA16" s="8">
        <v>2760</v>
      </c>
      <c r="AB16" s="8" t="s">
        <v>1458</v>
      </c>
      <c r="AC16" s="8">
        <v>2360</v>
      </c>
      <c r="AD16" s="4">
        <v>2285</v>
      </c>
      <c r="AE16" s="4"/>
      <c r="AF16" s="4"/>
      <c r="AG16" s="4"/>
      <c r="AH16" s="4"/>
      <c r="AI16" s="4"/>
      <c r="AJ16" s="4"/>
      <c r="AK16" s="4"/>
      <c r="AL16" s="4" t="s">
        <v>1459</v>
      </c>
      <c r="AM16" s="8">
        <v>2855</v>
      </c>
      <c r="AN16" s="8">
        <v>3200</v>
      </c>
      <c r="AO16" s="8">
        <v>3100</v>
      </c>
      <c r="AP16" s="8">
        <v>3130</v>
      </c>
      <c r="AQ16" s="8">
        <v>2755</v>
      </c>
      <c r="AR16" s="8">
        <v>2855</v>
      </c>
      <c r="AS16" s="8">
        <v>3350</v>
      </c>
      <c r="AT16" s="4" t="s">
        <v>1460</v>
      </c>
      <c r="AU16" s="8">
        <v>3535</v>
      </c>
      <c r="AV16" s="8">
        <v>3500</v>
      </c>
      <c r="AW16" s="8">
        <v>3490</v>
      </c>
      <c r="AX16" s="8">
        <v>3535</v>
      </c>
      <c r="AY16" s="8">
        <v>3570</v>
      </c>
      <c r="AZ16" s="4" t="s">
        <v>1461</v>
      </c>
      <c r="BA16" s="8">
        <v>3490</v>
      </c>
      <c r="BB16" s="8">
        <v>3600</v>
      </c>
      <c r="BC16" s="8"/>
      <c r="BD16" s="11" t="s">
        <v>1456</v>
      </c>
      <c r="BE16" s="8">
        <v>3450</v>
      </c>
      <c r="BF16" s="8">
        <v>3450</v>
      </c>
      <c r="BG16" s="8">
        <v>3575</v>
      </c>
      <c r="BH16" s="8">
        <v>3575</v>
      </c>
      <c r="BI16" s="4">
        <v>3450</v>
      </c>
      <c r="BJ16" s="4">
        <v>3575</v>
      </c>
      <c r="BK16" s="8" t="s">
        <v>1462</v>
      </c>
      <c r="BL16" s="11" t="s">
        <v>1456</v>
      </c>
      <c r="BM16" s="8"/>
    </row>
    <row r="17" spans="1:56" ht="27.6">
      <c r="A17" s="11" t="s">
        <v>1463</v>
      </c>
      <c r="B17" s="11"/>
      <c r="C17" s="11"/>
      <c r="D17" s="11"/>
      <c r="E17" s="11"/>
      <c r="F17" s="11"/>
      <c r="G17" s="11"/>
      <c r="H17" s="11"/>
      <c r="I17" s="11"/>
      <c r="J17" s="11"/>
      <c r="K17" s="11" t="s">
        <v>1463</v>
      </c>
      <c r="L17" s="11"/>
      <c r="M17" s="11"/>
      <c r="N17" s="11"/>
      <c r="O17" s="11"/>
      <c r="P17" s="11"/>
      <c r="Q17" s="11"/>
      <c r="R17" s="11"/>
      <c r="S17" s="11"/>
      <c r="T17" s="11"/>
      <c r="U17" s="11"/>
      <c r="V17" s="11"/>
      <c r="W17" s="11"/>
      <c r="X17" s="11"/>
      <c r="Y17" s="11"/>
      <c r="Z17" s="11"/>
      <c r="AA17" s="8">
        <v>2700</v>
      </c>
      <c r="AB17" s="8">
        <v>1970</v>
      </c>
      <c r="AC17" s="8" t="s">
        <v>1434</v>
      </c>
      <c r="AD17" s="4"/>
      <c r="AE17" s="4"/>
      <c r="AF17" s="4"/>
      <c r="AG17" s="4"/>
      <c r="AH17" s="4"/>
      <c r="AI17" s="4"/>
      <c r="AJ17" s="4"/>
      <c r="AK17" s="4"/>
      <c r="AL17" s="4"/>
      <c r="AM17" s="8">
        <v>4600</v>
      </c>
      <c r="AN17" s="8">
        <v>8120</v>
      </c>
      <c r="AO17" s="8">
        <v>6600</v>
      </c>
      <c r="AP17" s="14" t="s">
        <v>1464</v>
      </c>
      <c r="AQ17" s="14">
        <v>4300</v>
      </c>
      <c r="AR17" s="14">
        <v>4600</v>
      </c>
      <c r="AS17" s="14">
        <v>8960</v>
      </c>
      <c r="AT17" s="18"/>
      <c r="AU17" s="8">
        <v>12320</v>
      </c>
      <c r="AV17" s="8">
        <v>12050</v>
      </c>
      <c r="AW17" s="8">
        <v>13800</v>
      </c>
      <c r="AX17" s="8">
        <v>12320</v>
      </c>
      <c r="AY17" s="8">
        <v>12395</v>
      </c>
      <c r="AZ17" s="18"/>
      <c r="BA17" s="8">
        <v>13800</v>
      </c>
      <c r="BB17" s="8">
        <v>12600</v>
      </c>
      <c r="BD17" s="11" t="s">
        <v>1463</v>
      </c>
    </row>
    <row r="18" spans="1:56" ht="27.6">
      <c r="A18" s="11" t="s">
        <v>49</v>
      </c>
      <c r="B18" s="11"/>
      <c r="C18" s="11"/>
      <c r="D18" s="11"/>
      <c r="E18" s="11"/>
      <c r="F18" s="11"/>
      <c r="G18" s="11"/>
      <c r="H18" s="11"/>
      <c r="I18" s="11"/>
      <c r="J18" s="11"/>
      <c r="K18" s="11" t="s">
        <v>49</v>
      </c>
      <c r="L18" s="11"/>
      <c r="M18" s="11"/>
      <c r="N18" s="11"/>
      <c r="O18" s="11"/>
      <c r="P18" s="11"/>
      <c r="Q18" s="11"/>
      <c r="R18" s="11"/>
      <c r="S18" s="11"/>
      <c r="T18" s="11"/>
      <c r="U18" s="11"/>
      <c r="V18" s="11"/>
      <c r="W18" s="11"/>
      <c r="X18" s="11"/>
      <c r="Y18" s="11"/>
      <c r="Z18" s="11"/>
      <c r="AA18" s="8">
        <v>3740</v>
      </c>
      <c r="AB18" s="8">
        <v>3500</v>
      </c>
      <c r="AC18" s="8">
        <v>3730</v>
      </c>
      <c r="AD18" s="14" t="s">
        <v>1465</v>
      </c>
      <c r="AE18" s="14"/>
      <c r="AF18" s="14"/>
      <c r="AG18" s="14"/>
      <c r="AH18" s="14"/>
      <c r="AI18" s="14"/>
      <c r="AJ18" s="14"/>
      <c r="AK18" s="14"/>
      <c r="AL18" s="4"/>
      <c r="AM18" s="8">
        <v>6900</v>
      </c>
      <c r="AN18" s="8" t="s">
        <v>1466</v>
      </c>
      <c r="AO18" s="8">
        <v>9800</v>
      </c>
      <c r="AP18" s="14" t="s">
        <v>1467</v>
      </c>
      <c r="AQ18" s="14"/>
      <c r="AR18" s="14"/>
      <c r="AS18" s="14"/>
      <c r="AT18" s="19"/>
      <c r="AU18" s="20"/>
      <c r="AV18" s="20"/>
      <c r="AW18" s="20"/>
      <c r="AX18" s="20"/>
      <c r="AY18" s="20"/>
      <c r="AZ18" s="20"/>
      <c r="BA18" s="8">
        <v>17000</v>
      </c>
      <c r="BD18" s="11" t="s">
        <v>49</v>
      </c>
    </row>
    <row r="19" spans="1:56" ht="17.399999999999999">
      <c r="AA19" s="8"/>
      <c r="AB19" s="8"/>
      <c r="AD19" s="8"/>
      <c r="AE19" s="8"/>
      <c r="AF19" s="8"/>
      <c r="AG19" s="8"/>
      <c r="AH19" s="8"/>
      <c r="AI19" s="8"/>
      <c r="AJ19" s="8"/>
      <c r="AK19" s="8"/>
      <c r="AL19" s="8"/>
      <c r="AN19" s="8"/>
      <c r="AO19" s="8"/>
      <c r="AP19" s="8"/>
      <c r="AQ19" s="8"/>
      <c r="AR19" s="8"/>
      <c r="AS19" s="8"/>
      <c r="AT19" s="18"/>
      <c r="AU19" s="19"/>
      <c r="AV19" s="19"/>
      <c r="AW19" s="19"/>
      <c r="AX19" s="19"/>
      <c r="AY19" s="19"/>
      <c r="AZ19" s="19"/>
      <c r="BA19" s="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9"/>
  <sheetViews>
    <sheetView topLeftCell="A10" zoomScale="73" zoomScaleNormal="73" workbookViewId="0">
      <selection activeCell="A21" sqref="A21"/>
    </sheetView>
  </sheetViews>
  <sheetFormatPr defaultColWidth="9" defaultRowHeight="13.8"/>
  <sheetData>
    <row r="1" spans="1:13">
      <c r="A1" s="1"/>
      <c r="B1" s="2"/>
      <c r="C1" s="2"/>
      <c r="D1" s="2"/>
      <c r="E1" s="3" t="s">
        <v>1468</v>
      </c>
      <c r="F1" s="4"/>
      <c r="G1" s="4"/>
      <c r="I1" s="8"/>
      <c r="M1" s="8"/>
    </row>
    <row r="2" spans="1:13">
      <c r="A2" s="1"/>
      <c r="B2" s="2"/>
      <c r="C2" s="2"/>
      <c r="D2" s="2"/>
      <c r="E2" s="5" t="s">
        <v>1469</v>
      </c>
      <c r="F2" s="4"/>
      <c r="G2" s="4"/>
      <c r="I2" s="8"/>
      <c r="M2" s="8"/>
    </row>
    <row r="3" spans="1:13">
      <c r="A3" s="1"/>
      <c r="B3" s="2"/>
      <c r="C3" s="2"/>
      <c r="D3" s="2"/>
      <c r="E3" s="5" t="s">
        <v>1470</v>
      </c>
      <c r="F3" s="6"/>
      <c r="G3" s="6"/>
      <c r="I3" s="8"/>
      <c r="M3" s="8"/>
    </row>
    <row r="4" spans="1:13">
      <c r="A4" s="1"/>
      <c r="B4" s="2"/>
      <c r="C4" s="2"/>
      <c r="D4" s="2"/>
      <c r="E4" s="5" t="s">
        <v>1471</v>
      </c>
      <c r="F4" s="6"/>
      <c r="G4" s="6"/>
      <c r="I4" s="8"/>
      <c r="M4" s="8"/>
    </row>
    <row r="5" spans="1:13">
      <c r="A5" s="1"/>
      <c r="B5" s="2"/>
      <c r="C5" s="2"/>
      <c r="D5" s="2"/>
      <c r="E5" s="5" t="s">
        <v>1472</v>
      </c>
      <c r="F5" s="6"/>
      <c r="G5" s="6"/>
      <c r="I5" s="8"/>
      <c r="M5" s="8"/>
    </row>
    <row r="6" spans="1:13">
      <c r="A6" s="1"/>
      <c r="B6" s="2"/>
      <c r="C6" s="2"/>
      <c r="D6" s="2"/>
      <c r="E6" s="5" t="s">
        <v>1473</v>
      </c>
      <c r="F6" s="6"/>
      <c r="G6" s="6"/>
      <c r="I6" s="8"/>
      <c r="M6" s="8"/>
    </row>
    <row r="7" spans="1:13">
      <c r="A7" s="1"/>
      <c r="B7" s="2"/>
      <c r="C7" s="2"/>
      <c r="D7" s="2"/>
      <c r="E7" s="7" t="s">
        <v>1474</v>
      </c>
      <c r="F7" s="6"/>
      <c r="G7" s="6"/>
      <c r="I7" s="8"/>
      <c r="M7" s="8"/>
    </row>
    <row r="8" spans="1:13">
      <c r="A8" s="1"/>
      <c r="B8" s="2"/>
      <c r="C8" s="2"/>
      <c r="D8" s="2"/>
      <c r="E8" s="7" t="s">
        <v>1475</v>
      </c>
      <c r="F8" s="6"/>
      <c r="G8" s="6"/>
      <c r="I8" s="8"/>
      <c r="M8" s="8"/>
    </row>
    <row r="9" spans="1:13">
      <c r="A9" s="1"/>
      <c r="B9" s="2"/>
      <c r="C9" s="2"/>
      <c r="D9" s="2"/>
      <c r="E9" s="7" t="s">
        <v>1476</v>
      </c>
      <c r="F9" s="4"/>
      <c r="G9" s="4"/>
      <c r="I9" s="8"/>
      <c r="M9" s="8"/>
    </row>
    <row r="10" spans="1:13">
      <c r="A10" s="1"/>
      <c r="B10" s="2"/>
      <c r="C10" s="2"/>
      <c r="D10" s="2"/>
      <c r="E10" s="3" t="s">
        <v>1477</v>
      </c>
      <c r="F10" s="4"/>
      <c r="G10" s="4"/>
      <c r="I10" s="8"/>
      <c r="M10" s="8"/>
    </row>
    <row r="11" spans="1:13">
      <c r="A11" s="1"/>
      <c r="B11" s="2"/>
      <c r="C11" s="2"/>
      <c r="D11" s="2"/>
      <c r="E11" s="3" t="s">
        <v>1478</v>
      </c>
      <c r="F11" s="4"/>
      <c r="G11" s="4"/>
      <c r="I11" s="8"/>
      <c r="M11" s="8"/>
    </row>
    <row r="12" spans="1:13">
      <c r="A12" s="1"/>
      <c r="B12" s="2"/>
      <c r="C12" s="2"/>
      <c r="D12" s="2"/>
      <c r="E12" s="3" t="s">
        <v>1479</v>
      </c>
      <c r="F12" s="4"/>
      <c r="G12" s="4"/>
      <c r="I12" s="8"/>
      <c r="M12" s="8"/>
    </row>
    <row r="13" spans="1:13">
      <c r="C13" s="8"/>
      <c r="D13" s="8"/>
      <c r="E13" s="9"/>
      <c r="I13" s="8"/>
      <c r="M13" s="8"/>
    </row>
    <row r="14" spans="1:13">
      <c r="C14" s="8"/>
      <c r="D14" s="8"/>
      <c r="E14" s="9"/>
      <c r="I14" s="8"/>
      <c r="M14" s="8"/>
    </row>
    <row r="15" spans="1:13">
      <c r="C15" s="8"/>
      <c r="D15" s="8"/>
      <c r="E15" s="9"/>
      <c r="I15" s="8"/>
      <c r="M15" s="8"/>
    </row>
    <row r="16" spans="1:13">
      <c r="C16" s="8"/>
      <c r="D16" s="8"/>
      <c r="E16" s="9"/>
      <c r="I16" s="8"/>
      <c r="M16" s="8"/>
    </row>
    <row r="17" spans="1:15">
      <c r="C17" s="8"/>
      <c r="D17" s="8"/>
      <c r="E17" s="9"/>
      <c r="I17" s="8"/>
      <c r="M17" s="8"/>
    </row>
    <row r="18" spans="1:15">
      <c r="C18" s="8"/>
      <c r="D18" s="8"/>
      <c r="E18" s="9"/>
      <c r="I18" s="8"/>
      <c r="M18" s="8"/>
    </row>
    <row r="19" spans="1:15">
      <c r="C19" s="8"/>
      <c r="D19" s="8"/>
      <c r="E19" s="9"/>
      <c r="I19" s="8"/>
      <c r="M19" s="8"/>
    </row>
    <row r="20" spans="1:15">
      <c r="C20" s="8"/>
      <c r="D20" s="8"/>
      <c r="E20" s="9"/>
      <c r="I20" s="8"/>
      <c r="M20" s="8"/>
    </row>
    <row r="21" spans="1:15">
      <c r="C21" s="10" t="s">
        <v>1480</v>
      </c>
      <c r="D21" s="8"/>
      <c r="E21" s="9"/>
      <c r="I21" s="8"/>
      <c r="M21" s="8"/>
    </row>
    <row r="22" spans="1:15">
      <c r="D22" s="8"/>
      <c r="E22" s="9"/>
      <c r="I22" s="8"/>
      <c r="M22" s="8"/>
    </row>
    <row r="23" spans="1:15">
      <c r="C23" s="8"/>
      <c r="D23" s="8"/>
      <c r="E23" s="9"/>
      <c r="I23" s="8"/>
      <c r="M23" s="8"/>
    </row>
    <row r="24" spans="1:15">
      <c r="C24" s="8"/>
      <c r="D24" s="8"/>
      <c r="E24" s="9"/>
      <c r="I24" s="8"/>
      <c r="M24" s="8"/>
    </row>
    <row r="25" spans="1:15">
      <c r="C25" s="8"/>
      <c r="D25" s="8"/>
      <c r="E25" s="9"/>
      <c r="I25" s="8"/>
      <c r="M25" s="8"/>
    </row>
    <row r="26" spans="1:15">
      <c r="C26" s="8"/>
      <c r="D26" s="8"/>
      <c r="E26" s="9"/>
      <c r="I26" s="8"/>
      <c r="M26" s="8"/>
    </row>
    <row r="27" spans="1:15">
      <c r="C27" s="8"/>
      <c r="D27" s="8"/>
      <c r="E27" s="9"/>
      <c r="I27" s="8"/>
      <c r="M27" s="8"/>
    </row>
    <row r="28" spans="1:15">
      <c r="C28" s="8"/>
      <c r="D28" s="8"/>
      <c r="E28" s="9"/>
      <c r="I28" s="8"/>
      <c r="M28" s="8"/>
    </row>
    <row r="29" spans="1:15">
      <c r="C29" s="8"/>
      <c r="D29" s="4" t="s">
        <v>1481</v>
      </c>
      <c r="E29" s="9"/>
      <c r="I29" s="8"/>
      <c r="M29" s="8"/>
    </row>
    <row r="30" spans="1:15">
      <c r="A30" s="8" t="s">
        <v>1431</v>
      </c>
      <c r="B30" s="8" t="s">
        <v>1482</v>
      </c>
      <c r="C30" s="8" t="s">
        <v>1483</v>
      </c>
      <c r="D30" s="8" t="s">
        <v>1484</v>
      </c>
      <c r="E30" s="8"/>
      <c r="F30" s="8" t="s">
        <v>1484</v>
      </c>
      <c r="G30" s="8"/>
      <c r="H30" s="8"/>
      <c r="I30" s="8"/>
      <c r="K30" s="8"/>
      <c r="L30" s="8"/>
      <c r="M30" s="8"/>
      <c r="N30" s="8"/>
      <c r="O30" s="8"/>
    </row>
    <row r="31" spans="1:15" ht="14.4">
      <c r="A31" s="11" t="s">
        <v>61</v>
      </c>
      <c r="B31" s="8">
        <v>2200</v>
      </c>
      <c r="C31" s="8">
        <v>2490</v>
      </c>
      <c r="D31" s="8">
        <v>3405</v>
      </c>
      <c r="E31" s="4"/>
      <c r="F31" s="8">
        <v>3405</v>
      </c>
      <c r="G31" s="8"/>
      <c r="H31" s="8"/>
      <c r="I31" s="8"/>
      <c r="K31" s="8"/>
      <c r="L31" s="8"/>
      <c r="M31" s="8"/>
      <c r="N31" s="8"/>
      <c r="O31" s="8"/>
    </row>
    <row r="32" spans="1:15" ht="14.4">
      <c r="A32" s="12" t="s">
        <v>130</v>
      </c>
      <c r="B32" s="8">
        <v>4500</v>
      </c>
      <c r="C32" s="8">
        <v>5055</v>
      </c>
      <c r="D32" s="8">
        <v>6420</v>
      </c>
      <c r="E32" s="4"/>
      <c r="F32" s="8">
        <v>6455</v>
      </c>
      <c r="G32" s="8"/>
      <c r="H32" s="8"/>
      <c r="I32" s="8"/>
      <c r="K32" s="8"/>
      <c r="L32" s="8"/>
      <c r="M32" s="8"/>
      <c r="N32" s="8"/>
      <c r="O32" s="8"/>
    </row>
    <row r="33" spans="1:15" ht="14.4">
      <c r="A33" s="11" t="s">
        <v>1442</v>
      </c>
      <c r="B33" s="8">
        <v>1730</v>
      </c>
      <c r="C33" s="8">
        <v>1695</v>
      </c>
      <c r="D33" s="8">
        <v>1695</v>
      </c>
      <c r="E33" s="4"/>
      <c r="F33" s="8">
        <v>1695</v>
      </c>
      <c r="G33" s="8"/>
      <c r="H33" s="8"/>
      <c r="I33" s="8"/>
      <c r="K33" s="8"/>
      <c r="L33" s="8"/>
      <c r="M33" s="8"/>
      <c r="N33" s="8"/>
      <c r="O33" s="8"/>
    </row>
    <row r="34" spans="1:15">
      <c r="A34" s="8" t="s">
        <v>67</v>
      </c>
      <c r="B34" s="8" t="s">
        <v>1485</v>
      </c>
      <c r="C34" s="8" t="s">
        <v>1486</v>
      </c>
      <c r="D34" s="8" t="s">
        <v>1487</v>
      </c>
      <c r="E34" s="4"/>
      <c r="F34" s="8" t="s">
        <v>1486</v>
      </c>
      <c r="G34" s="8"/>
      <c r="H34" s="8"/>
      <c r="I34" s="8"/>
      <c r="K34" s="8"/>
      <c r="L34" s="8"/>
      <c r="M34" s="8"/>
      <c r="N34" s="8"/>
      <c r="O34" s="8"/>
    </row>
    <row r="35" spans="1:15" ht="14.4">
      <c r="A35" s="11" t="s">
        <v>1456</v>
      </c>
      <c r="B35" s="8">
        <v>2250</v>
      </c>
      <c r="C35" s="8">
        <v>2340</v>
      </c>
      <c r="D35" s="8">
        <v>2390</v>
      </c>
      <c r="E35" s="4"/>
      <c r="F35" s="8">
        <v>2390</v>
      </c>
      <c r="G35" s="8"/>
      <c r="H35" s="8"/>
      <c r="I35" s="8"/>
      <c r="K35" s="8"/>
      <c r="L35" s="8"/>
      <c r="M35" s="8"/>
      <c r="N35" s="8"/>
      <c r="O35" s="8"/>
    </row>
    <row r="36" spans="1:15">
      <c r="B36" s="8" t="s">
        <v>1488</v>
      </c>
      <c r="C36" s="8" t="s">
        <v>1489</v>
      </c>
      <c r="D36" s="8">
        <v>15</v>
      </c>
      <c r="E36" s="4"/>
      <c r="F36" s="8">
        <v>20</v>
      </c>
      <c r="G36" s="8"/>
      <c r="H36" s="8"/>
      <c r="I36" s="8"/>
      <c r="K36" s="8"/>
      <c r="L36" s="8"/>
      <c r="M36" s="8"/>
    </row>
    <row r="37" spans="1:15">
      <c r="B37" s="8"/>
      <c r="C37" s="8"/>
      <c r="D37" s="8"/>
      <c r="E37" s="4"/>
      <c r="F37" s="8"/>
      <c r="G37" s="8"/>
      <c r="H37" s="8"/>
      <c r="I37" s="8"/>
      <c r="K37" s="8"/>
      <c r="L37" s="8"/>
      <c r="M37" s="8"/>
    </row>
    <row r="38" spans="1:15">
      <c r="B38" s="8"/>
      <c r="C38" s="8"/>
      <c r="D38" s="8"/>
      <c r="E38" s="4"/>
      <c r="F38" s="8"/>
      <c r="G38" s="8"/>
      <c r="H38" s="8"/>
      <c r="I38" s="8"/>
      <c r="K38" s="8"/>
      <c r="L38" s="8"/>
      <c r="M38" s="8"/>
    </row>
    <row r="39" spans="1:15">
      <c r="B39" s="8"/>
      <c r="C39" s="8"/>
      <c r="D39" s="8"/>
      <c r="E39" s="4"/>
      <c r="F39" s="8"/>
      <c r="G39" s="8"/>
      <c r="H39" s="8"/>
      <c r="I39" s="8"/>
      <c r="K39" s="8"/>
      <c r="L39" s="8"/>
      <c r="M39" s="8"/>
    </row>
    <row r="40" spans="1:15">
      <c r="B40" s="8"/>
      <c r="C40" s="8"/>
      <c r="D40" s="8"/>
      <c r="E40" s="4"/>
      <c r="F40" s="8"/>
      <c r="G40" s="8"/>
      <c r="H40" s="8"/>
      <c r="I40" s="8"/>
      <c r="K40" s="8"/>
      <c r="L40" s="8"/>
      <c r="M40" s="8"/>
    </row>
    <row r="41" spans="1:15">
      <c r="B41" s="8"/>
      <c r="C41" s="8"/>
      <c r="D41" s="8"/>
      <c r="E41" s="4"/>
      <c r="F41" s="8"/>
      <c r="G41" s="8"/>
      <c r="H41" s="8"/>
      <c r="I41" s="8"/>
      <c r="K41" s="8"/>
      <c r="L41" s="8"/>
      <c r="M41" s="8"/>
    </row>
    <row r="42" spans="1:15">
      <c r="B42" s="8"/>
      <c r="C42" s="8"/>
      <c r="D42" s="8"/>
      <c r="E42" s="4"/>
      <c r="F42" s="8"/>
      <c r="G42" s="8"/>
      <c r="H42" s="8"/>
      <c r="I42" s="8"/>
      <c r="K42" s="8"/>
      <c r="L42" s="8"/>
      <c r="M42" s="8"/>
    </row>
    <row r="43" spans="1:15">
      <c r="B43" s="8"/>
      <c r="C43" s="8"/>
      <c r="D43" s="8"/>
      <c r="E43" s="4"/>
      <c r="F43" s="8"/>
      <c r="G43" s="8"/>
      <c r="H43" s="8"/>
      <c r="I43" s="8"/>
      <c r="K43" s="8"/>
      <c r="L43" s="8"/>
      <c r="M43" s="8"/>
    </row>
    <row r="44" spans="1:15">
      <c r="C44" s="8"/>
      <c r="D44" s="8" t="s">
        <v>1490</v>
      </c>
      <c r="E44" s="9"/>
      <c r="I44" s="8"/>
      <c r="M44" s="8"/>
    </row>
    <row r="45" spans="1:15">
      <c r="A45" s="8" t="s">
        <v>1431</v>
      </c>
      <c r="B45" s="4" t="s">
        <v>1491</v>
      </c>
      <c r="C45" s="8" t="s">
        <v>1492</v>
      </c>
      <c r="D45" s="8" t="s">
        <v>1493</v>
      </c>
      <c r="E45" s="8"/>
      <c r="F45" s="8"/>
      <c r="H45" s="8"/>
      <c r="I45" s="8"/>
      <c r="J45" s="8"/>
      <c r="L45" s="8"/>
      <c r="M45" s="8"/>
      <c r="N45" s="8"/>
      <c r="O45" s="8"/>
    </row>
    <row r="46" spans="1:15" ht="14.4">
      <c r="A46" s="11" t="s">
        <v>61</v>
      </c>
      <c r="B46" s="13">
        <v>2200</v>
      </c>
      <c r="C46" s="8">
        <v>2550</v>
      </c>
      <c r="D46" s="8">
        <v>3350</v>
      </c>
      <c r="E46" s="4"/>
      <c r="F46" s="8"/>
      <c r="H46" s="8"/>
      <c r="I46" s="8"/>
      <c r="J46" s="8"/>
      <c r="L46" s="8"/>
      <c r="M46" s="8"/>
      <c r="N46" s="8"/>
      <c r="O46" s="8"/>
    </row>
    <row r="47" spans="1:15" ht="14.4">
      <c r="A47" s="12" t="s">
        <v>130</v>
      </c>
      <c r="B47" s="13">
        <v>4500</v>
      </c>
      <c r="C47" s="8">
        <v>5125</v>
      </c>
      <c r="D47" s="8">
        <v>6425</v>
      </c>
      <c r="E47" s="4"/>
      <c r="F47" s="8"/>
      <c r="H47" s="8"/>
      <c r="I47" s="8"/>
      <c r="J47" s="8"/>
      <c r="L47" s="8"/>
      <c r="M47" s="8"/>
      <c r="N47" s="8"/>
      <c r="O47" s="8"/>
    </row>
    <row r="48" spans="1:15" ht="14.4">
      <c r="A48" s="11" t="s">
        <v>1442</v>
      </c>
      <c r="B48" s="13">
        <v>1730</v>
      </c>
      <c r="C48" s="8">
        <v>1750</v>
      </c>
      <c r="D48" s="8">
        <v>1750</v>
      </c>
      <c r="E48" s="4"/>
      <c r="F48" s="8"/>
      <c r="H48" s="8"/>
      <c r="I48" s="8"/>
      <c r="J48" s="8"/>
      <c r="L48" s="8"/>
      <c r="M48" s="8"/>
      <c r="N48" s="8"/>
      <c r="O48" s="8"/>
    </row>
    <row r="49" spans="1:15">
      <c r="A49" s="8" t="s">
        <v>67</v>
      </c>
      <c r="B49" s="4" t="s">
        <v>1485</v>
      </c>
      <c r="C49" s="8" t="s">
        <v>1494</v>
      </c>
      <c r="D49" s="8" t="s">
        <v>1495</v>
      </c>
      <c r="E49" s="4"/>
      <c r="F49" s="8"/>
      <c r="H49" s="8"/>
      <c r="I49" s="8"/>
      <c r="J49" s="8"/>
      <c r="L49" s="8"/>
      <c r="M49" s="8"/>
      <c r="N49" s="8"/>
      <c r="O49" s="8"/>
    </row>
    <row r="50" spans="1:15" ht="14.4">
      <c r="A50" s="11" t="s">
        <v>1456</v>
      </c>
      <c r="B50" s="4">
        <v>2020</v>
      </c>
      <c r="C50" s="8">
        <v>2355</v>
      </c>
      <c r="D50" s="8">
        <v>2345</v>
      </c>
      <c r="E50" s="4"/>
      <c r="F50" s="8"/>
      <c r="H50" s="8"/>
      <c r="I50" s="8"/>
      <c r="J50" s="8"/>
      <c r="L50" s="8"/>
      <c r="M50" s="8"/>
      <c r="N50" s="8"/>
      <c r="O50" s="8"/>
    </row>
    <row r="51" spans="1:15">
      <c r="B51" s="4" t="s">
        <v>1496</v>
      </c>
      <c r="C51" s="8" t="s">
        <v>1489</v>
      </c>
      <c r="D51" s="8" t="s">
        <v>1497</v>
      </c>
      <c r="E51" s="4"/>
      <c r="F51" s="8"/>
      <c r="H51" s="8"/>
      <c r="I51" s="8"/>
      <c r="J51" s="8"/>
      <c r="L51" s="8"/>
      <c r="M51" s="8"/>
    </row>
    <row r="52" spans="1:15">
      <c r="B52" s="4"/>
      <c r="C52" s="8"/>
      <c r="D52" s="8"/>
      <c r="E52" s="8"/>
      <c r="F52" s="8"/>
      <c r="H52" s="8"/>
      <c r="I52" s="8"/>
      <c r="J52" s="8"/>
      <c r="L52" s="8"/>
      <c r="M52" s="8"/>
    </row>
    <row r="53" spans="1:15">
      <c r="B53" s="4"/>
      <c r="C53" s="8"/>
      <c r="D53" s="8"/>
      <c r="E53" s="4"/>
      <c r="F53" s="8"/>
      <c r="H53" s="8"/>
      <c r="I53" s="8"/>
      <c r="J53" s="8"/>
      <c r="L53" s="8"/>
      <c r="M53" s="8"/>
    </row>
    <row r="54" spans="1:15">
      <c r="B54" s="4"/>
      <c r="C54" s="8"/>
      <c r="D54" s="8"/>
      <c r="E54" s="4"/>
      <c r="F54" s="8"/>
      <c r="H54" s="8"/>
      <c r="I54" s="8"/>
      <c r="J54" s="8"/>
      <c r="L54" s="8"/>
      <c r="M54" s="8"/>
    </row>
    <row r="55" spans="1:15">
      <c r="B55" s="4"/>
      <c r="C55" s="8"/>
      <c r="D55" s="8"/>
      <c r="E55" s="4"/>
      <c r="F55" s="8"/>
      <c r="H55" s="8"/>
      <c r="I55" s="8"/>
      <c r="J55" s="8"/>
      <c r="L55" s="8"/>
      <c r="M55" s="8"/>
    </row>
    <row r="56" spans="1:15">
      <c r="B56" s="4"/>
      <c r="C56" s="8"/>
      <c r="D56" s="8"/>
      <c r="E56" s="4"/>
      <c r="F56" s="8"/>
      <c r="H56" s="8"/>
      <c r="I56" s="8"/>
      <c r="J56" s="8"/>
      <c r="L56" s="8"/>
      <c r="M56" s="8"/>
    </row>
    <row r="57" spans="1:15">
      <c r="B57" s="4"/>
      <c r="C57" s="8"/>
      <c r="D57" s="8"/>
      <c r="E57" s="4"/>
      <c r="F57" s="8"/>
      <c r="H57" s="8"/>
      <c r="I57" s="8"/>
      <c r="J57" s="8"/>
      <c r="L57" s="8"/>
      <c r="M57" s="8"/>
    </row>
    <row r="58" spans="1:15">
      <c r="B58" s="4"/>
      <c r="C58" s="8"/>
      <c r="D58" s="8"/>
      <c r="E58" s="4"/>
      <c r="F58" s="8"/>
      <c r="H58" s="8"/>
      <c r="I58" s="8"/>
      <c r="J58" s="8"/>
      <c r="L58" s="8"/>
      <c r="M58" s="8"/>
    </row>
    <row r="59" spans="1:15">
      <c r="C59" s="8"/>
      <c r="D59" s="8" t="s">
        <v>1498</v>
      </c>
      <c r="E59" s="9"/>
      <c r="I59" s="8"/>
      <c r="M59" s="8"/>
    </row>
    <row r="60" spans="1:15">
      <c r="A60" s="8" t="s">
        <v>1431</v>
      </c>
      <c r="B60" s="8"/>
      <c r="C60" s="8" t="s">
        <v>1499</v>
      </c>
      <c r="D60" s="8" t="s">
        <v>1500</v>
      </c>
      <c r="E60" s="8"/>
      <c r="F60" s="8"/>
      <c r="G60" s="8"/>
      <c r="H60" s="8"/>
      <c r="I60" s="8"/>
      <c r="J60" s="8"/>
      <c r="M60" s="8"/>
      <c r="N60" s="8"/>
      <c r="O60" s="8"/>
    </row>
    <row r="61" spans="1:15" ht="14.4">
      <c r="A61" s="11" t="s">
        <v>61</v>
      </c>
      <c r="B61" s="11"/>
      <c r="C61" s="8">
        <v>2530</v>
      </c>
      <c r="D61" s="8">
        <v>3205</v>
      </c>
      <c r="E61" s="4"/>
      <c r="F61" s="8"/>
      <c r="G61" s="8"/>
      <c r="H61" s="8"/>
      <c r="I61" s="8"/>
      <c r="J61" s="8"/>
      <c r="M61" s="8"/>
      <c r="N61" s="8"/>
      <c r="O61" s="8"/>
    </row>
    <row r="62" spans="1:15" ht="14.4">
      <c r="A62" s="12" t="s">
        <v>130</v>
      </c>
      <c r="B62" s="12"/>
      <c r="C62" s="8">
        <v>5100</v>
      </c>
      <c r="D62" s="8">
        <v>6271</v>
      </c>
      <c r="E62" s="4"/>
      <c r="F62" s="8"/>
      <c r="G62" s="8"/>
      <c r="H62" s="8"/>
      <c r="I62" s="8"/>
      <c r="J62" s="8"/>
      <c r="M62" s="8"/>
      <c r="N62" s="8"/>
      <c r="O62" s="8"/>
    </row>
    <row r="63" spans="1:15" ht="14.4">
      <c r="A63" s="11" t="s">
        <v>1442</v>
      </c>
      <c r="B63" s="11"/>
      <c r="C63" s="8">
        <v>1695</v>
      </c>
      <c r="D63" s="8">
        <v>1700</v>
      </c>
      <c r="E63" s="4"/>
      <c r="F63" s="8"/>
      <c r="G63" s="8"/>
      <c r="H63" s="8"/>
      <c r="I63" s="8"/>
      <c r="J63" s="8"/>
      <c r="M63" s="8"/>
      <c r="N63" s="8"/>
      <c r="O63" s="8"/>
    </row>
    <row r="64" spans="1:15">
      <c r="A64" s="8" t="s">
        <v>67</v>
      </c>
      <c r="B64" s="8"/>
      <c r="C64" s="8" t="s">
        <v>1501</v>
      </c>
      <c r="D64" s="8">
        <v>1415</v>
      </c>
      <c r="E64" s="4"/>
      <c r="F64" s="8"/>
      <c r="G64" s="8"/>
      <c r="H64" s="8"/>
      <c r="I64" s="8"/>
      <c r="J64" s="8"/>
      <c r="M64" s="8"/>
      <c r="N64" s="8"/>
      <c r="O64" s="8"/>
    </row>
    <row r="65" spans="1:15" ht="14.4">
      <c r="A65" s="11" t="s">
        <v>1456</v>
      </c>
      <c r="B65" s="11"/>
      <c r="C65" s="8">
        <v>2308</v>
      </c>
      <c r="D65" s="8">
        <v>2385</v>
      </c>
      <c r="E65" s="4"/>
      <c r="F65" s="8"/>
      <c r="G65" s="8"/>
      <c r="H65" s="8"/>
      <c r="I65" s="8"/>
      <c r="J65" s="8"/>
      <c r="M65" s="8"/>
      <c r="N65" s="8"/>
      <c r="O65" s="8"/>
    </row>
    <row r="66" spans="1:15">
      <c r="C66" s="8" t="s">
        <v>1489</v>
      </c>
      <c r="D66" s="8" t="s">
        <v>1497</v>
      </c>
      <c r="E66" s="4"/>
      <c r="F66" s="8"/>
      <c r="G66" s="8"/>
      <c r="H66" s="8"/>
      <c r="I66" s="8"/>
      <c r="J66" s="8"/>
      <c r="M66" s="8"/>
    </row>
    <row r="67" spans="1:15">
      <c r="C67" s="8"/>
      <c r="D67" s="8"/>
      <c r="E67" s="4"/>
      <c r="F67" s="8"/>
      <c r="G67" s="8"/>
      <c r="H67" s="8"/>
      <c r="I67" s="8"/>
      <c r="J67" s="8"/>
      <c r="M67" s="8"/>
    </row>
    <row r="68" spans="1:15">
      <c r="C68" s="8"/>
      <c r="D68" s="8"/>
      <c r="E68" s="4"/>
      <c r="F68" s="8"/>
      <c r="G68" s="8"/>
      <c r="H68" s="8"/>
      <c r="I68" s="8"/>
      <c r="J68" s="8"/>
      <c r="M68" s="8"/>
    </row>
    <row r="69" spans="1:15">
      <c r="C69" s="8"/>
      <c r="D69" s="8"/>
      <c r="E69" s="4"/>
      <c r="F69" s="8"/>
      <c r="G69" s="8"/>
      <c r="H69" s="8"/>
      <c r="I69" s="8"/>
      <c r="J69" s="8"/>
      <c r="M69" s="8"/>
    </row>
    <row r="70" spans="1:15">
      <c r="C70" s="8"/>
      <c r="D70" s="8"/>
      <c r="E70" s="4"/>
      <c r="F70" s="8"/>
      <c r="G70" s="8"/>
      <c r="H70" s="8"/>
      <c r="I70" s="8"/>
      <c r="J70" s="8"/>
      <c r="M70" s="8"/>
    </row>
    <row r="71" spans="1:15">
      <c r="C71" s="8"/>
      <c r="D71" s="8"/>
      <c r="E71" s="4"/>
      <c r="F71" s="8"/>
      <c r="G71" s="8"/>
      <c r="H71" s="8"/>
      <c r="I71" s="8"/>
      <c r="J71" s="8"/>
      <c r="M71" s="8"/>
    </row>
    <row r="72" spans="1:15">
      <c r="C72" s="8"/>
      <c r="D72" s="8"/>
      <c r="E72" s="4"/>
      <c r="F72" s="8"/>
      <c r="G72" s="8"/>
      <c r="H72" s="8"/>
      <c r="I72" s="8"/>
      <c r="J72" s="8"/>
      <c r="M72" s="8"/>
    </row>
    <row r="73" spans="1:15">
      <c r="C73" s="8"/>
      <c r="D73" s="8"/>
      <c r="E73" s="4"/>
      <c r="F73" s="8"/>
      <c r="G73" s="8"/>
      <c r="H73" s="8"/>
      <c r="I73" s="8"/>
      <c r="J73" s="8"/>
      <c r="M73" s="8"/>
    </row>
    <row r="74" spans="1:15">
      <c r="C74" s="8"/>
      <c r="D74" s="8" t="s">
        <v>1502</v>
      </c>
      <c r="E74" s="9"/>
      <c r="I74" s="8"/>
      <c r="M74" s="8"/>
    </row>
    <row r="75" spans="1:15">
      <c r="A75" s="8" t="s">
        <v>1431</v>
      </c>
      <c r="B75" s="8"/>
      <c r="C75" s="8" t="s">
        <v>1503</v>
      </c>
      <c r="D75" s="8" t="s">
        <v>1504</v>
      </c>
      <c r="E75" s="8"/>
      <c r="F75" s="8" t="s">
        <v>1504</v>
      </c>
      <c r="G75" s="8"/>
      <c r="H75" s="8"/>
      <c r="I75" s="8"/>
      <c r="M75" s="8"/>
      <c r="N75" s="8"/>
      <c r="O75" s="8"/>
    </row>
    <row r="76" spans="1:15" ht="14.4">
      <c r="A76" s="11" t="s">
        <v>61</v>
      </c>
      <c r="B76" s="11"/>
      <c r="C76" s="8">
        <v>2530</v>
      </c>
      <c r="D76" s="8">
        <v>3205</v>
      </c>
      <c r="E76" s="4"/>
      <c r="F76" s="8">
        <v>3205</v>
      </c>
      <c r="G76" s="8"/>
      <c r="H76" s="8"/>
      <c r="I76" s="8"/>
      <c r="M76" s="8"/>
      <c r="N76" s="8"/>
      <c r="O76" s="8"/>
    </row>
    <row r="77" spans="1:15" ht="14.4">
      <c r="A77" s="12" t="s">
        <v>130</v>
      </c>
      <c r="B77" s="12"/>
      <c r="C77" s="8">
        <v>5100</v>
      </c>
      <c r="D77" s="8">
        <v>6271</v>
      </c>
      <c r="E77" s="4"/>
      <c r="F77" s="8">
        <v>6271</v>
      </c>
      <c r="G77" s="8"/>
      <c r="H77" s="8"/>
      <c r="I77" s="8"/>
      <c r="M77" s="8"/>
      <c r="N77" s="8"/>
      <c r="O77" s="8"/>
    </row>
    <row r="78" spans="1:15" ht="14.4">
      <c r="A78" s="11" t="s">
        <v>1442</v>
      </c>
      <c r="B78" s="11"/>
      <c r="C78" s="8">
        <v>1695</v>
      </c>
      <c r="D78" s="8">
        <v>1700</v>
      </c>
      <c r="E78" s="4"/>
      <c r="F78" s="8">
        <v>1700</v>
      </c>
      <c r="G78" s="8"/>
      <c r="H78" s="8"/>
      <c r="I78" s="8"/>
      <c r="M78" s="8"/>
      <c r="N78" s="8"/>
      <c r="O78" s="8"/>
    </row>
    <row r="79" spans="1:15">
      <c r="A79" s="8" t="s">
        <v>67</v>
      </c>
      <c r="B79" s="8"/>
      <c r="C79" s="8" t="s">
        <v>1501</v>
      </c>
      <c r="D79" s="8">
        <v>1415</v>
      </c>
      <c r="E79" s="4"/>
      <c r="F79" s="8">
        <v>1415</v>
      </c>
      <c r="G79" s="8"/>
      <c r="H79" s="8"/>
      <c r="I79" s="8"/>
      <c r="M79" s="8"/>
      <c r="N79" s="8"/>
      <c r="O79" s="8"/>
    </row>
    <row r="80" spans="1:15" ht="14.4">
      <c r="A80" s="11" t="s">
        <v>1456</v>
      </c>
      <c r="B80" s="11"/>
      <c r="C80" s="8">
        <v>2308</v>
      </c>
      <c r="D80" s="8">
        <v>2383</v>
      </c>
      <c r="E80" s="4"/>
      <c r="F80" s="8">
        <v>2383</v>
      </c>
      <c r="G80" s="8"/>
      <c r="H80" s="8"/>
      <c r="I80" s="8"/>
      <c r="M80" s="8"/>
      <c r="N80" s="8"/>
      <c r="O80" s="8"/>
    </row>
    <row r="81" spans="1:14">
      <c r="C81" s="8" t="s">
        <v>1489</v>
      </c>
      <c r="D81" s="8">
        <v>15</v>
      </c>
      <c r="E81" s="4"/>
      <c r="F81" s="8">
        <v>20</v>
      </c>
      <c r="G81" s="8"/>
      <c r="H81" s="8"/>
      <c r="I81" s="8"/>
      <c r="M81" s="8"/>
    </row>
    <row r="82" spans="1:14">
      <c r="C82" s="8"/>
      <c r="D82" s="8"/>
      <c r="E82" s="4"/>
      <c r="F82" s="8"/>
      <c r="G82" s="8"/>
      <c r="H82" s="8"/>
      <c r="I82" s="8"/>
      <c r="M82" s="8"/>
    </row>
    <row r="83" spans="1:14">
      <c r="C83" s="8"/>
      <c r="D83" s="8"/>
      <c r="E83" s="4"/>
      <c r="F83" s="8"/>
      <c r="G83" s="8"/>
      <c r="H83" s="8"/>
      <c r="I83" s="8"/>
      <c r="M83" s="8"/>
    </row>
    <row r="84" spans="1:14">
      <c r="C84" s="8"/>
      <c r="D84" s="8"/>
      <c r="E84" s="4"/>
      <c r="F84" s="8"/>
      <c r="G84" s="8"/>
      <c r="H84" s="8"/>
      <c r="I84" s="8"/>
      <c r="M84" s="8"/>
    </row>
    <row r="85" spans="1:14">
      <c r="C85" s="8"/>
      <c r="D85" s="8"/>
      <c r="E85" s="4"/>
      <c r="F85" s="8"/>
      <c r="G85" s="8"/>
      <c r="H85" s="8"/>
      <c r="I85" s="8"/>
      <c r="M85" s="8"/>
    </row>
    <row r="86" spans="1:14">
      <c r="C86" s="8"/>
      <c r="D86" s="8"/>
      <c r="E86" s="4"/>
      <c r="F86" s="8"/>
      <c r="G86" s="8"/>
      <c r="H86" s="8"/>
      <c r="I86" s="8"/>
      <c r="M86" s="8"/>
    </row>
    <row r="87" spans="1:14">
      <c r="C87" s="8"/>
      <c r="D87" s="8"/>
      <c r="E87" s="4"/>
      <c r="F87" s="8"/>
      <c r="G87" s="8"/>
      <c r="H87" s="8"/>
      <c r="I87" s="8"/>
      <c r="M87" s="8"/>
    </row>
    <row r="88" spans="1:14">
      <c r="C88" s="8"/>
      <c r="D88" s="8"/>
      <c r="E88" s="4"/>
      <c r="F88" s="8"/>
      <c r="G88" s="8"/>
      <c r="H88" s="8"/>
      <c r="I88" s="8"/>
      <c r="M88" s="8"/>
    </row>
    <row r="89" spans="1:14">
      <c r="C89" s="8"/>
      <c r="D89" s="8"/>
      <c r="E89" s="4"/>
      <c r="F89" s="8"/>
      <c r="G89" s="8"/>
      <c r="H89" s="8"/>
      <c r="I89" s="8"/>
      <c r="M89" s="8"/>
    </row>
    <row r="90" spans="1:14">
      <c r="C90" s="8"/>
      <c r="D90" s="8"/>
      <c r="E90" s="4"/>
      <c r="F90" s="8"/>
      <c r="G90" s="8"/>
      <c r="H90" s="8"/>
      <c r="I90" s="8"/>
      <c r="M90" s="8"/>
    </row>
    <row r="91" spans="1:14">
      <c r="C91" s="8"/>
      <c r="D91" s="8"/>
      <c r="E91" s="9"/>
      <c r="I91" s="8"/>
      <c r="M91" s="8"/>
    </row>
    <row r="92" spans="1:14" ht="82.8">
      <c r="B92" s="14" t="s">
        <v>1505</v>
      </c>
      <c r="C92" s="14" t="s">
        <v>1506</v>
      </c>
      <c r="D92" s="14" t="s">
        <v>1427</v>
      </c>
      <c r="E92" s="14" t="s">
        <v>1428</v>
      </c>
      <c r="F92" s="14" t="s">
        <v>1429</v>
      </c>
      <c r="G92" s="14" t="s">
        <v>1507</v>
      </c>
      <c r="H92" s="14" t="s">
        <v>1508</v>
      </c>
      <c r="I92" s="14" t="s">
        <v>1509</v>
      </c>
      <c r="J92" s="14" t="s">
        <v>1510</v>
      </c>
      <c r="K92" s="14" t="s">
        <v>1511</v>
      </c>
      <c r="L92" s="14" t="s">
        <v>1512</v>
      </c>
      <c r="M92" s="8"/>
    </row>
    <row r="93" spans="1:14">
      <c r="A93" s="8" t="s">
        <v>1431</v>
      </c>
      <c r="B93" s="8"/>
      <c r="C93" s="8"/>
      <c r="D93" s="8"/>
      <c r="E93" s="9"/>
      <c r="I93" s="8"/>
      <c r="M93" s="8"/>
    </row>
    <row r="94" spans="1:14" ht="14.4">
      <c r="A94" s="11" t="s">
        <v>61</v>
      </c>
      <c r="B94" s="8">
        <v>6000</v>
      </c>
      <c r="C94" s="8">
        <v>6000</v>
      </c>
      <c r="D94" s="8">
        <v>5950</v>
      </c>
      <c r="E94" s="4">
        <v>6000</v>
      </c>
      <c r="F94" s="4">
        <v>6000</v>
      </c>
      <c r="G94" s="4">
        <v>4175</v>
      </c>
      <c r="H94" s="4">
        <v>3360</v>
      </c>
      <c r="I94" s="8">
        <v>4000</v>
      </c>
      <c r="J94" s="8">
        <v>3380</v>
      </c>
      <c r="K94" s="8">
        <v>4000</v>
      </c>
      <c r="L94" s="8">
        <v>3380</v>
      </c>
      <c r="M94" s="8">
        <v>3850</v>
      </c>
      <c r="N94" s="8">
        <v>3350</v>
      </c>
    </row>
    <row r="95" spans="1:14" ht="14.4">
      <c r="A95" s="12" t="s">
        <v>130</v>
      </c>
      <c r="B95" s="8">
        <v>1200</v>
      </c>
      <c r="C95" s="8">
        <v>1200</v>
      </c>
      <c r="D95" s="8">
        <v>12000</v>
      </c>
      <c r="E95" s="4">
        <v>11900</v>
      </c>
      <c r="F95" s="4">
        <v>11900</v>
      </c>
      <c r="G95" s="4">
        <v>7975</v>
      </c>
      <c r="H95" s="4">
        <v>6860</v>
      </c>
      <c r="I95" s="8">
        <v>7800</v>
      </c>
      <c r="J95" s="8">
        <v>6880</v>
      </c>
      <c r="K95" s="8">
        <v>7800</v>
      </c>
      <c r="L95" s="8">
        <v>6880</v>
      </c>
      <c r="M95" s="8">
        <v>7650</v>
      </c>
      <c r="N95" s="8">
        <v>6850</v>
      </c>
    </row>
    <row r="96" spans="1:14" ht="14.4">
      <c r="A96" s="11" t="s">
        <v>1442</v>
      </c>
      <c r="B96" s="8">
        <v>2500</v>
      </c>
      <c r="C96" s="8">
        <v>2500</v>
      </c>
      <c r="D96" s="8">
        <v>2500</v>
      </c>
      <c r="E96" s="4">
        <v>2500</v>
      </c>
      <c r="F96" s="4">
        <v>2500</v>
      </c>
      <c r="G96" s="4">
        <v>2200</v>
      </c>
      <c r="H96" s="4">
        <v>2100</v>
      </c>
      <c r="I96" s="8">
        <v>2200</v>
      </c>
      <c r="J96" s="8">
        <v>2100</v>
      </c>
      <c r="K96" s="8">
        <v>2200</v>
      </c>
      <c r="L96" s="8" t="s">
        <v>1434</v>
      </c>
      <c r="M96" s="8">
        <v>2200</v>
      </c>
      <c r="N96" s="8">
        <v>2100</v>
      </c>
    </row>
    <row r="97" spans="1:14">
      <c r="A97" s="8" t="s">
        <v>67</v>
      </c>
      <c r="B97" s="8" t="s">
        <v>1454</v>
      </c>
      <c r="C97" s="8" t="s">
        <v>1434</v>
      </c>
      <c r="D97" s="8" t="s">
        <v>1434</v>
      </c>
      <c r="E97" s="4" t="s">
        <v>1454</v>
      </c>
      <c r="F97" s="4"/>
      <c r="G97" s="4" t="s">
        <v>1513</v>
      </c>
      <c r="H97" s="15" t="s">
        <v>1434</v>
      </c>
      <c r="I97" s="8" t="s">
        <v>1434</v>
      </c>
      <c r="J97" s="8" t="s">
        <v>1434</v>
      </c>
      <c r="K97" s="8" t="s">
        <v>1434</v>
      </c>
      <c r="L97" s="8" t="s">
        <v>1434</v>
      </c>
      <c r="M97" s="8" t="s">
        <v>1434</v>
      </c>
      <c r="N97" s="8" t="s">
        <v>1434</v>
      </c>
    </row>
    <row r="98" spans="1:14" ht="14.4">
      <c r="A98" s="11" t="s">
        <v>1456</v>
      </c>
      <c r="B98" s="8">
        <v>3450</v>
      </c>
      <c r="C98" s="8">
        <v>3575</v>
      </c>
      <c r="D98" s="8">
        <v>3575</v>
      </c>
      <c r="E98" s="4">
        <v>3450</v>
      </c>
      <c r="F98" s="4">
        <v>3575</v>
      </c>
      <c r="G98" s="4">
        <v>2985</v>
      </c>
      <c r="H98" s="16" t="s">
        <v>1434</v>
      </c>
      <c r="I98" s="8">
        <v>2985</v>
      </c>
      <c r="J98" s="8" t="s">
        <v>1434</v>
      </c>
      <c r="K98" s="8">
        <v>2985</v>
      </c>
      <c r="L98" s="8" t="s">
        <v>1434</v>
      </c>
      <c r="M98" s="8">
        <v>2985</v>
      </c>
      <c r="N98" s="8" t="s">
        <v>1434</v>
      </c>
    </row>
    <row r="99" spans="1:14">
      <c r="A99" s="8" t="s">
        <v>1514</v>
      </c>
      <c r="B99" s="8">
        <v>47</v>
      </c>
      <c r="C99" s="8">
        <v>47</v>
      </c>
      <c r="D99" s="8">
        <v>47</v>
      </c>
      <c r="E99" s="4">
        <v>47</v>
      </c>
      <c r="F99" s="4">
        <v>47</v>
      </c>
      <c r="G99" s="4">
        <v>35</v>
      </c>
      <c r="H99" s="4">
        <v>29</v>
      </c>
      <c r="I99" s="8">
        <v>31</v>
      </c>
      <c r="J99" s="8">
        <v>29</v>
      </c>
      <c r="K99" s="4">
        <v>31</v>
      </c>
      <c r="L99" s="4">
        <v>29</v>
      </c>
      <c r="M99" s="8">
        <v>31</v>
      </c>
      <c r="N99" s="8">
        <v>31</v>
      </c>
    </row>
    <row r="100" spans="1:14">
      <c r="C100" s="8"/>
      <c r="D100" s="8"/>
      <c r="E100" s="9"/>
      <c r="I100" s="8"/>
      <c r="M100" s="8"/>
    </row>
    <row r="101" spans="1:14">
      <c r="C101" s="8"/>
      <c r="D101" s="8"/>
      <c r="E101" s="9"/>
      <c r="I101" s="8"/>
      <c r="M101" s="8"/>
    </row>
    <row r="102" spans="1:14">
      <c r="C102" s="8"/>
      <c r="D102" s="8"/>
      <c r="E102" s="9"/>
      <c r="I102" s="8"/>
      <c r="M102" s="8"/>
    </row>
    <row r="103" spans="1:14">
      <c r="C103" s="8"/>
      <c r="D103" s="8"/>
      <c r="E103" s="9"/>
      <c r="I103" s="8"/>
      <c r="M103" s="8"/>
    </row>
    <row r="104" spans="1:14">
      <c r="C104" s="8"/>
      <c r="D104" s="8"/>
      <c r="E104" s="9"/>
      <c r="I104" s="8"/>
      <c r="M104" s="8"/>
    </row>
    <row r="105" spans="1:14">
      <c r="C105" s="8"/>
      <c r="D105" s="8"/>
      <c r="E105" s="9"/>
      <c r="I105" s="8"/>
      <c r="M105" s="8"/>
    </row>
    <row r="106" spans="1:14">
      <c r="C106" s="8"/>
      <c r="D106" s="8"/>
      <c r="E106" s="9"/>
      <c r="I106" s="8"/>
      <c r="M106" s="8"/>
    </row>
    <row r="107" spans="1:14">
      <c r="C107" s="8"/>
      <c r="D107" s="8"/>
      <c r="E107" s="9"/>
      <c r="I107" s="8"/>
      <c r="M107" s="8"/>
    </row>
    <row r="108" spans="1:14">
      <c r="C108" s="8"/>
      <c r="D108" s="8"/>
      <c r="E108" s="9"/>
      <c r="I108" s="8"/>
      <c r="M108" s="8"/>
    </row>
    <row r="109" spans="1:14">
      <c r="C109" s="8"/>
      <c r="D109" s="8"/>
      <c r="E109" s="9"/>
      <c r="I109" s="8"/>
      <c r="M109" s="8"/>
    </row>
  </sheetData>
  <hyperlinks>
    <hyperlink ref="C21" r:id="rId1" xr:uid="{00000000-0004-0000-07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Đề </vt:lpstr>
      <vt:lpstr>DS</vt:lpstr>
      <vt:lpstr>Sheet1</vt:lpstr>
      <vt:lpstr>chuong</vt:lpstr>
      <vt:lpstr>ch1</vt:lpstr>
      <vt:lpstr>ch2</vt:lpstr>
      <vt:lpstr>Sheet3</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2023-11-17T15:25:04Z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