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ing Drive\Working\Các dự án TPDN\Projects\SHB\Khảo sát yêu cầu\"/>
    </mc:Choice>
  </mc:AlternateContent>
  <bookViews>
    <workbookView xWindow="0" yWindow="0" windowWidth="20490" windowHeight="7020" tabRatio="790" activeTab="2"/>
  </bookViews>
  <sheets>
    <sheet name="TP BDC" sheetId="2" r:id="rId1"/>
    <sheet name="Tham số" sheetId="16" r:id="rId2"/>
    <sheet name="Ngày 1" sheetId="7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7" i="7" l="1"/>
  <c r="E13" i="7"/>
  <c r="F13" i="7"/>
  <c r="G13" i="7"/>
  <c r="H13" i="7"/>
  <c r="I13" i="7"/>
  <c r="J13" i="7"/>
  <c r="K13" i="7"/>
  <c r="L13" i="7"/>
  <c r="M13" i="7"/>
  <c r="N13" i="7"/>
  <c r="O13" i="7"/>
  <c r="D13" i="7"/>
  <c r="G4" i="7"/>
  <c r="D8" i="7" s="1"/>
  <c r="M23" i="7"/>
  <c r="B23" i="7"/>
  <c r="E16" i="7"/>
  <c r="D16" i="7"/>
  <c r="E15" i="7"/>
  <c r="D15" i="7"/>
  <c r="D27" i="7" l="1"/>
  <c r="E27" i="7"/>
  <c r="F27" i="7" s="1"/>
  <c r="P15" i="7"/>
  <c r="E8" i="7"/>
  <c r="D4" i="7"/>
  <c r="H8" i="2" l="1"/>
  <c r="I8" i="2"/>
  <c r="J8" i="2"/>
  <c r="J4" i="7" s="1"/>
  <c r="K8" i="2"/>
  <c r="K9" i="2" s="1"/>
  <c r="L8" i="2"/>
  <c r="L9" i="2" s="1"/>
  <c r="M8" i="2"/>
  <c r="M9" i="2" s="1"/>
  <c r="N8" i="2"/>
  <c r="N9" i="2" s="1"/>
  <c r="O8" i="2"/>
  <c r="O9" i="2" s="1"/>
  <c r="P8" i="2"/>
  <c r="P9" i="2" s="1"/>
  <c r="G8" i="2"/>
  <c r="F8" i="2"/>
  <c r="F9" i="2" s="1"/>
  <c r="E3" i="2"/>
  <c r="E8" i="2" s="1"/>
  <c r="J9" i="2" l="1"/>
  <c r="E9" i="2"/>
  <c r="D14" i="7"/>
  <c r="E10" i="2"/>
  <c r="G9" i="2"/>
  <c r="G10" i="2" s="1"/>
  <c r="I9" i="2"/>
  <c r="I10" i="2" s="1"/>
  <c r="H9" i="2"/>
  <c r="H10" i="2" s="1"/>
  <c r="J10" i="2"/>
  <c r="N10" i="2"/>
  <c r="F10" i="2"/>
  <c r="K10" i="2"/>
  <c r="O10" i="2"/>
  <c r="M10" i="2"/>
  <c r="L10" i="2"/>
  <c r="P10" i="2"/>
  <c r="E14" i="7" l="1"/>
  <c r="F14" i="7" l="1"/>
  <c r="F15" i="7" s="1"/>
  <c r="F16" i="7" l="1"/>
  <c r="G14" i="7"/>
  <c r="G15" i="7" s="1"/>
  <c r="G16" i="7" l="1"/>
  <c r="H14" i="7"/>
  <c r="H15" i="7" s="1"/>
  <c r="H16" i="7" l="1"/>
  <c r="I14" i="7"/>
  <c r="I15" i="7" s="1"/>
  <c r="I16" i="7" l="1"/>
  <c r="J14" i="7"/>
  <c r="J15" i="7" s="1"/>
  <c r="J16" i="7" l="1"/>
  <c r="K14" i="7"/>
  <c r="K15" i="7" s="1"/>
  <c r="K16" i="7" l="1"/>
  <c r="L14" i="7"/>
  <c r="L15" i="7" s="1"/>
  <c r="L16" i="7" l="1"/>
  <c r="M14" i="7"/>
  <c r="M15" i="7" s="1"/>
  <c r="M16" i="7" l="1"/>
  <c r="N14" i="7"/>
  <c r="N15" i="7" s="1"/>
  <c r="N16" i="7" l="1"/>
  <c r="O14" i="7"/>
  <c r="O15" i="7" l="1"/>
  <c r="H27" i="7" l="1"/>
  <c r="M4" i="7"/>
  <c r="O16" i="7"/>
  <c r="G8" i="7"/>
  <c r="E23" i="7" s="1"/>
  <c r="G27" i="7" l="1"/>
  <c r="I27" i="7" s="1"/>
  <c r="K27" i="7" s="1"/>
  <c r="J29" i="7" s="1"/>
  <c r="G23" i="7"/>
  <c r="F23" i="7"/>
  <c r="L27" i="7" l="1"/>
  <c r="M27" i="7" s="1"/>
  <c r="K29" i="7"/>
  <c r="H23" i="7"/>
  <c r="I23" i="7" s="1"/>
  <c r="J23" i="7" s="1"/>
  <c r="O23" i="7" s="1"/>
  <c r="P23" i="7" s="1"/>
  <c r="N27" i="7" l="1"/>
  <c r="O27" i="7" s="1"/>
  <c r="K23" i="7"/>
  <c r="L23" i="7" s="1"/>
  <c r="N23" i="7" s="1"/>
  <c r="N29" i="7" l="1"/>
  <c r="O29" i="7" s="1"/>
</calcChain>
</file>

<file path=xl/sharedStrings.xml><?xml version="1.0" encoding="utf-8"?>
<sst xmlns="http://schemas.openxmlformats.org/spreadsheetml/2006/main" count="109" uniqueCount="89">
  <si>
    <t>Lãi suất coupon</t>
  </si>
  <si>
    <t>Thông tin trái phiếu</t>
  </si>
  <si>
    <t>Value</t>
  </si>
  <si>
    <t>Ngày</t>
  </si>
  <si>
    <t>Mã trái phiếu</t>
  </si>
  <si>
    <t>LS</t>
  </si>
  <si>
    <t>Mệnh giá</t>
  </si>
  <si>
    <t>Lãi suất danh nghĩa</t>
  </si>
  <si>
    <t>Chu kỳ trả lãi</t>
  </si>
  <si>
    <t>Lịch thanh toán LS</t>
  </si>
  <si>
    <t>Ngày phát hành</t>
  </si>
  <si>
    <t>Ngày đến hạn</t>
  </si>
  <si>
    <t>LS coupon</t>
  </si>
  <si>
    <t>LS thanh toán</t>
  </si>
  <si>
    <t>Sản phẩm</t>
  </si>
  <si>
    <t>TTTH</t>
  </si>
  <si>
    <t>Tính giá</t>
  </si>
  <si>
    <t>LSCK ban đầu</t>
  </si>
  <si>
    <t>LSCK ngày cuối</t>
  </si>
  <si>
    <t>Ngày đầu</t>
  </si>
  <si>
    <t>Ngày cuối</t>
  </si>
  <si>
    <t>Ngày mua lại cuối cùng</t>
  </si>
  <si>
    <t>Cơ sở tính lãi 30/360</t>
  </si>
  <si>
    <t>ST_BOND</t>
  </si>
  <si>
    <t>Y</t>
  </si>
  <si>
    <t>LSKH</t>
  </si>
  <si>
    <t>SPRO_BOND</t>
  </si>
  <si>
    <t>LSCK</t>
  </si>
  <si>
    <t>Thuế lợi tức tạm tính</t>
  </si>
  <si>
    <t>Biên độ ĐCLS</t>
  </si>
  <si>
    <t>Thuế lợi tức</t>
  </si>
  <si>
    <t>Khối lượng lưu hành</t>
  </si>
  <si>
    <t>BDC</t>
  </si>
  <si>
    <t>Giá chào bán = = CSTL * Tổng dòng tiền nhận được / (CSTL + LS thực nhận đến đáo hạn * Số ngày nắm giữ đến đáo hạn)</t>
  </si>
  <si>
    <t>Đại lý chào bán</t>
  </si>
  <si>
    <t>Kỳ hạn ngày</t>
  </si>
  <si>
    <t>Kỳ hạn tháng</t>
  </si>
  <si>
    <t>Lãi cộng dồn</t>
  </si>
  <si>
    <t>Gốc</t>
  </si>
  <si>
    <t>PP tính giá</t>
  </si>
  <si>
    <t>Giá chào bán</t>
  </si>
  <si>
    <t>Giá trị</t>
  </si>
  <si>
    <t>Thuế bán</t>
  </si>
  <si>
    <t>Ngày mua lại</t>
  </si>
  <si>
    <t>Lãi suất</t>
  </si>
  <si>
    <t>CSTL</t>
  </si>
  <si>
    <t>GT</t>
  </si>
  <si>
    <t>Trái phiếu BDC</t>
  </si>
  <si>
    <t>Phí CN bán</t>
  </si>
  <si>
    <t>Min</t>
  </si>
  <si>
    <t>Số lượng</t>
  </si>
  <si>
    <t>Giá</t>
  </si>
  <si>
    <t>Ngày bán</t>
  </si>
  <si>
    <t>Phí CN</t>
  </si>
  <si>
    <t>Giá trị lệnh</t>
  </si>
  <si>
    <t>Giá trị thực nhận</t>
  </si>
  <si>
    <t>Margin CTV</t>
  </si>
  <si>
    <t>Margin RM</t>
  </si>
  <si>
    <t>Margin CBQL</t>
  </si>
  <si>
    <t>Tính trên</t>
  </si>
  <si>
    <t>MG</t>
  </si>
  <si>
    <t>Giá trị TN/1 ĐVTS</t>
  </si>
  <si>
    <t>Giá trị CK tại ngày/1 ĐVTS</t>
  </si>
  <si>
    <t>Mức CK tại ngày GD</t>
  </si>
  <si>
    <t>LN bán (%/năm)</t>
  </si>
  <si>
    <t>HH/ngày</t>
  </si>
  <si>
    <t>Margin DVKD</t>
  </si>
  <si>
    <t>GT LN TTKD/ngày</t>
  </si>
  <si>
    <t>Kỳ hạn NG</t>
  </si>
  <si>
    <t>Số ngày NG</t>
  </si>
  <si>
    <t>Số tiền phải TT/1 TS (Net)</t>
  </si>
  <si>
    <t>Số tiền phải TT/1 TS (Sau khi trừ coupon)</t>
  </si>
  <si>
    <t>Lãi coupon đã nhận</t>
  </si>
  <si>
    <t>Ngày chốt</t>
  </si>
  <si>
    <t>Phí CN nếu tính theo MG/1 ĐVTS</t>
  </si>
  <si>
    <t>Giá mua lại nếu phí CN theo MG</t>
  </si>
  <si>
    <t>Giá mua lại nếu phí CN theo GT</t>
  </si>
  <si>
    <t>Phí CN theo MG</t>
  </si>
  <si>
    <t>Phân bổ phí CN tăng/1 TS</t>
  </si>
  <si>
    <t>Giá mua lại bổ sung phí CN tăng</t>
  </si>
  <si>
    <t>Phí CN theo GT</t>
  </si>
  <si>
    <t>Thực nhận bán trước hạn</t>
  </si>
  <si>
    <t>LS đầu tư</t>
  </si>
  <si>
    <t>LN TTKD theo cách tính hiện tại</t>
  </si>
  <si>
    <t>LN TTKD tính đc hàng ngày trên HT mới</t>
  </si>
  <si>
    <t>CN</t>
  </si>
  <si>
    <t>Loại KH</t>
  </si>
  <si>
    <t>Tổng dòng tiền nhận</t>
  </si>
  <si>
    <t>Phí CN tăng thêm do dưới mức tối thiểu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</si>
</sst>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00%"/>
    <numFmt numFmtId="165" formatCode="_(* #,##0_);_(* \(#,##0\);_(* &quot;-&quot;??_);_(@_)"/>
    <numFmt numFmtId="166" formatCode="0.0%"/>
    <numFmt numFmtId="167" formatCode="0.00000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0" fillId="2" borderId="0" xfId="0" applyFill="1"/>
    <xf numFmtId="0" fontId="4" fillId="0" borderId="0" xfId="0" applyFont="1"/>
    <xf numFmtId="0" fontId="2" fillId="0" borderId="0" xfId="0" applyFont="1"/>
    <xf numFmtId="14" fontId="0" fillId="0" borderId="0" xfId="0" applyNumberFormat="1"/>
    <xf numFmtId="0" fontId="5" fillId="0" borderId="0" xfId="0" applyFont="1"/>
    <xf numFmtId="9" fontId="0" fillId="0" borderId="0" xfId="0" applyNumberFormat="1"/>
    <xf numFmtId="164" fontId="0" fillId="0" borderId="0" xfId="0" applyNumberFormat="1"/>
    <xf numFmtId="165" fontId="5" fillId="0" borderId="0" xfId="1" applyNumberFormat="1" applyFont="1"/>
    <xf numFmtId="10" fontId="5" fillId="0" borderId="0" xfId="0" applyNumberFormat="1" applyFont="1"/>
    <xf numFmtId="15" fontId="5" fillId="0" borderId="0" xfId="0" applyNumberFormat="1" applyFont="1"/>
    <xf numFmtId="165" fontId="0" fillId="0" borderId="0" xfId="1" applyNumberFormat="1" applyFont="1"/>
    <xf numFmtId="0" fontId="3" fillId="0" borderId="0" xfId="0" quotePrefix="1" applyFont="1"/>
    <xf numFmtId="10" fontId="0" fillId="0" borderId="0" xfId="0" applyNumberFormat="1"/>
    <xf numFmtId="0" fontId="4" fillId="0" borderId="0" xfId="0" applyFont="1" applyFill="1"/>
    <xf numFmtId="9" fontId="5" fillId="0" borderId="0" xfId="0" applyNumberFormat="1" applyFont="1" applyFill="1"/>
    <xf numFmtId="166" fontId="0" fillId="0" borderId="0" xfId="0" applyNumberFormat="1"/>
    <xf numFmtId="14" fontId="3" fillId="0" borderId="0" xfId="0" applyNumberFormat="1" applyFont="1"/>
    <xf numFmtId="43" fontId="0" fillId="0" borderId="0" xfId="1" applyFont="1"/>
    <xf numFmtId="0" fontId="0" fillId="0" borderId="0" xfId="0" applyFont="1"/>
    <xf numFmtId="10" fontId="1" fillId="0" borderId="0" xfId="2" applyNumberFormat="1" applyFont="1"/>
    <xf numFmtId="10" fontId="0" fillId="0" borderId="0" xfId="2" applyNumberFormat="1" applyFont="1"/>
    <xf numFmtId="10" fontId="2" fillId="0" borderId="0" xfId="2" applyNumberFormat="1" applyFont="1"/>
    <xf numFmtId="165" fontId="0" fillId="0" borderId="0" xfId="0" applyNumberFormat="1"/>
    <xf numFmtId="9" fontId="0" fillId="0" borderId="0" xfId="1" applyNumberFormat="1" applyFont="1"/>
    <xf numFmtId="10" fontId="0" fillId="0" borderId="0" xfId="1" applyNumberFormat="1" applyFont="1"/>
    <xf numFmtId="14" fontId="6" fillId="0" borderId="0" xfId="0" applyNumberFormat="1" applyFont="1" applyBorder="1" applyAlignment="1">
      <alignment horizontal="right" vertical="center"/>
    </xf>
    <xf numFmtId="10" fontId="6" fillId="0" borderId="0" xfId="0" applyNumberFormat="1" applyFont="1" applyBorder="1" applyAlignment="1">
      <alignment horizontal="right" vertical="center"/>
    </xf>
    <xf numFmtId="164" fontId="6" fillId="0" borderId="0" xfId="0" applyNumberFormat="1" applyFont="1" applyBorder="1" applyAlignment="1">
      <alignment horizontal="right" vertical="center"/>
    </xf>
    <xf numFmtId="164" fontId="0" fillId="0" borderId="0" xfId="2" applyNumberFormat="1" applyFont="1"/>
    <xf numFmtId="0" fontId="7" fillId="0" borderId="0" xfId="0" quotePrefix="1" applyFont="1"/>
    <xf numFmtId="14" fontId="7" fillId="0" borderId="0" xfId="0" applyNumberFormat="1" applyFont="1"/>
    <xf numFmtId="0" fontId="0" fillId="0" borderId="0" xfId="0" applyNumberFormat="1"/>
    <xf numFmtId="165" fontId="7" fillId="0" borderId="0" xfId="0" applyNumberFormat="1" applyFont="1"/>
    <xf numFmtId="9" fontId="0" fillId="0" borderId="0" xfId="2" applyFont="1"/>
    <xf numFmtId="43" fontId="2" fillId="0" borderId="0" xfId="1" applyFont="1"/>
    <xf numFmtId="0" fontId="2" fillId="0" borderId="0" xfId="0" applyFont="1" applyAlignment="1">
      <alignment wrapText="1"/>
    </xf>
    <xf numFmtId="43" fontId="0" fillId="0" borderId="0" xfId="0" applyNumberFormat="1"/>
    <xf numFmtId="10" fontId="2" fillId="0" borderId="0" xfId="0" applyNumberFormat="1" applyFont="1" applyAlignment="1">
      <alignment wrapText="1"/>
    </xf>
    <xf numFmtId="10" fontId="2" fillId="3" borderId="0" xfId="0" applyNumberFormat="1" applyFont="1" applyFill="1" applyAlignment="1">
      <alignment wrapText="1"/>
    </xf>
    <xf numFmtId="165" fontId="0" fillId="3" borderId="0" xfId="0" applyNumberFormat="1" applyFill="1"/>
    <xf numFmtId="165" fontId="0" fillId="3" borderId="0" xfId="1" applyNumberFormat="1" applyFont="1" applyFill="1"/>
    <xf numFmtId="10" fontId="2" fillId="4" borderId="0" xfId="0" applyNumberFormat="1" applyFont="1" applyFill="1" applyAlignment="1">
      <alignment wrapText="1"/>
    </xf>
    <xf numFmtId="165" fontId="0" fillId="4" borderId="0" xfId="1" applyNumberFormat="1" applyFont="1" applyFill="1"/>
    <xf numFmtId="165" fontId="0" fillId="4" borderId="0" xfId="0" applyNumberFormat="1" applyFill="1"/>
    <xf numFmtId="0" fontId="2" fillId="3" borderId="0" xfId="0" applyFont="1" applyFill="1" applyAlignment="1">
      <alignment wrapText="1"/>
    </xf>
    <xf numFmtId="43" fontId="7" fillId="3" borderId="0" xfId="0" applyNumberFormat="1" applyFont="1" applyFill="1"/>
    <xf numFmtId="167" fontId="7" fillId="0" borderId="0" xfId="0" applyNumberFormat="1" applyFont="1"/>
    <xf numFmtId="167" fontId="7" fillId="3" borderId="0" xfId="2" applyNumberFormat="1" applyFont="1" applyFill="1"/>
    <xf numFmtId="0" fontId="2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7"/>
  <sheetViews>
    <sheetView workbookViewId="0">
      <selection activeCell="K14" sqref="K14"/>
    </sheetView>
  </sheetViews>
  <sheetFormatPr defaultRowHeight="15" x14ac:dyDescent="0.25"/>
  <cols>
    <col min="1" max="1" width="22.28515625" bestFit="1" customWidth="1"/>
    <col min="2" max="2" width="11.5703125" bestFit="1" customWidth="1"/>
    <col min="3" max="3" width="3.5703125" style="2" customWidth="1"/>
    <col min="4" max="4" width="12.85546875" customWidth="1"/>
    <col min="5" max="5" width="10.7109375" customWidth="1"/>
    <col min="6" max="6" width="11.7109375" customWidth="1"/>
    <col min="7" max="7" width="11.5703125" customWidth="1"/>
    <col min="8" max="8" width="13.28515625" bestFit="1" customWidth="1"/>
    <col min="9" max="9" width="11.85546875" customWidth="1"/>
    <col min="10" max="10" width="12.140625" customWidth="1"/>
    <col min="11" max="11" width="14.42578125" bestFit="1" customWidth="1"/>
    <col min="12" max="13" width="10.5703125" bestFit="1" customWidth="1"/>
    <col min="14" max="14" width="11.42578125" customWidth="1"/>
    <col min="15" max="15" width="11.5703125" customWidth="1"/>
    <col min="16" max="16" width="10.7109375" bestFit="1" customWidth="1"/>
    <col min="17" max="17" width="16.85546875" bestFit="1" customWidth="1"/>
    <col min="18" max="18" width="10.7109375" bestFit="1" customWidth="1"/>
    <col min="19" max="19" width="21.42578125" bestFit="1" customWidth="1"/>
  </cols>
  <sheetData>
    <row r="1" spans="1:19" x14ac:dyDescent="0.25">
      <c r="A1" s="1" t="s">
        <v>47</v>
      </c>
      <c r="D1" s="1" t="s">
        <v>0</v>
      </c>
    </row>
    <row r="2" spans="1:19" ht="15.75" x14ac:dyDescent="0.25">
      <c r="A2" s="3" t="s">
        <v>1</v>
      </c>
      <c r="B2" s="3" t="s">
        <v>2</v>
      </c>
      <c r="D2" s="4" t="s">
        <v>3</v>
      </c>
      <c r="E2" s="5">
        <v>43733</v>
      </c>
      <c r="F2" s="5">
        <v>43824</v>
      </c>
      <c r="G2" s="5">
        <v>43915</v>
      </c>
      <c r="H2" s="5">
        <v>44007</v>
      </c>
      <c r="I2" s="5">
        <v>44099</v>
      </c>
      <c r="J2" s="5">
        <v>44190</v>
      </c>
      <c r="K2" s="5">
        <v>44280</v>
      </c>
      <c r="L2" s="5">
        <v>44372</v>
      </c>
      <c r="M2" s="5">
        <v>44464</v>
      </c>
      <c r="N2" s="5">
        <v>44555</v>
      </c>
      <c r="O2" s="5">
        <v>44645</v>
      </c>
      <c r="P2" s="5">
        <v>44737</v>
      </c>
    </row>
    <row r="3" spans="1:19" ht="15.75" x14ac:dyDescent="0.25">
      <c r="A3" s="6" t="s">
        <v>4</v>
      </c>
      <c r="B3" s="6"/>
      <c r="D3" s="4" t="s">
        <v>5</v>
      </c>
      <c r="E3" s="8">
        <f>B5</f>
        <v>0.11</v>
      </c>
      <c r="F3" s="8">
        <v>0.114</v>
      </c>
      <c r="G3" s="8">
        <v>0.113</v>
      </c>
      <c r="H3" s="8">
        <v>0.1125</v>
      </c>
      <c r="I3" s="8">
        <v>0.11</v>
      </c>
      <c r="J3" s="8">
        <v>0.105</v>
      </c>
      <c r="K3" s="8">
        <v>0.105</v>
      </c>
      <c r="L3" s="8">
        <v>0.105</v>
      </c>
      <c r="M3" s="8">
        <v>0.105</v>
      </c>
      <c r="N3" s="8">
        <v>0.105</v>
      </c>
      <c r="O3" s="8">
        <v>0.105</v>
      </c>
      <c r="P3" s="8">
        <v>0.105</v>
      </c>
    </row>
    <row r="4" spans="1:19" ht="15.75" x14ac:dyDescent="0.25">
      <c r="A4" s="6" t="s">
        <v>6</v>
      </c>
      <c r="B4" s="9">
        <v>1000000</v>
      </c>
    </row>
    <row r="5" spans="1:19" ht="15.75" x14ac:dyDescent="0.25">
      <c r="A5" s="6" t="s">
        <v>7</v>
      </c>
      <c r="B5" s="10">
        <v>0.11</v>
      </c>
    </row>
    <row r="6" spans="1:19" ht="15.75" x14ac:dyDescent="0.25">
      <c r="A6" s="6" t="s">
        <v>8</v>
      </c>
      <c r="B6" s="6">
        <v>4</v>
      </c>
      <c r="D6" s="1" t="s">
        <v>9</v>
      </c>
    </row>
    <row r="7" spans="1:19" ht="15.75" x14ac:dyDescent="0.25">
      <c r="A7" s="6" t="s">
        <v>10</v>
      </c>
      <c r="B7" s="11">
        <v>43641</v>
      </c>
      <c r="D7" s="4" t="s">
        <v>3</v>
      </c>
      <c r="E7" s="5">
        <v>43733</v>
      </c>
      <c r="F7" s="5">
        <v>43824</v>
      </c>
      <c r="G7" s="5">
        <v>43915</v>
      </c>
      <c r="H7" s="5">
        <v>44007</v>
      </c>
      <c r="I7" s="5">
        <v>44099</v>
      </c>
      <c r="J7" s="5">
        <v>44190</v>
      </c>
      <c r="K7" s="5">
        <v>44280</v>
      </c>
      <c r="L7" s="5">
        <v>44372</v>
      </c>
      <c r="M7" s="5">
        <v>44464</v>
      </c>
      <c r="N7" s="5">
        <v>44555</v>
      </c>
      <c r="O7" s="5">
        <v>44645</v>
      </c>
      <c r="P7" s="5">
        <v>44737</v>
      </c>
    </row>
    <row r="8" spans="1:19" ht="15.75" x14ac:dyDescent="0.25">
      <c r="A8" s="6" t="s">
        <v>11</v>
      </c>
      <c r="B8" s="11">
        <v>44737</v>
      </c>
      <c r="D8" s="4" t="s">
        <v>12</v>
      </c>
      <c r="E8" s="8">
        <f>E3</f>
        <v>0.11</v>
      </c>
      <c r="F8" s="8">
        <f t="shared" ref="F8:P8" si="0">F3</f>
        <v>0.114</v>
      </c>
      <c r="G8" s="8">
        <f t="shared" si="0"/>
        <v>0.113</v>
      </c>
      <c r="H8" s="8">
        <f t="shared" si="0"/>
        <v>0.1125</v>
      </c>
      <c r="I8" s="8">
        <f t="shared" si="0"/>
        <v>0.11</v>
      </c>
      <c r="J8" s="8">
        <f t="shared" si="0"/>
        <v>0.105</v>
      </c>
      <c r="K8" s="8">
        <f t="shared" si="0"/>
        <v>0.105</v>
      </c>
      <c r="L8" s="8">
        <f t="shared" si="0"/>
        <v>0.105</v>
      </c>
      <c r="M8" s="8">
        <f t="shared" si="0"/>
        <v>0.105</v>
      </c>
      <c r="N8" s="8">
        <f t="shared" si="0"/>
        <v>0.105</v>
      </c>
      <c r="O8" s="8">
        <f t="shared" si="0"/>
        <v>0.105</v>
      </c>
      <c r="P8" s="8">
        <f t="shared" si="0"/>
        <v>0.105</v>
      </c>
    </row>
    <row r="9" spans="1:19" ht="15.75" x14ac:dyDescent="0.25">
      <c r="A9" s="6" t="s">
        <v>22</v>
      </c>
      <c r="B9" s="6">
        <v>365</v>
      </c>
      <c r="D9" s="4" t="s">
        <v>13</v>
      </c>
      <c r="E9" s="12">
        <f>ROUND($B$4*E$8/$B$9*($E$7-$B$7),0)</f>
        <v>27726</v>
      </c>
      <c r="F9" s="12">
        <f t="shared" ref="F9:P9" si="1">ROUND($B$4*F$8/$B$9*(F7-E7),0)</f>
        <v>28422</v>
      </c>
      <c r="G9" s="12">
        <f t="shared" si="1"/>
        <v>28173</v>
      </c>
      <c r="H9" s="12">
        <f t="shared" si="1"/>
        <v>28356</v>
      </c>
      <c r="I9" s="12">
        <f t="shared" si="1"/>
        <v>27726</v>
      </c>
      <c r="J9" s="12">
        <f t="shared" si="1"/>
        <v>26178</v>
      </c>
      <c r="K9" s="12">
        <f t="shared" si="1"/>
        <v>25890</v>
      </c>
      <c r="L9" s="12">
        <f t="shared" si="1"/>
        <v>26466</v>
      </c>
      <c r="M9" s="12">
        <f t="shared" si="1"/>
        <v>26466</v>
      </c>
      <c r="N9" s="12">
        <f t="shared" si="1"/>
        <v>26178</v>
      </c>
      <c r="O9" s="12">
        <f t="shared" si="1"/>
        <v>25890</v>
      </c>
      <c r="P9" s="12">
        <f t="shared" si="1"/>
        <v>26466</v>
      </c>
    </row>
    <row r="10" spans="1:19" ht="15.75" x14ac:dyDescent="0.25">
      <c r="A10" s="15" t="s">
        <v>28</v>
      </c>
      <c r="B10" s="16">
        <v>0.05</v>
      </c>
      <c r="D10" s="4" t="s">
        <v>30</v>
      </c>
      <c r="E10" s="12">
        <f t="shared" ref="E10:P10" si="2">ROUND(E9*$B$10,0)</f>
        <v>1386</v>
      </c>
      <c r="F10" s="12">
        <f t="shared" si="2"/>
        <v>1421</v>
      </c>
      <c r="G10" s="12">
        <f t="shared" si="2"/>
        <v>1409</v>
      </c>
      <c r="H10" s="12">
        <f t="shared" si="2"/>
        <v>1418</v>
      </c>
      <c r="I10" s="12">
        <f t="shared" si="2"/>
        <v>1386</v>
      </c>
      <c r="J10" s="12">
        <f t="shared" si="2"/>
        <v>1309</v>
      </c>
      <c r="K10" s="12">
        <f t="shared" si="2"/>
        <v>1295</v>
      </c>
      <c r="L10" s="12">
        <f t="shared" si="2"/>
        <v>1323</v>
      </c>
      <c r="M10" s="12">
        <f t="shared" si="2"/>
        <v>1323</v>
      </c>
      <c r="N10" s="12">
        <f t="shared" si="2"/>
        <v>1309</v>
      </c>
      <c r="O10" s="12">
        <f t="shared" si="2"/>
        <v>1295</v>
      </c>
      <c r="P10" s="12">
        <f t="shared" si="2"/>
        <v>1323</v>
      </c>
    </row>
    <row r="11" spans="1:19" ht="15.75" x14ac:dyDescent="0.25">
      <c r="A11" s="6" t="s">
        <v>29</v>
      </c>
      <c r="B11" s="17">
        <v>4.4999999999999998E-2</v>
      </c>
    </row>
    <row r="12" spans="1:19" ht="15.75" x14ac:dyDescent="0.25">
      <c r="A12" s="6" t="s">
        <v>31</v>
      </c>
      <c r="B12" s="12">
        <v>600000</v>
      </c>
      <c r="D12" s="1" t="s">
        <v>14</v>
      </c>
      <c r="E12" s="13">
        <v>0</v>
      </c>
      <c r="F12" s="1">
        <v>1</v>
      </c>
      <c r="G12" s="1">
        <v>2</v>
      </c>
      <c r="H12" s="1">
        <v>3</v>
      </c>
      <c r="I12" s="1">
        <v>6</v>
      </c>
      <c r="J12" s="1">
        <v>9</v>
      </c>
      <c r="K12" s="1">
        <v>12</v>
      </c>
      <c r="L12" s="1">
        <v>15</v>
      </c>
      <c r="M12" s="1" t="s">
        <v>15</v>
      </c>
      <c r="N12" s="1" t="s">
        <v>16</v>
      </c>
      <c r="O12" s="1" t="s">
        <v>17</v>
      </c>
      <c r="P12" s="1" t="s">
        <v>18</v>
      </c>
      <c r="Q12" s="1" t="s">
        <v>19</v>
      </c>
      <c r="R12" s="1" t="s">
        <v>20</v>
      </c>
      <c r="S12" s="1" t="s">
        <v>21</v>
      </c>
    </row>
    <row r="13" spans="1:19" ht="15.75" x14ac:dyDescent="0.25">
      <c r="A13" s="6" t="s">
        <v>27</v>
      </c>
      <c r="B13" s="14">
        <v>1.2E-2</v>
      </c>
      <c r="D13" s="4" t="s">
        <v>23</v>
      </c>
      <c r="E13" s="14">
        <v>0</v>
      </c>
      <c r="F13" s="14">
        <v>0.05</v>
      </c>
      <c r="G13" s="14">
        <v>5.5E-2</v>
      </c>
      <c r="H13" s="14">
        <v>6.8000000000000005E-2</v>
      </c>
      <c r="I13" s="14">
        <v>7.9000000000000001E-2</v>
      </c>
      <c r="J13" s="14">
        <v>8.3000000000000004E-2</v>
      </c>
      <c r="K13" s="14">
        <v>8.4500000000000006E-2</v>
      </c>
      <c r="L13" s="14">
        <v>8.4500000000000006E-2</v>
      </c>
      <c r="M13" t="s">
        <v>24</v>
      </c>
      <c r="N13" t="s">
        <v>25</v>
      </c>
      <c r="O13" s="14"/>
      <c r="P13" s="14"/>
      <c r="Q13" s="5">
        <v>43800</v>
      </c>
      <c r="R13" s="5">
        <v>44706</v>
      </c>
    </row>
    <row r="14" spans="1:19" ht="15.75" x14ac:dyDescent="0.25">
      <c r="A14" s="6"/>
      <c r="B14" s="9"/>
      <c r="D14" s="4" t="s">
        <v>26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14">
        <v>0</v>
      </c>
      <c r="K14" s="14">
        <v>0</v>
      </c>
      <c r="L14" s="14">
        <v>0</v>
      </c>
      <c r="M14" t="s">
        <v>24</v>
      </c>
      <c r="N14" t="s">
        <v>27</v>
      </c>
      <c r="O14" s="14">
        <v>0.01</v>
      </c>
      <c r="P14" s="14">
        <v>0.01</v>
      </c>
      <c r="Q14" s="5">
        <v>43647</v>
      </c>
      <c r="R14" s="5">
        <v>44713</v>
      </c>
    </row>
    <row r="15" spans="1:19" x14ac:dyDescent="0.25">
      <c r="D15" s="4"/>
      <c r="E15" s="14"/>
      <c r="F15" s="14"/>
      <c r="G15" s="14"/>
      <c r="H15" s="14"/>
      <c r="I15" s="14"/>
      <c r="J15" s="14"/>
      <c r="K15" s="14"/>
      <c r="L15" s="14"/>
      <c r="O15" s="14"/>
      <c r="P15" s="14"/>
      <c r="Q15" s="5"/>
      <c r="R15" s="5"/>
      <c r="S15" s="5"/>
    </row>
    <row r="16" spans="1:19" x14ac:dyDescent="0.25">
      <c r="D16" s="4"/>
      <c r="E16" s="14"/>
      <c r="F16" s="14"/>
      <c r="G16" s="14"/>
      <c r="H16" s="14"/>
      <c r="I16" s="14"/>
      <c r="J16" s="14"/>
      <c r="K16" s="14"/>
      <c r="L16" s="14"/>
      <c r="O16" s="14"/>
      <c r="P16" s="14"/>
      <c r="Q16" s="5"/>
      <c r="R16" s="5"/>
      <c r="S16" s="5"/>
    </row>
    <row r="17" spans="1:19" x14ac:dyDescent="0.25">
      <c r="D17" s="4"/>
      <c r="E17" s="14"/>
      <c r="F17" s="14"/>
      <c r="G17" s="14"/>
      <c r="H17" s="14"/>
      <c r="I17" s="14"/>
      <c r="J17" s="14"/>
      <c r="K17" s="14"/>
      <c r="L17" s="14"/>
      <c r="O17" s="14"/>
      <c r="P17" s="14"/>
      <c r="Q17" s="5"/>
      <c r="R17" s="5"/>
    </row>
    <row r="19" spans="1:19" x14ac:dyDescent="0.25">
      <c r="D19" s="4"/>
      <c r="E19" s="14"/>
      <c r="F19" s="14"/>
      <c r="G19" s="14"/>
      <c r="H19" s="14"/>
      <c r="I19" s="14"/>
      <c r="J19" s="14"/>
      <c r="K19" s="14"/>
      <c r="L19" s="14"/>
      <c r="O19" s="14"/>
      <c r="P19" s="14"/>
      <c r="Q19" s="5"/>
      <c r="R19" s="5"/>
      <c r="S19" s="5"/>
    </row>
    <row r="20" spans="1:19" x14ac:dyDescent="0.25">
      <c r="A20" s="4"/>
    </row>
    <row r="21" spans="1:19" x14ac:dyDescent="0.25">
      <c r="A21" s="27"/>
      <c r="B21" s="28"/>
      <c r="D21" s="18"/>
      <c r="F21" s="4"/>
      <c r="J21" s="4"/>
    </row>
    <row r="22" spans="1:19" x14ac:dyDescent="0.25">
      <c r="A22" s="27"/>
      <c r="B22" s="28"/>
      <c r="E22" s="4"/>
      <c r="F22" s="4"/>
      <c r="G22" s="4"/>
      <c r="J22" s="4"/>
      <c r="L22" s="19"/>
    </row>
    <row r="23" spans="1:19" x14ac:dyDescent="0.25">
      <c r="A23" s="27"/>
      <c r="B23" s="29"/>
      <c r="E23" s="20"/>
      <c r="F23" s="20"/>
    </row>
    <row r="24" spans="1:19" x14ac:dyDescent="0.25">
      <c r="D24" s="4"/>
      <c r="E24" s="20"/>
      <c r="F24" s="21"/>
    </row>
    <row r="25" spans="1:19" x14ac:dyDescent="0.25">
      <c r="D25" s="4"/>
      <c r="E25" s="22"/>
      <c r="F25" s="22"/>
    </row>
    <row r="26" spans="1:19" x14ac:dyDescent="0.25">
      <c r="D26" s="4"/>
      <c r="E26" s="22"/>
      <c r="F26" s="22"/>
    </row>
    <row r="27" spans="1:19" x14ac:dyDescent="0.25">
      <c r="D27" s="4"/>
      <c r="E27" s="23"/>
      <c r="F27" s="12"/>
      <c r="G27" s="12"/>
      <c r="J27" s="12"/>
    </row>
    <row r="28" spans="1:19" x14ac:dyDescent="0.25">
      <c r="E28" s="23"/>
      <c r="F28" s="12"/>
      <c r="G28" s="12"/>
      <c r="J28" s="12"/>
    </row>
    <row r="29" spans="1:19" x14ac:dyDescent="0.25">
      <c r="D29" s="4"/>
      <c r="E29" s="4"/>
      <c r="F29" s="12"/>
      <c r="G29" s="12"/>
      <c r="H29" s="5"/>
    </row>
    <row r="30" spans="1:19" x14ac:dyDescent="0.25">
      <c r="E30" s="4"/>
      <c r="F30" s="12"/>
      <c r="G30" s="12"/>
      <c r="H30" s="8"/>
    </row>
    <row r="31" spans="1:19" x14ac:dyDescent="0.25">
      <c r="E31" s="4"/>
      <c r="F31" s="12"/>
      <c r="G31" s="12"/>
      <c r="H31" s="12"/>
      <c r="J31" s="24"/>
    </row>
    <row r="32" spans="1:19" x14ac:dyDescent="0.25">
      <c r="E32" s="4"/>
      <c r="F32" s="24"/>
      <c r="G32" s="24"/>
      <c r="H32" s="24"/>
    </row>
    <row r="35" spans="5:17" x14ac:dyDescent="0.25"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5:17" x14ac:dyDescent="0.25">
      <c r="E36" s="4"/>
      <c r="F36" s="4"/>
      <c r="G36" s="12"/>
      <c r="H36" s="12"/>
      <c r="I36" s="12"/>
      <c r="J36" s="25"/>
      <c r="K36" s="12"/>
      <c r="L36" s="26"/>
      <c r="M36" s="12"/>
      <c r="N36" s="24"/>
      <c r="O36" s="7"/>
      <c r="Q36" s="12"/>
    </row>
    <row r="37" spans="5:17" x14ac:dyDescent="0.25">
      <c r="F37" s="4"/>
      <c r="G37" s="12"/>
      <c r="H37" s="12"/>
      <c r="I37" s="12"/>
      <c r="J37" s="25"/>
      <c r="K37" s="12"/>
      <c r="L37" s="26"/>
      <c r="M37" s="12"/>
      <c r="N37" s="24"/>
      <c r="O37" s="7"/>
      <c r="Q37" s="12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E3" sqref="E3"/>
    </sheetView>
  </sheetViews>
  <sheetFormatPr defaultColWidth="9.140625" defaultRowHeight="15" x14ac:dyDescent="0.25"/>
  <cols>
    <col min="1" max="1" width="16.7109375" style="19" bestFit="1" customWidth="1"/>
    <col min="2" max="2" width="9.28515625" style="19" bestFit="1" customWidth="1"/>
    <col min="3" max="3" width="10.5703125" style="19" bestFit="1" customWidth="1"/>
    <col min="4" max="16384" width="9.140625" style="19"/>
  </cols>
  <sheetData>
    <row r="1" spans="1:5" x14ac:dyDescent="0.25">
      <c r="B1" s="36" t="s">
        <v>41</v>
      </c>
      <c r="C1" s="36" t="s">
        <v>49</v>
      </c>
      <c r="D1" s="36" t="s">
        <v>45</v>
      </c>
      <c r="E1" s="36" t="s">
        <v>59</v>
      </c>
    </row>
    <row r="2" spans="1:5" x14ac:dyDescent="0.25">
      <c r="A2" s="36" t="s">
        <v>48</v>
      </c>
      <c r="B2" s="30">
        <v>1.4999999999999999E-4</v>
      </c>
      <c r="C2" s="19">
        <v>50000</v>
      </c>
      <c r="E2" s="19" t="s">
        <v>46</v>
      </c>
    </row>
    <row r="3" spans="1:5" x14ac:dyDescent="0.25">
      <c r="A3" s="36" t="s">
        <v>42</v>
      </c>
      <c r="B3" s="26">
        <v>1E-3</v>
      </c>
      <c r="C3" s="19">
        <v>0</v>
      </c>
    </row>
    <row r="4" spans="1:5" x14ac:dyDescent="0.25">
      <c r="A4" s="36" t="s">
        <v>56</v>
      </c>
      <c r="B4" s="35">
        <v>0</v>
      </c>
      <c r="C4" s="19">
        <v>0</v>
      </c>
      <c r="D4" s="19">
        <v>365</v>
      </c>
      <c r="E4" s="19" t="s">
        <v>60</v>
      </c>
    </row>
    <row r="5" spans="1:5" x14ac:dyDescent="0.25">
      <c r="A5" s="36" t="s">
        <v>57</v>
      </c>
      <c r="B5" s="26">
        <v>2E-3</v>
      </c>
      <c r="C5" s="19">
        <v>0</v>
      </c>
      <c r="D5" s="19">
        <v>365</v>
      </c>
      <c r="E5" s="19" t="s">
        <v>60</v>
      </c>
    </row>
    <row r="6" spans="1:5" x14ac:dyDescent="0.25">
      <c r="A6" s="36" t="s">
        <v>58</v>
      </c>
      <c r="B6" s="25">
        <v>0</v>
      </c>
      <c r="C6" s="19">
        <v>0</v>
      </c>
      <c r="D6" s="19">
        <v>365</v>
      </c>
      <c r="E6" s="19" t="s">
        <v>60</v>
      </c>
    </row>
    <row r="7" spans="1:5" x14ac:dyDescent="0.25">
      <c r="A7" s="36" t="s">
        <v>66</v>
      </c>
      <c r="B7" s="26">
        <v>1E-3</v>
      </c>
      <c r="C7" s="19">
        <v>0</v>
      </c>
      <c r="D7" s="19">
        <v>365</v>
      </c>
      <c r="E7" s="19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tabSelected="1" workbookViewId="0">
      <selection activeCell="E38" sqref="E38"/>
    </sheetView>
  </sheetViews>
  <sheetFormatPr defaultRowHeight="15" x14ac:dyDescent="0.25"/>
  <cols>
    <col min="2" max="2" width="12.28515625" bestFit="1" customWidth="1"/>
    <col min="3" max="3" width="16.7109375" customWidth="1"/>
    <col min="4" max="4" width="11" bestFit="1" customWidth="1"/>
    <col min="5" max="5" width="10.7109375" bestFit="1" customWidth="1"/>
    <col min="6" max="6" width="14.28515625" bestFit="1" customWidth="1"/>
    <col min="7" max="7" width="15.7109375" customWidth="1"/>
    <col min="8" max="8" width="16" bestFit="1" customWidth="1"/>
    <col min="9" max="9" width="16.42578125" bestFit="1" customWidth="1"/>
    <col min="10" max="10" width="12.85546875" bestFit="1" customWidth="1"/>
    <col min="11" max="11" width="15.28515625" bestFit="1" customWidth="1"/>
    <col min="12" max="13" width="13.28515625" bestFit="1" customWidth="1"/>
    <col min="14" max="14" width="12.5703125" bestFit="1" customWidth="1"/>
    <col min="15" max="16" width="14.28515625" bestFit="1" customWidth="1"/>
  </cols>
  <sheetData>
    <row r="1" spans="1:16" x14ac:dyDescent="0.25">
      <c r="A1" s="1" t="s">
        <v>3</v>
      </c>
      <c r="B1" s="32">
        <v>44173</v>
      </c>
    </row>
    <row r="3" spans="1:16" x14ac:dyDescent="0.25">
      <c r="A3" s="1" t="s">
        <v>34</v>
      </c>
    </row>
    <row r="4" spans="1:16" x14ac:dyDescent="0.25">
      <c r="B4" s="1" t="s">
        <v>32</v>
      </c>
      <c r="C4" s="4" t="s">
        <v>35</v>
      </c>
      <c r="D4" s="33">
        <f>'TP BDC'!$B$8-$B$1</f>
        <v>564</v>
      </c>
      <c r="F4" s="4" t="s">
        <v>36</v>
      </c>
      <c r="G4">
        <f>DATEDIF($B$1,'TP BDC'!$B$8,"M")</f>
        <v>18</v>
      </c>
      <c r="I4" s="4" t="s">
        <v>37</v>
      </c>
      <c r="J4" s="12">
        <f>ROUND(IF($B$1&lt;'TP BDC'!$E$7,'TP BDC'!$B$4*'TP BDC'!$E$8/'TP BDC'!$B$9*($B$1-'TP BDC'!$B$7),0)+IF(AND($B$1&gt;='TP BDC'!$E$7,$B$1&lt;'TP BDC'!$F$7),'TP BDC'!$B$4*'TP BDC'!$F$8/'TP BDC'!$B$9*($B$1-'TP BDC'!$E$7),0)+IF(AND($B$1&gt;='TP BDC'!$F$7,$B$1&lt;'TP BDC'!$G$7),'TP BDC'!$B$4*'TP BDC'!$G$8/'TP BDC'!$B$9*($B$1-'TP BDC'!$F$7),0)+IF(AND($B$1&gt;='TP BDC'!$G$7,$B$1&lt;'TP BDC'!$H$7),'TP BDC'!$B$4*'TP BDC'!$H$8/'TP BDC'!$B$9*($B$1-'TP BDC'!$G$7),0)+IF(AND($B$1&gt;='TP BDC'!$H$7,$B$1&lt;'TP BDC'!$I$7),'TP BDC'!$B$4*'TP BDC'!$I$8/'TP BDC'!$B$9*($B$1-'TP BDC'!$H$7),0)+IF(AND($B$1&gt;='TP BDC'!$I$7,$B$1&lt;'TP BDC'!$J$7),'TP BDC'!$B$4*'TP BDC'!$J$8/'TP BDC'!$B$9*($B$1-'TP BDC'!$I$7),0)+IF(AND($B$1&gt;='TP BDC'!$J$7,$B$1&lt;'TP BDC'!$K$7),'TP BDC'!$B$4*'TP BDC'!$K$8/'TP BDC'!$B$9*($B$1-'TP BDC'!$J$7),0)+IF(AND($B$1&gt;='TP BDC'!$K$7,$B$1&lt;'TP BDC'!$L$7),'TP BDC'!$B$4*'TP BDC'!$L$8/'TP BDC'!$B$9*($B$1-'TP BDC'!$K$7),0)+IF(AND($B$1&gt;='TP BDC'!$L$7,$B$1&lt;'TP BDC'!$M$7),'TP BDC'!$B$4*'TP BDC'!$M$8/'TP BDC'!$B$9*($B$1-'TP BDC'!$L$7),0)+IF(AND($B$1&gt;='TP BDC'!$M$7,$B$1&lt;'TP BDC'!$N$7),'TP BDC'!$B$4*'TP BDC'!$N$8/'TP BDC'!$B$9*($B$1-'TP BDC'!$M$7),0)+IF(AND($B$1&gt;='TP BDC'!$N$7,$B$1&lt;'TP BDC'!$O$7),'TP BDC'!$B$4*'TP BDC'!$O$8/'TP BDC'!$B$9*($B$1-'TP BDC'!$N$7),0)+IF(AND($B$1&gt;='TP BDC'!$O$7,$B$1&lt;'TP BDC'!$P$7),'TP BDC'!$B$4*'TP BDC'!$P$8/'TP BDC'!$B$9*($B$1-'TP BDC'!$O$7),0),0)</f>
        <v>21288</v>
      </c>
      <c r="L4" s="4" t="s">
        <v>87</v>
      </c>
      <c r="M4" s="38">
        <f>SUM(D15:O15)*(1-'TP BDC'!$B$10)+P15</f>
        <v>1174357.3</v>
      </c>
    </row>
    <row r="7" spans="1:16" x14ac:dyDescent="0.25">
      <c r="C7" s="4"/>
      <c r="D7" s="4" t="s">
        <v>25</v>
      </c>
      <c r="E7" s="4" t="s">
        <v>27</v>
      </c>
      <c r="F7" s="4" t="s">
        <v>39</v>
      </c>
      <c r="G7" s="4" t="s">
        <v>40</v>
      </c>
    </row>
    <row r="8" spans="1:16" x14ac:dyDescent="0.25">
      <c r="C8" s="4" t="s">
        <v>23</v>
      </c>
      <c r="D8" s="22">
        <f>IF(AND($G$4&gt;='TP BDC'!$E$12, $G$4 &lt;'TP BDC'!$F$12),'TP BDC'!$E13,0) + IF(AND($G$4&gt;='TP BDC'!$F$12, $G$4 &lt;'TP BDC'!$G$12),'TP BDC'!$F13,0) + IF(AND($G$4&gt;='TP BDC'!$G$12, $G$4 &lt;'TP BDC'!$H$12),'TP BDC'!$G13,0) + IF(AND($G$4&gt;='TP BDC'!$H$12, $G$4 &lt;'TP BDC'!$I$12),'TP BDC'!$H13,0) + IF(AND($G$4&gt;='TP BDC'!$I$12, $G$4 &lt;'TP BDC'!$J$12),'TP BDC'!$I13,0) + IF(AND($G$4&gt;='TP BDC'!$J$12, $G$4 &lt;'TP BDC'!$K$12),'TP BDC'!$J13,0) + IF(AND($G$4&gt;='TP BDC'!$K$12,$G$4 &lt;'TP BDC'!$L$12),'TP BDC'!$K13,0) + IF($G$4 &gt;= 'TP BDC'!$L$12,'TP BDC'!$L13,0)</f>
        <v>8.4500000000000006E-2</v>
      </c>
      <c r="E8" s="22">
        <f>ROUND(('TP BDC'!$O13+('TP BDC'!$P13-'TP BDC'!$O13)/('TP BDC'!$R13-'TP BDC'!$Q13)*($B$1-'TP BDC'!$Q13))*100,2)/100</f>
        <v>0</v>
      </c>
      <c r="F8" s="20" t="s">
        <v>25</v>
      </c>
      <c r="G8" s="34">
        <f>ROUND(IF(F8="PV",SUM($D$19:$P$19),0) + IF(F8="LSKH",'TP BDC'!$B$9 * (SUM($D$15:$O$15) * (1-'TP BDC'!$B$10)+$P$15) / ('TP BDC'!$B$9 + D8 * $D$4),0) + IF(F8="LSCK",'TP BDC'!$B$4 + $J$4 + 'TP BDC'!$B$4 * E8 / 'TP BDC'!$B$9 * $D$4,0),0)</f>
        <v>1038730</v>
      </c>
      <c r="I8" s="31" t="s">
        <v>33</v>
      </c>
    </row>
    <row r="9" spans="1:16" x14ac:dyDescent="0.25">
      <c r="C9" s="4"/>
      <c r="D9" s="22"/>
      <c r="E9" s="22"/>
      <c r="F9" s="20"/>
      <c r="G9" s="34"/>
    </row>
    <row r="10" spans="1:16" x14ac:dyDescent="0.25">
      <c r="C10" s="4"/>
      <c r="D10" s="22"/>
      <c r="E10" s="22"/>
      <c r="F10" s="20"/>
    </row>
    <row r="11" spans="1:16" x14ac:dyDescent="0.25">
      <c r="P11" s="4" t="s">
        <v>38</v>
      </c>
    </row>
    <row r="12" spans="1:16" x14ac:dyDescent="0.25">
      <c r="C12" s="4" t="s">
        <v>3</v>
      </c>
      <c r="D12" s="5">
        <v>43733</v>
      </c>
      <c r="E12" s="5">
        <v>43824</v>
      </c>
      <c r="F12" s="5">
        <v>43915</v>
      </c>
      <c r="G12" s="5">
        <v>44007</v>
      </c>
      <c r="H12" s="5">
        <v>44099</v>
      </c>
      <c r="I12" s="5">
        <v>44190</v>
      </c>
      <c r="J12" s="5">
        <v>44280</v>
      </c>
      <c r="K12" s="5">
        <v>44372</v>
      </c>
      <c r="L12" s="5">
        <v>44464</v>
      </c>
      <c r="M12" s="5">
        <v>44555</v>
      </c>
      <c r="N12" s="5">
        <v>44645</v>
      </c>
      <c r="O12" s="5">
        <v>44737</v>
      </c>
      <c r="P12" s="5">
        <v>44737</v>
      </c>
    </row>
    <row r="13" spans="1:16" x14ac:dyDescent="0.25">
      <c r="C13" s="4" t="s">
        <v>73</v>
      </c>
      <c r="D13" s="5">
        <f>D12-7</f>
        <v>43726</v>
      </c>
      <c r="E13" s="5">
        <f t="shared" ref="E13:O13" si="0">E12-7</f>
        <v>43817</v>
      </c>
      <c r="F13" s="5">
        <f t="shared" si="0"/>
        <v>43908</v>
      </c>
      <c r="G13" s="5">
        <f t="shared" si="0"/>
        <v>44000</v>
      </c>
      <c r="H13" s="5">
        <f t="shared" si="0"/>
        <v>44092</v>
      </c>
      <c r="I13" s="5">
        <f t="shared" si="0"/>
        <v>44183</v>
      </c>
      <c r="J13" s="5">
        <f t="shared" si="0"/>
        <v>44273</v>
      </c>
      <c r="K13" s="5">
        <f t="shared" si="0"/>
        <v>44365</v>
      </c>
      <c r="L13" s="5">
        <f t="shared" si="0"/>
        <v>44457</v>
      </c>
      <c r="M13" s="5">
        <f t="shared" si="0"/>
        <v>44548</v>
      </c>
      <c r="N13" s="5">
        <f t="shared" si="0"/>
        <v>44638</v>
      </c>
      <c r="O13" s="5">
        <f t="shared" si="0"/>
        <v>44730</v>
      </c>
      <c r="P13" s="5"/>
    </row>
    <row r="14" spans="1:16" x14ac:dyDescent="0.25">
      <c r="C14" s="4" t="s">
        <v>12</v>
      </c>
      <c r="D14" s="8">
        <f>'TP BDC'!E8</f>
        <v>0.11</v>
      </c>
      <c r="E14" s="8">
        <f>IF($B$1&gt;D12,'TP BDC'!F8,D14)</f>
        <v>0.114</v>
      </c>
      <c r="F14" s="8">
        <f>IF($B$1&gt;E12,'TP BDC'!G8,E14)</f>
        <v>0.113</v>
      </c>
      <c r="G14" s="8">
        <f>IF($B$1&gt;F12,'TP BDC'!H8,F14)</f>
        <v>0.1125</v>
      </c>
      <c r="H14" s="8">
        <f>IF($B$1&gt;G12,'TP BDC'!I8,G14)</f>
        <v>0.11</v>
      </c>
      <c r="I14" s="8">
        <f>IF($B$1&gt;H12,'TP BDC'!J8,H14)</f>
        <v>0.105</v>
      </c>
      <c r="J14" s="8">
        <f>IF($B$1&gt;I12,'TP BDC'!K8,I14)</f>
        <v>0.105</v>
      </c>
      <c r="K14" s="8">
        <f>IF($B$1&gt;J12,'TP BDC'!L8,J14)</f>
        <v>0.105</v>
      </c>
      <c r="L14" s="8">
        <f>IF($B$1&gt;K12,'TP BDC'!M8,K14)</f>
        <v>0.105</v>
      </c>
      <c r="M14" s="8">
        <f>IF($B$1&gt;L12,'TP BDC'!N8,L14)</f>
        <v>0.105</v>
      </c>
      <c r="N14" s="8">
        <f>IF($B$1&gt;M12,'TP BDC'!O8,M14)</f>
        <v>0.105</v>
      </c>
      <c r="O14" s="8">
        <f>IF($B$1&gt;N12,'TP BDC'!P8,N14)</f>
        <v>0.105</v>
      </c>
      <c r="P14" s="8"/>
    </row>
    <row r="15" spans="1:16" x14ac:dyDescent="0.25">
      <c r="C15" s="4" t="s">
        <v>13</v>
      </c>
      <c r="D15" s="12">
        <f>ROUND(IF($B$1&lt;D$12,'TP BDC'!$B$4*D14/'TP BDC'!$B$9*(D12-'TP BDC'!B7),0),0)</f>
        <v>0</v>
      </c>
      <c r="E15" s="12">
        <f>ROUND(IF($B$1&lt;E$12,'TP BDC'!$B$4*E14/'TP BDC'!$B$9*(E12-D12),0),0)</f>
        <v>0</v>
      </c>
      <c r="F15" s="12">
        <f>ROUND(IF($B$1&lt;F$12,'TP BDC'!$B$4*F14/'TP BDC'!$B$9*(F12-E12),0),0)</f>
        <v>0</v>
      </c>
      <c r="G15" s="12">
        <f>ROUND(IF($B$1&lt;G$12,'TP BDC'!$B$4*G14/'TP BDC'!$B$9*(G12-F12),0),0)</f>
        <v>0</v>
      </c>
      <c r="H15" s="12">
        <f>ROUND(IF($B$1&lt;H$12,'TP BDC'!$B$4*H14/'TP BDC'!$B$9*(H12-G12),0),0)</f>
        <v>0</v>
      </c>
      <c r="I15" s="12">
        <f>ROUND(IF($B$1&lt;I$12,'TP BDC'!$B$4*I14/'TP BDC'!$B$9*(I12-H12),0),0)</f>
        <v>26178</v>
      </c>
      <c r="J15" s="12">
        <f>ROUND(IF($B$1&lt;J$12,'TP BDC'!$B$4*J14/'TP BDC'!$B$9*(J12-I12),0),0)</f>
        <v>25890</v>
      </c>
      <c r="K15" s="12">
        <f>ROUND(IF($B$1&lt;K$12,'TP BDC'!$B$4*K14/'TP BDC'!$B$9*(K12-J12),0),0)</f>
        <v>26466</v>
      </c>
      <c r="L15" s="12">
        <f>ROUND(IF($B$1&lt;L$12,'TP BDC'!$B$4*L14/'TP BDC'!$B$9*(L12-K12),0),0)</f>
        <v>26466</v>
      </c>
      <c r="M15" s="12">
        <f>ROUND(IF($B$1&lt;M$12,'TP BDC'!$B$4*M14/'TP BDC'!$B$9*(M12-L12),0),0)</f>
        <v>26178</v>
      </c>
      <c r="N15" s="12">
        <f>ROUND(IF($B$1&lt;N$12,'TP BDC'!$B$4*N14/'TP BDC'!$B$9*(N12-M12),0),0)</f>
        <v>25890</v>
      </c>
      <c r="O15" s="12">
        <f>ROUND(IF($B$1&lt;O$12,'TP BDC'!$B$4*O14/'TP BDC'!$B$9*(O12-N12),0),0)</f>
        <v>26466</v>
      </c>
      <c r="P15" s="12">
        <f>'TP BDC'!$B$4</f>
        <v>1000000</v>
      </c>
    </row>
    <row r="16" spans="1:16" x14ac:dyDescent="0.25">
      <c r="C16" s="4" t="s">
        <v>30</v>
      </c>
      <c r="D16" s="12">
        <f>ROUND(IF($B$1&lt;D$12,D15*'TP BDC'!$B$10,0),0)</f>
        <v>0</v>
      </c>
      <c r="E16" s="12">
        <f>ROUND(IF($B$1&lt;E$12,E15*'TP BDC'!$B$10,0),0)</f>
        <v>0</v>
      </c>
      <c r="F16" s="12">
        <f>ROUND(IF($B$1&lt;F$12,F15*'TP BDC'!$B$10,0),0)</f>
        <v>0</v>
      </c>
      <c r="G16" s="12">
        <f>ROUND(IF($B$1&lt;G$12,G15*'TP BDC'!$B$10,0),0)</f>
        <v>0</v>
      </c>
      <c r="H16" s="12">
        <f>ROUND(IF($B$1&lt;H$12,H15*'TP BDC'!$B$10,0),0)</f>
        <v>0</v>
      </c>
      <c r="I16" s="12">
        <f>ROUND(IF($B$1&lt;I$12,I15*'TP BDC'!$B$10,0),0)</f>
        <v>1309</v>
      </c>
      <c r="J16" s="12">
        <f>ROUND(IF($B$1&lt;J$12,J15*'TP BDC'!$B$10,0),0)</f>
        <v>1295</v>
      </c>
      <c r="K16" s="12">
        <f>ROUND(IF($B$1&lt;K$12,K15*'TP BDC'!$B$10,0),0)</f>
        <v>1323</v>
      </c>
      <c r="L16" s="12">
        <f>ROUND(IF($B$1&lt;L$12,L15*'TP BDC'!$B$10,0),0)</f>
        <v>1323</v>
      </c>
      <c r="M16" s="12">
        <f>ROUND(IF($B$1&lt;M$12,M15*'TP BDC'!$B$10,0),0)</f>
        <v>1309</v>
      </c>
      <c r="N16" s="12">
        <f>ROUND(IF($B$1&lt;N$12,N15*'TP BDC'!$B$10,0),0)</f>
        <v>1295</v>
      </c>
      <c r="O16" s="12">
        <f>ROUND(IF($B$1&lt;O$12,O15*'TP BDC'!$B$10,0),0)</f>
        <v>1323</v>
      </c>
    </row>
    <row r="19" spans="1:16" x14ac:dyDescent="0.25"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</row>
    <row r="22" spans="1:16" ht="45" x14ac:dyDescent="0.25">
      <c r="B22" s="4" t="s">
        <v>52</v>
      </c>
      <c r="C22" s="4" t="s">
        <v>14</v>
      </c>
      <c r="D22" s="4" t="s">
        <v>50</v>
      </c>
      <c r="E22" s="4" t="s">
        <v>51</v>
      </c>
      <c r="F22" s="4" t="s">
        <v>54</v>
      </c>
      <c r="G22" s="4" t="s">
        <v>53</v>
      </c>
      <c r="H22" s="4" t="s">
        <v>55</v>
      </c>
      <c r="I22" s="4" t="s">
        <v>61</v>
      </c>
      <c r="J22" s="37" t="s">
        <v>62</v>
      </c>
      <c r="K22" s="37" t="s">
        <v>63</v>
      </c>
      <c r="L22" s="37" t="s">
        <v>64</v>
      </c>
      <c r="M22" s="37" t="s">
        <v>65</v>
      </c>
      <c r="N22" s="37" t="s">
        <v>83</v>
      </c>
      <c r="O22" s="46" t="s">
        <v>67</v>
      </c>
      <c r="P22" s="46" t="s">
        <v>84</v>
      </c>
    </row>
    <row r="23" spans="1:16" x14ac:dyDescent="0.25">
      <c r="B23" s="5">
        <f>$B$1</f>
        <v>44173</v>
      </c>
      <c r="C23" t="s">
        <v>23</v>
      </c>
      <c r="D23" s="12">
        <v>1000</v>
      </c>
      <c r="E23" s="12">
        <f>G8</f>
        <v>1038730</v>
      </c>
      <c r="F23" s="12">
        <f>D23*E23</f>
        <v>1038730000</v>
      </c>
      <c r="G23" s="12">
        <f>MAX(IF('Tham số'!$E$2="GT",E23,'TP BDC'!$B$4)*D23*'Tham số'!$B$2,'Tham số'!$C$2)</f>
        <v>155809.5</v>
      </c>
      <c r="H23" s="24">
        <f>F23-G23</f>
        <v>1038574190.5</v>
      </c>
      <c r="I23" s="12">
        <f>H23/D23</f>
        <v>1038574.1905</v>
      </c>
      <c r="J23" s="24">
        <f>I23-$J$4-'TP BDC'!$B$4</f>
        <v>17286.190500000026</v>
      </c>
      <c r="K23" s="22">
        <f>J23/'TP BDC'!$B$4</f>
        <v>1.7286190500000027E-2</v>
      </c>
      <c r="L23" s="22">
        <f>K23/$D$4*'TP BDC'!$B$9</f>
        <v>1.1186984986702146E-2</v>
      </c>
      <c r="M23" s="12">
        <f>IF('Tham số'!$E$4="GT",E23,'TP BDC'!$B$4)*D23*'Tham số'!$B$4/'Tham số'!$D$4+IF('Tham số'!$E$5="GT",E23,'TP BDC'!$B$4)*D23*'Tham số'!$B$5/'Tham số'!$D$5+IF('Tham số'!$E$6="GT",E23,'TP BDC'!$B$4)*D23*'Tham số'!$B$6/'Tham số'!$D$6+IF('Tham số'!$E$7="GT",E23,'TP BDC'!$B$4)*D23*'Tham số'!$B$7/'Tham số'!$D$7</f>
        <v>8219.17808219178</v>
      </c>
      <c r="N23" s="48">
        <f>L23-SUM('Tham số'!B4:B7)</f>
        <v>8.1869849867021449E-3</v>
      </c>
      <c r="O23" s="47">
        <f>J23*D23/$D$4-M23</f>
        <v>22430.095853978477</v>
      </c>
      <c r="P23" s="49">
        <f>O23/D23/'TP BDC'!$B$4*'TP BDC'!$B$9</f>
        <v>8.1869849867021449E-3</v>
      </c>
    </row>
    <row r="24" spans="1:16" x14ac:dyDescent="0.25">
      <c r="G24" s="4"/>
      <c r="H24" s="4"/>
      <c r="I24" s="4"/>
      <c r="J24" s="4"/>
      <c r="K24" s="4"/>
    </row>
    <row r="25" spans="1:16" x14ac:dyDescent="0.25">
      <c r="G25" s="4"/>
      <c r="H25" s="4"/>
      <c r="I25" s="4"/>
      <c r="J25" s="50" t="s">
        <v>77</v>
      </c>
      <c r="K25" s="50"/>
      <c r="L25" s="51" t="s">
        <v>80</v>
      </c>
      <c r="M25" s="51"/>
      <c r="N25" s="51"/>
      <c r="O25" s="51"/>
    </row>
    <row r="26" spans="1:16" ht="60" x14ac:dyDescent="0.25">
      <c r="A26" s="4" t="s">
        <v>86</v>
      </c>
      <c r="B26" s="4" t="s">
        <v>43</v>
      </c>
      <c r="C26" s="4" t="s">
        <v>50</v>
      </c>
      <c r="D26" s="37" t="s">
        <v>69</v>
      </c>
      <c r="E26" s="4" t="s">
        <v>68</v>
      </c>
      <c r="F26" s="4" t="s">
        <v>44</v>
      </c>
      <c r="G26" s="39" t="s">
        <v>70</v>
      </c>
      <c r="H26" s="37" t="s">
        <v>72</v>
      </c>
      <c r="I26" s="39" t="s">
        <v>71</v>
      </c>
      <c r="J26" s="40" t="s">
        <v>74</v>
      </c>
      <c r="K26" s="40" t="s">
        <v>75</v>
      </c>
      <c r="L26" s="43" t="s">
        <v>76</v>
      </c>
      <c r="M26" s="43" t="s">
        <v>88</v>
      </c>
      <c r="N26" s="43" t="s">
        <v>78</v>
      </c>
      <c r="O26" s="43" t="s">
        <v>79</v>
      </c>
    </row>
    <row r="27" spans="1:16" x14ac:dyDescent="0.25">
      <c r="A27" t="s">
        <v>85</v>
      </c>
      <c r="B27" s="5">
        <v>44550</v>
      </c>
      <c r="C27">
        <v>100</v>
      </c>
      <c r="D27">
        <f>B27-$B$23</f>
        <v>377</v>
      </c>
      <c r="E27">
        <f>DATEDIF($B$23,B27,"M")</f>
        <v>12</v>
      </c>
      <c r="F27" s="22">
        <f>IF(AND(E27&gt;='TP BDC'!$E$12, E27 &lt;'TP BDC'!$F$12),'TP BDC'!$E$13,0) + IF(AND(E27&gt;='TP BDC'!$F$12, E27 &lt;'TP BDC'!$G$12),'TP BDC'!$F$13,0) + IF(AND(E27&gt;='TP BDC'!$G$12, E27 &lt;'TP BDC'!$H$12),'TP BDC'!$G$13,0) + IF(AND(E27&gt;='TP BDC'!$H$12, E27 &lt;'TP BDC'!$I$12),'TP BDC'!$H$13,0) + IF(AND(E27&gt;='TP BDC'!$I$12, E27 &lt;'TP BDC'!$J$12),'TP BDC'!$I$13,0) + IF(AND(E27&gt;='TP BDC'!$J$12, E27 &lt;'TP BDC'!$K$12),'TP BDC'!$J$13,0) + IF(AND(E27&gt;='TP BDC'!$K$12,E27 &lt;'TP BDC'!$L$12),'TP BDC'!$K$13,0) + IF(E27 &gt;= 'TP BDC'!$L$12,'TP BDC'!$L$13,0)</f>
        <v>8.4500000000000006E-2</v>
      </c>
      <c r="G27" s="24">
        <f>$E$23*F27/'TP BDC'!$B$9*'Ngày 1'!D27+$E$23</f>
        <v>1129388.3623150685</v>
      </c>
      <c r="H27" s="12">
        <f>SUMIF($D$13:$O$13,"&lt;"&amp;B27,$D$15:$O$15)*(1-'TP BDC'!$B$10)</f>
        <v>124619.09999999999</v>
      </c>
      <c r="I27" s="38">
        <f>G27-H27*(1-'TP BDC'!$B$10)</f>
        <v>1011000.2173150685</v>
      </c>
      <c r="J27" s="41">
        <f>MAX('Tham số'!$C$2,C27*'TP BDC'!$B$4*'Tham số'!$B$2)/C27</f>
        <v>500</v>
      </c>
      <c r="K27" s="42">
        <f>(I27+J27)/(1-IF(A27="CN",'Tham số'!$B$3,0))</f>
        <v>1012512.7300451136</v>
      </c>
      <c r="L27" s="44">
        <f>I27/(1-'Tham số'!$B$2-IF(A27="CN",'Tham số'!$B$3,0))</f>
        <v>1012164.2061521434</v>
      </c>
      <c r="M27" s="45">
        <f>MAX('Tham số'!$C$2,L27*'Tham số'!$B$2*C27) - L27*'Tham số'!$B$2*C27</f>
        <v>34817.536907717847</v>
      </c>
      <c r="N27" s="45">
        <f>M27/C27</f>
        <v>348.17536907717846</v>
      </c>
      <c r="O27" s="45">
        <f>L27+N27</f>
        <v>1012512.3815212206</v>
      </c>
    </row>
    <row r="28" spans="1:16" ht="45" x14ac:dyDescent="0.25">
      <c r="J28" s="37" t="s">
        <v>81</v>
      </c>
      <c r="K28" s="4" t="s">
        <v>82</v>
      </c>
      <c r="N28" s="37" t="s">
        <v>81</v>
      </c>
      <c r="O28" s="4" t="s">
        <v>82</v>
      </c>
    </row>
    <row r="29" spans="1:16" x14ac:dyDescent="0.25">
      <c r="J29" s="24">
        <f>K27*$C27-IF(A27="CN",K27*'Tham số'!$B$3*$C27,0)-MAX(K27*'Tham số'!$B$2*$C27,'Tham số'!$C$2)</f>
        <v>101100021.73150684</v>
      </c>
      <c r="K29" s="22">
        <f>(J29+H27*C27*(1-'TP BDC'!$B$10)-C27*$E$23)*'TP BDC'!$B$9/(C27*$E$23)/D27</f>
        <v>8.4499999999999909E-2</v>
      </c>
      <c r="N29" s="24">
        <f>O27*$C27-IF(A27="CN",O27*'Tham số'!$B$3*$C27,0)-MAX(O27*'Tham số'!$B$2*$C27,'Tham số'!$C$2)</f>
        <v>101099986.91396993</v>
      </c>
      <c r="O29" s="22">
        <f>(N29+H27*C27*(1-'TP BDC'!$B$10)-C27*$E$23)*'TP BDC'!$B$9/(C27*$E$23)/D27</f>
        <v>8.4499675475952329E-2</v>
      </c>
    </row>
  </sheetData>
  <mergeCells count="2">
    <mergeCell ref="J25:K25"/>
    <mergeCell ref="L25:O25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TP BDC</vt:lpstr>
      <vt:lpstr>Tham số</vt:lpstr>
      <vt:lpstr>Ngày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VânNT</cp:lastModifiedBy>
  <dcterms:created xsi:type="dcterms:W3CDTF">2020-08-11T07:08:26Z</dcterms:created>
  <dcterms:modified xsi:type="dcterms:W3CDTF">2021-04-20T07:55:10Z</dcterms:modified>
</cp:coreProperties>
</file>