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Google drive\Working\Các dự án TPDN\Projects\SHB\Khảo sát yêu cầu\Tài liệu SHB\Báo cáo\DTBL\"/>
    </mc:Choice>
  </mc:AlternateContent>
  <bookViews>
    <workbookView xWindow="0" yWindow="0" windowWidth="18514" windowHeight="8211"/>
  </bookViews>
  <sheets>
    <sheet name="P-B" sheetId="1" r:id="rId1"/>
    <sheet name="P-M" sheetId="2" r:id="rId2"/>
  </sheets>
  <externalReferences>
    <externalReference r:id="rId3"/>
  </externalReferences>
  <definedNames>
    <definedName name="_xlnm.Print_Titles">#N/A</definedName>
  </definedNames>
  <calcPr calcId="152511"/>
</workbook>
</file>

<file path=xl/calcChain.xml><?xml version="1.0" encoding="utf-8"?>
<calcChain xmlns="http://schemas.openxmlformats.org/spreadsheetml/2006/main">
  <c r="B335" i="2" l="1"/>
  <c r="F334" i="2"/>
  <c r="B334" i="2"/>
  <c r="F333" i="2"/>
  <c r="B333" i="2"/>
  <c r="F332" i="2"/>
  <c r="B332" i="2"/>
  <c r="F330" i="2"/>
  <c r="B329" i="2"/>
  <c r="B328" i="2"/>
  <c r="B327" i="2"/>
  <c r="G324" i="2"/>
  <c r="B324" i="2"/>
  <c r="B323" i="2"/>
  <c r="G322" i="2"/>
  <c r="B322" i="2"/>
  <c r="G321" i="2"/>
  <c r="B321" i="2"/>
  <c r="D319" i="2"/>
  <c r="B304" i="2"/>
  <c r="F303" i="2"/>
  <c r="B303" i="2"/>
  <c r="F302" i="2"/>
  <c r="B302" i="2"/>
  <c r="F301" i="2"/>
  <c r="B301" i="2"/>
  <c r="F299" i="2"/>
  <c r="B298" i="2"/>
  <c r="B297" i="2"/>
  <c r="B296" i="2"/>
  <c r="G293" i="2"/>
  <c r="B293" i="2"/>
  <c r="B292" i="2"/>
  <c r="G291" i="2"/>
  <c r="B291" i="2"/>
  <c r="G290" i="2"/>
  <c r="B290" i="2"/>
  <c r="D288" i="2"/>
  <c r="B273" i="2"/>
  <c r="F272" i="2"/>
  <c r="B272" i="2"/>
  <c r="F271" i="2"/>
  <c r="B271" i="2"/>
  <c r="F270" i="2"/>
  <c r="B270" i="2"/>
  <c r="F268" i="2"/>
  <c r="B267" i="2"/>
  <c r="B266" i="2"/>
  <c r="B265" i="2"/>
  <c r="G262" i="2"/>
  <c r="B262" i="2"/>
  <c r="B261" i="2"/>
  <c r="G260" i="2"/>
  <c r="B260" i="2"/>
  <c r="G259" i="2"/>
  <c r="B259" i="2"/>
  <c r="D257" i="2"/>
  <c r="B242" i="2"/>
  <c r="F241" i="2"/>
  <c r="B241" i="2"/>
  <c r="F240" i="2"/>
  <c r="B240" i="2"/>
  <c r="F239" i="2"/>
  <c r="B239" i="2"/>
  <c r="F237" i="2"/>
  <c r="B236" i="2"/>
  <c r="B235" i="2"/>
  <c r="B234" i="2"/>
  <c r="G231" i="2"/>
  <c r="B231" i="2"/>
  <c r="B230" i="2"/>
  <c r="G229" i="2"/>
  <c r="B229" i="2"/>
  <c r="G228" i="2"/>
  <c r="B228" i="2"/>
  <c r="D226" i="2"/>
  <c r="B211" i="2"/>
  <c r="F210" i="2"/>
  <c r="B210" i="2"/>
  <c r="F209" i="2"/>
  <c r="B209" i="2"/>
  <c r="F208" i="2"/>
  <c r="B208" i="2"/>
  <c r="F206" i="2"/>
  <c r="B205" i="2"/>
  <c r="B204" i="2"/>
  <c r="B203" i="2"/>
  <c r="G200" i="2"/>
  <c r="B200" i="2"/>
  <c r="B199" i="2"/>
  <c r="G198" i="2"/>
  <c r="B198" i="2"/>
  <c r="G197" i="2"/>
  <c r="B197" i="2"/>
  <c r="D195" i="2"/>
  <c r="B180" i="2"/>
  <c r="F179" i="2"/>
  <c r="B179" i="2"/>
  <c r="F178" i="2"/>
  <c r="B178" i="2"/>
  <c r="F177" i="2"/>
  <c r="B177" i="2"/>
  <c r="F175" i="2"/>
  <c r="B174" i="2"/>
  <c r="B173" i="2"/>
  <c r="B172" i="2"/>
  <c r="G169" i="2"/>
  <c r="B169" i="2"/>
  <c r="B168" i="2"/>
  <c r="G167" i="2"/>
  <c r="B167" i="2"/>
  <c r="G166" i="2"/>
  <c r="B166" i="2"/>
  <c r="D164" i="2"/>
  <c r="B149" i="2"/>
  <c r="F148" i="2"/>
  <c r="B148" i="2"/>
  <c r="F147" i="2"/>
  <c r="B147" i="2"/>
  <c r="F146" i="2"/>
  <c r="B146" i="2"/>
  <c r="F144" i="2"/>
  <c r="B143" i="2"/>
  <c r="B142" i="2"/>
  <c r="B141" i="2"/>
  <c r="G138" i="2"/>
  <c r="B138" i="2"/>
  <c r="B137" i="2"/>
  <c r="G136" i="2"/>
  <c r="B136" i="2"/>
  <c r="G135" i="2"/>
  <c r="B135" i="2"/>
  <c r="D133" i="2"/>
  <c r="B118" i="2"/>
  <c r="F117" i="2"/>
  <c r="B117" i="2"/>
  <c r="F116" i="2"/>
  <c r="B116" i="2"/>
  <c r="F115" i="2"/>
  <c r="B115" i="2"/>
  <c r="F113" i="2"/>
  <c r="B112" i="2"/>
  <c r="B111" i="2"/>
  <c r="B110" i="2"/>
  <c r="G107" i="2"/>
  <c r="B107" i="2"/>
  <c r="B106" i="2"/>
  <c r="G105" i="2"/>
  <c r="B105" i="2"/>
  <c r="G104" i="2"/>
  <c r="B104" i="2"/>
  <c r="D102" i="2"/>
  <c r="B87" i="2"/>
  <c r="F86" i="2"/>
  <c r="B86" i="2"/>
  <c r="F85" i="2"/>
  <c r="B85" i="2"/>
  <c r="F84" i="2"/>
  <c r="B84" i="2"/>
  <c r="F82" i="2"/>
  <c r="B81" i="2"/>
  <c r="B80" i="2"/>
  <c r="B79" i="2"/>
  <c r="G76" i="2"/>
  <c r="B76" i="2"/>
  <c r="B75" i="2"/>
  <c r="G74" i="2"/>
  <c r="B74" i="2"/>
  <c r="G73" i="2"/>
  <c r="B73" i="2"/>
  <c r="D71" i="2"/>
  <c r="B56" i="2"/>
  <c r="F55" i="2"/>
  <c r="B55" i="2"/>
  <c r="F54" i="2"/>
  <c r="B54" i="2"/>
  <c r="F53" i="2"/>
  <c r="B53" i="2"/>
  <c r="F51" i="2"/>
  <c r="B50" i="2"/>
  <c r="B49" i="2"/>
  <c r="B48" i="2"/>
  <c r="G45" i="2"/>
  <c r="B45" i="2"/>
  <c r="B44" i="2"/>
  <c r="G43" i="2"/>
  <c r="B43" i="2"/>
  <c r="G42" i="2"/>
  <c r="B42" i="2"/>
  <c r="D40" i="2"/>
  <c r="F31" i="2"/>
  <c r="F61" i="2" s="1"/>
  <c r="F92" i="2" s="1"/>
  <c r="F123" i="2" s="1"/>
  <c r="F154" i="2" s="1"/>
  <c r="F185" i="2" s="1"/>
  <c r="F216" i="2" s="1"/>
  <c r="F247" i="2" s="1"/>
  <c r="F278" i="2" s="1"/>
  <c r="F309" i="2" s="1"/>
  <c r="F340" i="2" s="1"/>
  <c r="B25" i="2"/>
  <c r="F24" i="2"/>
  <c r="B24" i="2"/>
  <c r="F23" i="2"/>
  <c r="B23" i="2"/>
  <c r="F22" i="2"/>
  <c r="B22" i="2"/>
  <c r="F20" i="2"/>
  <c r="B19" i="2"/>
  <c r="B18" i="2"/>
  <c r="B17" i="2"/>
  <c r="G14" i="2"/>
  <c r="B14" i="2"/>
  <c r="B13" i="2"/>
  <c r="G12" i="2"/>
  <c r="B12" i="2"/>
  <c r="G11" i="2"/>
  <c r="B11" i="2"/>
  <c r="D9" i="2"/>
  <c r="M1" i="2"/>
  <c r="B303" i="1"/>
  <c r="B302" i="1"/>
  <c r="F301" i="1"/>
  <c r="B301" i="1"/>
  <c r="F300" i="1"/>
  <c r="B300" i="1"/>
  <c r="F299" i="1"/>
  <c r="B297" i="1"/>
  <c r="B296" i="1"/>
  <c r="B295" i="1"/>
  <c r="B292" i="1"/>
  <c r="G291" i="1"/>
  <c r="B291" i="1"/>
  <c r="G290" i="1"/>
  <c r="B290" i="1"/>
  <c r="D288" i="1"/>
  <c r="B272" i="1"/>
  <c r="B271" i="1"/>
  <c r="F270" i="1"/>
  <c r="B270" i="1"/>
  <c r="F269" i="1"/>
  <c r="B269" i="1"/>
  <c r="F268" i="1"/>
  <c r="B266" i="1"/>
  <c r="B265" i="1"/>
  <c r="B264" i="1"/>
  <c r="B261" i="1"/>
  <c r="G260" i="1"/>
  <c r="B260" i="1"/>
  <c r="G259" i="1"/>
  <c r="B259" i="1"/>
  <c r="D257" i="1"/>
  <c r="B241" i="1"/>
  <c r="B240" i="1"/>
  <c r="F239" i="1"/>
  <c r="B239" i="1"/>
  <c r="F238" i="1"/>
  <c r="B238" i="1"/>
  <c r="F237" i="1"/>
  <c r="B235" i="1"/>
  <c r="B234" i="1"/>
  <c r="B233" i="1"/>
  <c r="B230" i="1"/>
  <c r="G229" i="1"/>
  <c r="B229" i="1"/>
  <c r="G228" i="1"/>
  <c r="B228" i="1"/>
  <c r="D226" i="1"/>
  <c r="B210" i="1"/>
  <c r="B209" i="1"/>
  <c r="F208" i="1"/>
  <c r="B208" i="1"/>
  <c r="F207" i="1"/>
  <c r="B207" i="1"/>
  <c r="F206" i="1"/>
  <c r="B204" i="1"/>
  <c r="B203" i="1"/>
  <c r="B202" i="1"/>
  <c r="B199" i="1"/>
  <c r="G198" i="1"/>
  <c r="B198" i="1"/>
  <c r="G197" i="1"/>
  <c r="B197" i="1"/>
  <c r="D195" i="1"/>
  <c r="B180" i="1"/>
  <c r="B179" i="1"/>
  <c r="F178" i="1"/>
  <c r="B178" i="1"/>
  <c r="F177" i="1"/>
  <c r="B177" i="1"/>
  <c r="F176" i="1"/>
  <c r="B174" i="1"/>
  <c r="B173" i="1"/>
  <c r="B172" i="1"/>
  <c r="B169" i="1"/>
  <c r="G168" i="1"/>
  <c r="B168" i="1"/>
  <c r="G167" i="1"/>
  <c r="B167" i="1"/>
  <c r="D165" i="1"/>
  <c r="B149" i="1"/>
  <c r="B148" i="1"/>
  <c r="F147" i="1"/>
  <c r="B147" i="1"/>
  <c r="F146" i="1"/>
  <c r="B146" i="1"/>
  <c r="F145" i="1"/>
  <c r="B143" i="1"/>
  <c r="B142" i="1"/>
  <c r="B141" i="1"/>
  <c r="B138" i="1"/>
  <c r="G137" i="1"/>
  <c r="B137" i="1"/>
  <c r="G136" i="1"/>
  <c r="B136" i="1"/>
  <c r="D134" i="1"/>
  <c r="B118" i="1"/>
  <c r="B117" i="1"/>
  <c r="F116" i="1"/>
  <c r="B116" i="1"/>
  <c r="F115" i="1"/>
  <c r="B115" i="1"/>
  <c r="F114" i="1"/>
  <c r="B112" i="1"/>
  <c r="B111" i="1"/>
  <c r="B110" i="1"/>
  <c r="B107" i="1"/>
  <c r="G106" i="1"/>
  <c r="B106" i="1"/>
  <c r="G105" i="1"/>
  <c r="B105" i="1"/>
  <c r="D103" i="1"/>
  <c r="B87" i="1"/>
  <c r="B86" i="1"/>
  <c r="F85" i="1"/>
  <c r="B85" i="1"/>
  <c r="F84" i="1"/>
  <c r="B84" i="1"/>
  <c r="F83" i="1"/>
  <c r="B81" i="1"/>
  <c r="B80" i="1"/>
  <c r="B79" i="1"/>
  <c r="B76" i="1"/>
  <c r="G75" i="1"/>
  <c r="B75" i="1"/>
  <c r="G74" i="1"/>
  <c r="B74" i="1"/>
  <c r="D72" i="1"/>
  <c r="B56" i="1"/>
  <c r="B55" i="1"/>
  <c r="F54" i="1"/>
  <c r="B54" i="1"/>
  <c r="F53" i="1"/>
  <c r="B53" i="1"/>
  <c r="F52" i="1"/>
  <c r="B50" i="1"/>
  <c r="B49" i="1"/>
  <c r="B48" i="1"/>
  <c r="B45" i="1"/>
  <c r="G44" i="1"/>
  <c r="B44" i="1"/>
  <c r="G43" i="1"/>
  <c r="B43" i="1"/>
  <c r="D41" i="1"/>
  <c r="F30" i="1"/>
  <c r="F62" i="1" s="1"/>
  <c r="F93" i="1" s="1"/>
  <c r="F124" i="1" s="1"/>
  <c r="F155" i="1" s="1"/>
  <c r="F186" i="1" s="1"/>
  <c r="F216" i="1" s="1"/>
  <c r="F247" i="1" s="1"/>
  <c r="F278" i="1" s="1"/>
  <c r="F309" i="1" s="1"/>
  <c r="B24" i="1"/>
  <c r="B23" i="1"/>
  <c r="F22" i="1"/>
  <c r="B22" i="1"/>
  <c r="F21" i="1"/>
  <c r="B21" i="1"/>
  <c r="F20" i="1"/>
  <c r="B18" i="1"/>
  <c r="B17" i="1"/>
  <c r="B16" i="1"/>
  <c r="B13" i="1"/>
  <c r="G12" i="1"/>
  <c r="B12" i="1"/>
  <c r="G11" i="1"/>
  <c r="B11" i="1"/>
  <c r="D9" i="1"/>
  <c r="M1" i="1"/>
  <c r="E254" i="1" s="1"/>
  <c r="B21" i="2" l="1"/>
  <c r="E68" i="2"/>
  <c r="B82" i="2"/>
  <c r="E38" i="1"/>
  <c r="B82" i="1"/>
  <c r="E100" i="1"/>
  <c r="B144" i="1"/>
  <c r="E162" i="1"/>
  <c r="E285" i="1"/>
  <c r="E6" i="1"/>
  <c r="E192" i="1"/>
  <c r="E130" i="2"/>
  <c r="B144" i="2"/>
  <c r="B51" i="1"/>
  <c r="E69" i="1"/>
  <c r="B113" i="1"/>
  <c r="E131" i="1"/>
  <c r="E223" i="1"/>
  <c r="E6" i="2"/>
  <c r="B20" i="2"/>
  <c r="B83" i="2"/>
  <c r="B19" i="1"/>
  <c r="B175" i="1"/>
  <c r="B205" i="1"/>
  <c r="B236" i="1"/>
  <c r="B267" i="1"/>
  <c r="B298" i="1"/>
  <c r="B20" i="1"/>
  <c r="B52" i="1"/>
  <c r="B83" i="1"/>
  <c r="B114" i="1"/>
  <c r="B145" i="1"/>
  <c r="B176" i="1"/>
  <c r="B206" i="1"/>
  <c r="B237" i="1"/>
  <c r="B268" i="1"/>
  <c r="B299" i="1"/>
  <c r="E37" i="2"/>
  <c r="B51" i="2"/>
  <c r="B114" i="2"/>
  <c r="E161" i="2"/>
  <c r="B175" i="2"/>
  <c r="B238" i="2"/>
  <c r="E285" i="2"/>
  <c r="B299" i="2"/>
  <c r="B207" i="2"/>
  <c r="E254" i="2"/>
  <c r="B268" i="2"/>
  <c r="B331" i="2"/>
  <c r="B52" i="2"/>
  <c r="E99" i="2"/>
  <c r="B113" i="2"/>
  <c r="B176" i="2"/>
  <c r="E223" i="2"/>
  <c r="B237" i="2"/>
  <c r="B300" i="2"/>
  <c r="B145" i="2"/>
  <c r="E192" i="2"/>
  <c r="B206" i="2"/>
  <c r="B269" i="2"/>
  <c r="E316" i="2"/>
  <c r="B330" i="2"/>
</calcChain>
</file>

<file path=xl/sharedStrings.xml><?xml version="1.0" encoding="utf-8"?>
<sst xmlns="http://schemas.openxmlformats.org/spreadsheetml/2006/main" count="4714" uniqueCount="439">
  <si>
    <t>PGD 02/01</t>
  </si>
  <si>
    <t>Ngày</t>
  </si>
  <si>
    <t>CỘNG HÒA XÃ HỘI CHỦ NGHĨA VIỆT NRM</t>
  </si>
  <si>
    <t>Độc lập - Tự do - Hạnh phúc</t>
  </si>
  <si>
    <t>STT PHIẾU</t>
  </si>
  <si>
    <t>NSV.BOND2017</t>
  </si>
  <si>
    <t>Công ty TNHH Đầu tư Bất động sản Ngôi sao Việt</t>
  </si>
  <si>
    <t>30/12/2017</t>
  </si>
  <si>
    <t>30/12/2020</t>
  </si>
  <si>
    <t>10,825%/năm</t>
  </si>
  <si>
    <t>4%/năm</t>
  </si>
  <si>
    <t>1954/2019/QĐ-TGĐ ngày 13/08/2019</t>
  </si>
  <si>
    <t>TRUNG TÂM KDSP BL TP</t>
  </si>
  <si>
    <t>NSV.BOND2017-01</t>
  </si>
  <si>
    <t>2333/2019/QĐ-TGĐ ngày 08/10/2019</t>
  </si>
  <si>
    <t>NSV.BOND2017-02</t>
  </si>
  <si>
    <t>20/2020/QĐ-TGĐ ngày 10/01/2020</t>
  </si>
  <si>
    <t xml:space="preserve"> PHIẾU GIAO DỊCH MUA BÁN LẺ TRÁI PHIẾU DOANH NGHIỆP</t>
  </si>
  <si>
    <t>BDC01.TP3Y19</t>
  </si>
  <si>
    <t>Tổng công ty Xây dựng Bạch Đằng - CTCP</t>
  </si>
  <si>
    <t>25/06/2019</t>
  </si>
  <si>
    <t>25/06/2022</t>
  </si>
  <si>
    <t>11%/năm</t>
  </si>
  <si>
    <t>4,5%/năm</t>
  </si>
  <si>
    <t>1953/2019/QĐ-TGĐ ngày 13/08/2019</t>
  </si>
  <si>
    <r>
      <t xml:space="preserve">Loại hình giao dịch:      </t>
    </r>
    <r>
      <rPr>
        <sz val="14"/>
        <color theme="1"/>
        <rFont val="Wingdings"/>
        <charset val="2"/>
      </rPr>
      <t>o</t>
    </r>
    <r>
      <rPr>
        <sz val="14"/>
        <color theme="1"/>
        <rFont val="Times New Roman"/>
        <family val="1"/>
      </rPr>
      <t xml:space="preserve"> Mua TP       </t>
    </r>
  </si>
  <si>
    <r>
      <t xml:space="preserve">  </t>
    </r>
    <r>
      <rPr>
        <sz val="14"/>
        <color theme="1"/>
        <rFont val="Wingdings"/>
        <charset val="2"/>
      </rPr>
      <t>þ</t>
    </r>
    <r>
      <rPr>
        <sz val="14"/>
        <color theme="1"/>
        <rFont val="Times New Roman"/>
        <family val="1"/>
      </rPr>
      <t xml:space="preserve"> Bán TP</t>
    </r>
  </si>
  <si>
    <r>
      <t xml:space="preserve">        </t>
    </r>
    <r>
      <rPr>
        <sz val="14"/>
        <color theme="1"/>
        <rFont val="Wingdings"/>
        <charset val="2"/>
      </rPr>
      <t>o</t>
    </r>
    <r>
      <rPr>
        <sz val="14"/>
        <color theme="1"/>
        <rFont val="Times New Roman"/>
        <family val="1"/>
      </rPr>
      <t xml:space="preserve"> Khác</t>
    </r>
  </si>
  <si>
    <t>BDC02.TP3Y19</t>
  </si>
  <si>
    <t>Số Hợp đồng:</t>
  </si>
  <si>
    <t>BDC03.TP3Y19</t>
  </si>
  <si>
    <t>I.Thông tin giấy tờ có giá:</t>
  </si>
  <si>
    <t>TP.CC1A1.2019.1</t>
  </si>
  <si>
    <t xml:space="preserve">Tổng Công ty xây dựng số 1 </t>
  </si>
  <si>
    <t>22/11/2019</t>
  </si>
  <si>
    <t>22/11/2022</t>
  </si>
  <si>
    <t>11,5%/năm</t>
  </si>
  <si>
    <t>4,4%/năm</t>
  </si>
  <si>
    <t>253/2020/QĐ-TGĐ ngày 17/02/2020</t>
  </si>
  <si>
    <t>TP.CC1A2.2019.1</t>
  </si>
  <si>
    <t>TP.CC1A3.2019.1</t>
  </si>
  <si>
    <t xml:space="preserve">    Cơ sở tính lãi: 365 ngày</t>
  </si>
  <si>
    <t>TP.CC1A4.2019.1</t>
  </si>
  <si>
    <t>649/2020/QĐ-TGĐ ngày 23/03/2020</t>
  </si>
  <si>
    <t>SL1.BOND2017</t>
  </si>
  <si>
    <t>Công ty cổ phần Đầu tư và Dịch vụ Khách sạn Soleil-CTCP</t>
  </si>
  <si>
    <t>4,0%/năm</t>
  </si>
  <si>
    <t>II. Thông tin giao dịch:</t>
  </si>
  <si>
    <t>SL2.BOND2017</t>
  </si>
  <si>
    <t>EASUP5.E13A.2020</t>
  </si>
  <si>
    <t>Công ty cổ phần Ea Súp 5</t>
  </si>
  <si>
    <t>25/06/2020</t>
  </si>
  <si>
    <t>25/12/2021</t>
  </si>
  <si>
    <t>11,25%/năm</t>
  </si>
  <si>
    <t>2,5%/năm</t>
  </si>
  <si>
    <t>2011/2020/QĐ-TGĐ ngày 22/07/2020</t>
  </si>
  <si>
    <t>EASUP5.E16A.2020</t>
  </si>
  <si>
    <t>EASUP5.E1YA.2020</t>
  </si>
  <si>
    <t>25/06/2023</t>
  </si>
  <si>
    <t>EASUP5.E23A.2020</t>
  </si>
  <si>
    <t>25/06/2024</t>
  </si>
  <si>
    <t>EASUP5.E26A.2020</t>
  </si>
  <si>
    <t>25/06/2025</t>
  </si>
  <si>
    <t>EASUP5.E2YA.2020</t>
  </si>
  <si>
    <t>25/06/2026</t>
  </si>
  <si>
    <t>EASUP5.E33A.2020</t>
  </si>
  <si>
    <t>25/06/2027</t>
  </si>
  <si>
    <t xml:space="preserve">  Ghi chú: Sổ Ngân hàng</t>
  </si>
  <si>
    <t>EASUP5.E36A.2020</t>
  </si>
  <si>
    <t>25/06/2028</t>
  </si>
  <si>
    <t>EASUP5.E3YA.2020</t>
  </si>
  <si>
    <t>25/06/2029</t>
  </si>
  <si>
    <t>EASUP5.E43A.2020</t>
  </si>
  <si>
    <t>25/06/2030</t>
  </si>
  <si>
    <t>Trung tâm kinh doanh 
sản phẩm đầu tư bán lẻ</t>
  </si>
  <si>
    <t>EASUP5.E46A.2020</t>
  </si>
  <si>
    <t>25/06/2031</t>
  </si>
  <si>
    <t>EASUP5.E4YA.2020</t>
  </si>
  <si>
    <t>Nguyễn Văn Tuấn</t>
  </si>
  <si>
    <t>EASUP5.E53A.2020</t>
  </si>
  <si>
    <t>25/06/2032</t>
  </si>
  <si>
    <t>Nguyễn Thế Dũng</t>
  </si>
  <si>
    <t>EASUP5.E56A.2020</t>
  </si>
  <si>
    <t>EASUP5.E5YA.2020</t>
  </si>
  <si>
    <t>EASUP5.E63A.2020</t>
  </si>
  <si>
    <t>EASUP5.E66A.2020</t>
  </si>
  <si>
    <t>EASUP5.E6YA.2020</t>
  </si>
  <si>
    <t>EASUP5.E73A.2020</t>
  </si>
  <si>
    <t>EASUP5.E76A.2020</t>
  </si>
  <si>
    <t>EASUP5.E7YA.2020</t>
  </si>
  <si>
    <t>EASUP5.E83A.2020</t>
  </si>
  <si>
    <t>EASUP5.E86A.2020</t>
  </si>
  <si>
    <t>EASUP5.E8YA.2020</t>
  </si>
  <si>
    <t>EASUP5.E93A.2020</t>
  </si>
  <si>
    <t>EASUP5.E96A.2020</t>
  </si>
  <si>
    <t>EASUP5.E9YA.2020</t>
  </si>
  <si>
    <t>EASUP5.E103A.2020</t>
  </si>
  <si>
    <t>EASUP5.E106A.2020</t>
  </si>
  <si>
    <t>EASUP5.E10YA.2020</t>
  </si>
  <si>
    <t>EASUP5.E113A.2020</t>
  </si>
  <si>
    <t>EASUP5.E116A.2020</t>
  </si>
  <si>
    <t>EASUP5.E11YA.2020</t>
  </si>
  <si>
    <t>EASUP5.E123A.2020</t>
  </si>
  <si>
    <t>EASUP5.E126A.2020</t>
  </si>
  <si>
    <t>EASUP5.E12YA.2020</t>
  </si>
  <si>
    <t>NLSL.2020.E13</t>
  </si>
  <si>
    <t>Công ty TNHH Năng Lượng Sơn La</t>
  </si>
  <si>
    <t>18/8/2020</t>
  </si>
  <si>
    <t>18/02/2022</t>
  </si>
  <si>
    <t>10,60%/năm</t>
  </si>
  <si>
    <t>2413/2020/QĐ-TGĐ ngày 07/09/2020</t>
  </si>
  <si>
    <t>NLSL.2020.E16</t>
  </si>
  <si>
    <t>NLSL.2020.E1Y</t>
  </si>
  <si>
    <t>NLSL.2020.E23</t>
  </si>
  <si>
    <t>18/08/2022</t>
  </si>
  <si>
    <t>NLSL.2020.E26</t>
  </si>
  <si>
    <t>NLSL.2020.E2Y</t>
  </si>
  <si>
    <t>NLSL.2020.E33</t>
  </si>
  <si>
    <t>18/08/2023</t>
  </si>
  <si>
    <t>NLSL.2020.E36</t>
  </si>
  <si>
    <t>NLSL.2020.E3Y</t>
  </si>
  <si>
    <t>NLSL.2020.E43</t>
  </si>
  <si>
    <t>18/08/2024</t>
  </si>
  <si>
    <t>NLSL.2020.E46</t>
  </si>
  <si>
    <t>NLSL.2020.E4Y</t>
  </si>
  <si>
    <t>NLSL.2020.E53</t>
  </si>
  <si>
    <t>18/08/2025</t>
  </si>
  <si>
    <t>NLSL.2020.E56</t>
  </si>
  <si>
    <t>NLSL.2020.E5Y</t>
  </si>
  <si>
    <t>NLSL.2020.E63</t>
  </si>
  <si>
    <t>18/08/2026</t>
  </si>
  <si>
    <t>NLSL.2020.E66</t>
  </si>
  <si>
    <t>NLSL.2020.E6Y</t>
  </si>
  <si>
    <t>XTDL.2020.E73</t>
  </si>
  <si>
    <t>Công ty TNHH Xuân Thiện Đăk Lăk</t>
  </si>
  <si>
    <t>18/08/2020</t>
  </si>
  <si>
    <t>18/08/2027</t>
  </si>
  <si>
    <t>XTDL.2020.E76</t>
  </si>
  <si>
    <t>XTDL.2020.E7Y</t>
  </si>
  <si>
    <t>XTDL.2020.E83</t>
  </si>
  <si>
    <t>18/08/2028</t>
  </si>
  <si>
    <t>XTDL.2020.E86</t>
  </si>
  <si>
    <t>XTDL.2020.E8Y</t>
  </si>
  <si>
    <t>XTDL.2020.E93</t>
  </si>
  <si>
    <t>18/08/2029</t>
  </si>
  <si>
    <t>XTDL.2020.E96</t>
  </si>
  <si>
    <t>XTDL.2020.E9Y</t>
  </si>
  <si>
    <t>XTDL.2020.E103</t>
  </si>
  <si>
    <t>18/08/2030</t>
  </si>
  <si>
    <t>XTDL.2020.E106</t>
  </si>
  <si>
    <t>XTDL.2020.E10Y</t>
  </si>
  <si>
    <t>XTDL.2020.E113</t>
  </si>
  <si>
    <t>18/08/2031</t>
  </si>
  <si>
    <t>XTDL.2020.E116</t>
  </si>
  <si>
    <t>XTDL.2020.E11Y</t>
  </si>
  <si>
    <t>XTDL.2020.E123</t>
  </si>
  <si>
    <t>18/08/2032</t>
  </si>
  <si>
    <t>XTDL.2020.E126</t>
  </si>
  <si>
    <t>XTDL.2020.E12Y</t>
  </si>
  <si>
    <t>BDS_3A</t>
  </si>
  <si>
    <t>2608/2020/QĐ-TGĐ ngày 06/10/2020</t>
  </si>
  <si>
    <t>BDS_6A</t>
  </si>
  <si>
    <t>BDS_YA</t>
  </si>
  <si>
    <t>BDS_3B</t>
  </si>
  <si>
    <t>BDS_6B</t>
  </si>
  <si>
    <t>BDS_YB</t>
  </si>
  <si>
    <t>CC1_3A</t>
  </si>
  <si>
    <t>CC1_6A</t>
  </si>
  <si>
    <t>CC1_YA</t>
  </si>
  <si>
    <t>CC1_3B</t>
  </si>
  <si>
    <t>CC1_6B</t>
  </si>
  <si>
    <t>CC1_YB</t>
  </si>
  <si>
    <t>XTDL.2020.E7Y_VIP</t>
  </si>
  <si>
    <t>2860/2020/QĐ-TGĐ ngày 16/10/2020</t>
  </si>
  <si>
    <t>XTDL.2020.E8Y_VIP</t>
  </si>
  <si>
    <t>XTDL.2020.E9Y_VIP</t>
  </si>
  <si>
    <t>XTDL.2020.E10Y_VIP</t>
  </si>
  <si>
    <t>XTDL.2020.E11Y_VIP</t>
  </si>
  <si>
    <t>XTDL.2020.E12Y_VIP</t>
  </si>
  <si>
    <t>XTTB.2020.23</t>
  </si>
  <si>
    <t>Công ty cổ phần Xuân Thiện Thuận Bắc</t>
  </si>
  <si>
    <t>28/08/2020</t>
  </si>
  <si>
    <t>28/08/2022</t>
  </si>
  <si>
    <t>10,00%/năm</t>
  </si>
  <si>
    <t>2,0%/năm</t>
  </si>
  <si>
    <t>2809/2020/QĐ-TGĐ ngày 16/10/2020</t>
  </si>
  <si>
    <t>XTTB.2020.26</t>
  </si>
  <si>
    <t>XTTB.2020.2Y</t>
  </si>
  <si>
    <t>XTTB.2020.33</t>
  </si>
  <si>
    <t>28/08/2023</t>
  </si>
  <si>
    <t>XTTB.2020.36</t>
  </si>
  <si>
    <t>XTTB.2020.3Y</t>
  </si>
  <si>
    <t>XTTB.2020.43</t>
  </si>
  <si>
    <t>28/08/2024</t>
  </si>
  <si>
    <t>XTTB.2020.46</t>
  </si>
  <si>
    <t>XTTB.2020.4Y</t>
  </si>
  <si>
    <t>XTTB.2020.53</t>
  </si>
  <si>
    <t>28/08/2025</t>
  </si>
  <si>
    <t>XTTB.2020.56</t>
  </si>
  <si>
    <t>XTTB.2020.5Y</t>
  </si>
  <si>
    <t>XTTB.2020.63</t>
  </si>
  <si>
    <t>28/08/2026</t>
  </si>
  <si>
    <t>XTTB.2020.66</t>
  </si>
  <si>
    <t>XTTB.2020.6Y</t>
  </si>
  <si>
    <t>XTTB.2020.73</t>
  </si>
  <si>
    <t>28/08/2027</t>
  </si>
  <si>
    <t>XTTB.2020.76</t>
  </si>
  <si>
    <t>XTTB.2020.7Y</t>
  </si>
  <si>
    <t>XTTB.2020.83</t>
  </si>
  <si>
    <t>28/08/2028</t>
  </si>
  <si>
    <t>XTTB.2020.86</t>
  </si>
  <si>
    <t>XTTB.2020.8Y</t>
  </si>
  <si>
    <t>XTTB.2020.93</t>
  </si>
  <si>
    <t>28/08/2029</t>
  </si>
  <si>
    <t>XTTB.2020.96</t>
  </si>
  <si>
    <t>XTTB.2020.9Y</t>
  </si>
  <si>
    <t>XTTB.2020.103</t>
  </si>
  <si>
    <t>28/08/2030</t>
  </si>
  <si>
    <t>XTTB.2020.106</t>
  </si>
  <si>
    <t>XTTB.2020.10Y</t>
  </si>
  <si>
    <t>XTTB.2020.23A</t>
  </si>
  <si>
    <t>XTTB.2020.26A</t>
  </si>
  <si>
    <t>XTTB.2020.2YA</t>
  </si>
  <si>
    <t>XTTB.2020.33A</t>
  </si>
  <si>
    <t>XTTB.2020.36A</t>
  </si>
  <si>
    <t>XTTB.2020.3YA</t>
  </si>
  <si>
    <t>XTTB.2020.43A</t>
  </si>
  <si>
    <t>XTTB.2020.46A</t>
  </si>
  <si>
    <t>XTTB.2020.4YA</t>
  </si>
  <si>
    <t>XTTB.2020.53A</t>
  </si>
  <si>
    <t>XTTB.2020.56A</t>
  </si>
  <si>
    <t>XTTB.2020.5YA</t>
  </si>
  <si>
    <t>XTTB.2020.63A</t>
  </si>
  <si>
    <t>XTTB.2020.66A</t>
  </si>
  <si>
    <t>XTTB.2020.6YA</t>
  </si>
  <si>
    <t>XTTB.2020.73A</t>
  </si>
  <si>
    <t>XTTB.2020.76A</t>
  </si>
  <si>
    <t>XTTB.2020.7YA</t>
  </si>
  <si>
    <t>XTTB.2020.83A</t>
  </si>
  <si>
    <t>XTTB.2020.86A</t>
  </si>
  <si>
    <t>XTTB.2020.8YA</t>
  </si>
  <si>
    <t>XTTB.2020.93A</t>
  </si>
  <si>
    <t>XTTB.2020.96A</t>
  </si>
  <si>
    <t>XTTB.2020.9YA</t>
  </si>
  <si>
    <t>XTTB.2020.103A</t>
  </si>
  <si>
    <t>XTTB.2020.106A</t>
  </si>
  <si>
    <t>XTTB.2020.10YA</t>
  </si>
  <si>
    <t>XTTB.2020.23B</t>
  </si>
  <si>
    <t>XTTB.2020.26B</t>
  </si>
  <si>
    <t>XTTB.2020.2YB</t>
  </si>
  <si>
    <t>XTTB.2020.33B</t>
  </si>
  <si>
    <t>XTTB.2020.36B</t>
  </si>
  <si>
    <t>XTTB.2020.3YB</t>
  </si>
  <si>
    <t>XTTB.2020.43B</t>
  </si>
  <si>
    <t>XTTB.2020.46B</t>
  </si>
  <si>
    <t>XTTB.2020.4YB</t>
  </si>
  <si>
    <t>XTTB.2020.53B</t>
  </si>
  <si>
    <t>XTTB.2020.56B</t>
  </si>
  <si>
    <t>XTTB.2020.5YB</t>
  </si>
  <si>
    <t>XTTB.2020.63B</t>
  </si>
  <si>
    <t>XTTB.2020.66B</t>
  </si>
  <si>
    <t>XTTB.2020.6YB</t>
  </si>
  <si>
    <t>XTTB.2020.73B</t>
  </si>
  <si>
    <t>XTTB.2020.76B</t>
  </si>
  <si>
    <t>XTTB.2020.7YB</t>
  </si>
  <si>
    <t>XTTB.2020.83B</t>
  </si>
  <si>
    <t>XTTB.2020.86B</t>
  </si>
  <si>
    <t>XTTB.2020.8YB</t>
  </si>
  <si>
    <t>XTTB.2020.93B</t>
  </si>
  <si>
    <t>XTTB.2020.96B</t>
  </si>
  <si>
    <t>XTTB.2020.9YB</t>
  </si>
  <si>
    <t>XTTB.2020.103B</t>
  </si>
  <si>
    <t>XTTB.2020.106B</t>
  </si>
  <si>
    <t>XTTB.2020.10YB</t>
  </si>
  <si>
    <t>PM_2020.23</t>
  </si>
  <si>
    <t>Công ty cổ phần Thủy điện Pắc Ma</t>
  </si>
  <si>
    <t>11,50%/năm</t>
  </si>
  <si>
    <t>4,50%/năm</t>
  </si>
  <si>
    <t>2946/2020/QĐ-TGĐ ngày 29/10/2020</t>
  </si>
  <si>
    <t>PM_2020.26</t>
  </si>
  <si>
    <t>PM_2020.2Y</t>
  </si>
  <si>
    <t>PM_2020.33</t>
  </si>
  <si>
    <t>PM_2020.36</t>
  </si>
  <si>
    <t>PM_2020.3Y</t>
  </si>
  <si>
    <t>PM_2020.43</t>
  </si>
  <si>
    <t>PM_2020.46</t>
  </si>
  <si>
    <t>PM_2020.4Y</t>
  </si>
  <si>
    <t>PM_2020.53</t>
  </si>
  <si>
    <t>PM_2020.56</t>
  </si>
  <si>
    <t>PM_2020.5Y</t>
  </si>
  <si>
    <t>PM_2020.63</t>
  </si>
  <si>
    <t>PM_2020.66</t>
  </si>
  <si>
    <t>PM_2020.6Y</t>
  </si>
  <si>
    <t>PM_2020.23A</t>
  </si>
  <si>
    <t>PM_2020.26A</t>
  </si>
  <si>
    <t>PM_2020.2YA</t>
  </si>
  <si>
    <t>PM_2020.33A</t>
  </si>
  <si>
    <t>PM_2020.36A</t>
  </si>
  <si>
    <t>PM_2020.3YA</t>
  </si>
  <si>
    <t>PM_2020.43A</t>
  </si>
  <si>
    <t>PM_2020.46A</t>
  </si>
  <si>
    <t>PM_2020.4YA</t>
  </si>
  <si>
    <t>PM_2020.53A</t>
  </si>
  <si>
    <t>PM_2020.56A</t>
  </si>
  <si>
    <t>PM_2020.5YA</t>
  </si>
  <si>
    <t>PM_2020.63A</t>
  </si>
  <si>
    <t>PM_2020.66A</t>
  </si>
  <si>
    <t>PM_2020.6YA</t>
  </si>
  <si>
    <t>PM_2020.23B</t>
  </si>
  <si>
    <t>PM_2020.26B</t>
  </si>
  <si>
    <t>PM_2020.2YB</t>
  </si>
  <si>
    <t>PM_2020.33B</t>
  </si>
  <si>
    <t>PM_2020.36B</t>
  </si>
  <si>
    <t>PM_2020.3YB</t>
  </si>
  <si>
    <t>PM_2020.43B</t>
  </si>
  <si>
    <t>PM_2020.46B</t>
  </si>
  <si>
    <t>PM_2020.4YB</t>
  </si>
  <si>
    <t>PM_2020.53B</t>
  </si>
  <si>
    <t>PM_2020.56B</t>
  </si>
  <si>
    <t>PM_2020.5YB</t>
  </si>
  <si>
    <t>PM_2020.63B</t>
  </si>
  <si>
    <t>PM_2020.66B</t>
  </si>
  <si>
    <t>PM_2020.6YB</t>
  </si>
  <si>
    <t>PM_2020.23V</t>
  </si>
  <si>
    <t>PM_2020.26V</t>
  </si>
  <si>
    <t>PM_2020.2YV</t>
  </si>
  <si>
    <t>PM_2020.33V</t>
  </si>
  <si>
    <t>PM_2020.36V</t>
  </si>
  <si>
    <t>PM_2020.3YV</t>
  </si>
  <si>
    <t>PM_2020.43V</t>
  </si>
  <si>
    <t>PM_2020.46V</t>
  </si>
  <si>
    <t>PM_2020.4YV</t>
  </si>
  <si>
    <t>PM_2020.53V</t>
  </si>
  <si>
    <t>PM_2020.56V</t>
  </si>
  <si>
    <t>PM_2020.5YV</t>
  </si>
  <si>
    <t>PM_2020.63V</t>
  </si>
  <si>
    <t>PM_2020.66V</t>
  </si>
  <si>
    <t>PM_2020.6YV</t>
  </si>
  <si>
    <t>XTNT.2020.23</t>
  </si>
  <si>
    <t>Công ty cổ phần Xuân Thiện Ninh Thuận</t>
  </si>
  <si>
    <t>2,00%/năm</t>
  </si>
  <si>
    <t>2809/2020/QĐ-TGĐ ngày 14/10/2020</t>
  </si>
  <si>
    <t>XTNT.2020.26</t>
  </si>
  <si>
    <t>XTNT.2020.2Y</t>
  </si>
  <si>
    <t>XTNT.2020.33</t>
  </si>
  <si>
    <t>XTNT.2020.36</t>
  </si>
  <si>
    <t>XTNT.2020.3Y</t>
  </si>
  <si>
    <t>XTNT.2020.43</t>
  </si>
  <si>
    <t>XTNT.2020.46</t>
  </si>
  <si>
    <t>XTNT.2020.4Y</t>
  </si>
  <si>
    <t>XTNT.2020.73</t>
  </si>
  <si>
    <t>XTNT.2020.76</t>
  </si>
  <si>
    <t>XTNT.2020.7Y</t>
  </si>
  <si>
    <t>XTNT.2020.83</t>
  </si>
  <si>
    <t>XTNT.2020.86</t>
  </si>
  <si>
    <t>XTNT.2020.8Y</t>
  </si>
  <si>
    <t>XTNT.2020.93</t>
  </si>
  <si>
    <t>XTNT.2020.96</t>
  </si>
  <si>
    <t>XTNT.2020.9Y</t>
  </si>
  <si>
    <t>XTNT.2020.23A</t>
  </si>
  <si>
    <t>XTNT.2020.26A</t>
  </si>
  <si>
    <t>XTNT.2020.2YA</t>
  </si>
  <si>
    <t>XTNT.2020.33A</t>
  </si>
  <si>
    <t>XTNT.2020.36A</t>
  </si>
  <si>
    <t>XTNT.2020.3YA</t>
  </si>
  <si>
    <t>XTNT.2020.43A</t>
  </si>
  <si>
    <t>XTNT.2020.46A</t>
  </si>
  <si>
    <t>XTNT.2020.4YA</t>
  </si>
  <si>
    <t>Trung tâm kinh doanh 
sản phẩm dầu tư bán lẻ</t>
  </si>
  <si>
    <t>XTNT.2020.73A</t>
  </si>
  <si>
    <t>XTNT.2020.76A</t>
  </si>
  <si>
    <t>XTNT.2020.7YA</t>
  </si>
  <si>
    <t>XTNT.2020.83A</t>
  </si>
  <si>
    <t>XTNT.2020.86A</t>
  </si>
  <si>
    <t>XTNT.2020.8YA</t>
  </si>
  <si>
    <t>XTNT.2020.93A</t>
  </si>
  <si>
    <t>XTNT.2020.96A</t>
  </si>
  <si>
    <t>XTNT.2020.9YA</t>
  </si>
  <si>
    <t>XTNT.2020.23B</t>
  </si>
  <si>
    <t>XTNT.2020.26B</t>
  </si>
  <si>
    <t>XTNT.2020.2YB</t>
  </si>
  <si>
    <t>XTNT.2020.33B</t>
  </si>
  <si>
    <t>XTNT.2020.36B</t>
  </si>
  <si>
    <t>XTNT.2020.3YB</t>
  </si>
  <si>
    <t>XTNT.2020.43B</t>
  </si>
  <si>
    <t>XTNT.2020.46B</t>
  </si>
  <si>
    <t>XTNT.2020.4YB</t>
  </si>
  <si>
    <t>XTNT.2020.73B</t>
  </si>
  <si>
    <t>XTNT.2020.76B</t>
  </si>
  <si>
    <t>XTNT.2020.7YB</t>
  </si>
  <si>
    <t>XTNT.2020.83B</t>
  </si>
  <si>
    <t>XTNT.2020.86B</t>
  </si>
  <si>
    <t>XTNT.2020.8YB</t>
  </si>
  <si>
    <t>XTNT.2020.93B</t>
  </si>
  <si>
    <t>XTNT.2020.96B</t>
  </si>
  <si>
    <t>XTNT.2020.9YB</t>
  </si>
  <si>
    <t>A</t>
  </si>
  <si>
    <t>2379/2019/QĐ-TGĐ ngày 11/10/2019</t>
  </si>
  <si>
    <r>
      <t xml:space="preserve">Loại hình giao dịch:      </t>
    </r>
    <r>
      <rPr>
        <sz val="14"/>
        <color theme="1"/>
        <rFont val="Wingdings"/>
        <charset val="2"/>
      </rPr>
      <t>þ</t>
    </r>
    <r>
      <rPr>
        <sz val="14"/>
        <color theme="1"/>
        <rFont val="Times New Roman"/>
        <family val="1"/>
      </rPr>
      <t xml:space="preserve"> Mua TP       </t>
    </r>
  </si>
  <si>
    <r>
      <t xml:space="preserve">  </t>
    </r>
    <r>
      <rPr>
        <sz val="14"/>
        <color theme="1"/>
        <rFont val="Wingdings"/>
        <charset val="2"/>
      </rPr>
      <t>o</t>
    </r>
    <r>
      <rPr>
        <sz val="14"/>
        <color theme="1"/>
        <rFont val="Times New Roman"/>
        <family val="1"/>
      </rPr>
      <t xml:space="preserve"> Bán TP</t>
    </r>
  </si>
  <si>
    <t>EASUP5.E13.2020</t>
  </si>
  <si>
    <t>1904/2020/QĐ-TGĐ ngày 01/07/2020</t>
  </si>
  <si>
    <t>EASUP5.E16.2020</t>
  </si>
  <si>
    <t>EASUP5.E1Y.2020</t>
  </si>
  <si>
    <t>EASUP5.E23.2020</t>
  </si>
  <si>
    <t>EASUP5.E26.2020</t>
  </si>
  <si>
    <t>EASUP5.E2Y.2020</t>
  </si>
  <si>
    <t>EASUP5.E33.2020</t>
  </si>
  <si>
    <t>EASUP5.E36.2020</t>
  </si>
  <si>
    <t>EASUP5.E3Y.2020</t>
  </si>
  <si>
    <t>EASUP5.E43.2020</t>
  </si>
  <si>
    <t>EASUP5.E46.2020</t>
  </si>
  <si>
    <t>EASUP5.E4Y.2020</t>
  </si>
  <si>
    <t>EASUP5.E53.2020</t>
  </si>
  <si>
    <t>EASUP5.E56.2020</t>
  </si>
  <si>
    <t>EASUP5.E5Y.2020</t>
  </si>
  <si>
    <t>EASUP5.E63.2020</t>
  </si>
  <si>
    <t>EASUP5.E66.2020</t>
  </si>
  <si>
    <t>EASUP5.E6Y.2020</t>
  </si>
  <si>
    <t>EASUP5.E73.2020</t>
  </si>
  <si>
    <t>EASUP5.E76.2020</t>
  </si>
  <si>
    <t>EASUP5.E7Y.2020</t>
  </si>
  <si>
    <t>EASUP5.E83.2020</t>
  </si>
  <si>
    <t>EASUP5.E86.2020</t>
  </si>
  <si>
    <t>EASUP5.E8Y.2020</t>
  </si>
  <si>
    <t>EASUP5.E93.2020</t>
  </si>
  <si>
    <t>EASUP5.E96.2020</t>
  </si>
  <si>
    <t>EASUP5.E9Y.2020</t>
  </si>
  <si>
    <t>EASUP5.E103.2020</t>
  </si>
  <si>
    <t>EASUP5.E106.2020</t>
  </si>
  <si>
    <t>EASUP5.E10Y.2020</t>
  </si>
  <si>
    <t>EASUP5.E113.2020</t>
  </si>
  <si>
    <t>EASUP5.E116.2020</t>
  </si>
  <si>
    <t>EASUP5.E11Y.2020</t>
  </si>
  <si>
    <t>EASUP5.E123.2020</t>
  </si>
  <si>
    <t>EASUP5.E126.2020</t>
  </si>
  <si>
    <t>EASUP5.E12Y.2020</t>
  </si>
  <si>
    <t>HM cấp: Giá trị giao dịch</t>
  </si>
  <si>
    <t>(Quyết định mua, bán attach trong màn hình quản lý 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</si>
</sst>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.00_-;\-* #,##0.00_-;_-* &quot;-&quot;??_-;_-@_-"/>
    <numFmt numFmtId="169" formatCode="#,##0.00\ &quot;kr&quot;;\-#,##0.00\ &quot;kr&quot;"/>
    <numFmt numFmtId="170" formatCode="0.00_)"/>
    <numFmt numFmtId="171" formatCode="_(* #,##0.000000_);_(* \(#,##0.000000\);_(* &quot;-&quot;??_);_(@_)"/>
    <numFmt numFmtId="172" formatCode="_(* #,##0.0000000_);_(* \(#,##0.0000000\);_(* &quot;-&quot;??_);_(@_)"/>
    <numFmt numFmtId="173" formatCode="_(* #,##0.0000_);_(* \(#,##0.0000\);_(* &quot;-&quot;??_);_(@_)"/>
    <numFmt numFmtId="174" formatCode="_(* #,##0.00000_);_(* \(#,##0.00000\);_(* &quot;-&quot;??_);_(@_)"/>
    <numFmt numFmtId="175" formatCode="#,##0.00\ &quot;kr&quot;;[Red]\-#,##0.00\ &quot;kr&quot;"/>
    <numFmt numFmtId="176" formatCode="_-* #,##0\ &quot;kr&quot;_-;\-* #,##0\ &quot;kr&quot;_-;_-* &quot;-&quot;\ &quot;kr&quot;_-;_-@_-"/>
    <numFmt numFmtId="177" formatCode="#,##0\ &quot;kr&quot;;[Red]\-#,##0\ &quot;kr&quot;"/>
    <numFmt numFmtId="178" formatCode="#,##0\ &quot;kr&quot;;\-#,##0\ &quot;kr&quot;"/>
    <numFmt numFmtId="179" formatCode="_-* #,##0_-;\-* #,##0_-;_-* &quot;-&quot;_-;_-@_-"/>
    <numFmt numFmtId="180" formatCode="_-&quot;$&quot;* #,##0_-;\-&quot;$&quot;* #,##0_-;_-&quot;$&quot;* &quot;-&quot;_-;_-@_-"/>
    <numFmt numFmtId="181" formatCode="_-&quot;$&quot;* #,##0.00_-;\-&quot;$&quot;* #,##0.00_-;_-&quot;$&quot;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name val="Times New Roman"/>
      <family val="1"/>
    </font>
    <font>
      <sz val="14"/>
      <color theme="1"/>
      <name val="Wingdings"/>
      <charset val="2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2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2"/>
      <name val="¹UAAA¼"/>
      <family val="3"/>
      <charset val="129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.VnTime"/>
      <family val="2"/>
    </font>
    <font>
      <b/>
      <sz val="12"/>
      <name val="Arial"/>
      <family val="2"/>
    </font>
    <font>
      <b/>
      <i/>
      <sz val="16"/>
      <name val="Helv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2"/>
      <name val="新細明體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20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21" fillId="0" borderId="0"/>
    <xf numFmtId="43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top"/>
    </xf>
    <xf numFmtId="43" fontId="22" fillId="0" borderId="0" applyFont="0" applyFill="0" applyBorder="0" applyAlignment="0" applyProtection="0">
      <alignment vertical="top"/>
    </xf>
    <xf numFmtId="3" fontId="18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5" fillId="0" borderId="6" applyNumberFormat="0" applyAlignment="0" applyProtection="0">
      <alignment horizontal="left" vertical="center"/>
    </xf>
    <xf numFmtId="0" fontId="25" fillId="0" borderId="2">
      <alignment horizontal="left" vertical="center"/>
    </xf>
    <xf numFmtId="170" fontId="26" fillId="0" borderId="0"/>
    <xf numFmtId="0" fontId="27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22" fillId="0" borderId="0">
      <alignment vertical="top"/>
    </xf>
    <xf numFmtId="0" fontId="23" fillId="0" borderId="0"/>
    <xf numFmtId="0" fontId="22" fillId="0" borderId="0"/>
    <xf numFmtId="0" fontId="18" fillId="0" borderId="0"/>
    <xf numFmtId="0" fontId="27" fillId="0" borderId="0"/>
    <xf numFmtId="0" fontId="18" fillId="0" borderId="0"/>
    <xf numFmtId="0" fontId="22" fillId="0" borderId="0">
      <alignment vertical="top"/>
    </xf>
    <xf numFmtId="0" fontId="18" fillId="0" borderId="0"/>
    <xf numFmtId="0" fontId="28" fillId="0" borderId="0"/>
    <xf numFmtId="9" fontId="18" fillId="0" borderId="0" applyFont="0" applyFill="0" applyBorder="0" applyAlignment="0" applyProtection="0"/>
    <xf numFmtId="171" fontId="18" fillId="0" borderId="1">
      <alignment horizontal="right" vertical="center"/>
    </xf>
    <xf numFmtId="172" fontId="18" fillId="0" borderId="1">
      <alignment horizontal="center"/>
    </xf>
    <xf numFmtId="173" fontId="18" fillId="0" borderId="0"/>
    <xf numFmtId="174" fontId="18" fillId="0" borderId="4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175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2" fillId="0" borderId="0"/>
    <xf numFmtId="0" fontId="33" fillId="0" borderId="0"/>
    <xf numFmtId="179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43" fontId="2" fillId="0" borderId="0" xfId="1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 applyFill="1"/>
    <xf numFmtId="0" fontId="2" fillId="0" borderId="0" xfId="0" quotePrefix="1" applyFont="1"/>
    <xf numFmtId="0" fontId="5" fillId="0" borderId="0" xfId="0" applyFont="1"/>
    <xf numFmtId="164" fontId="2" fillId="0" borderId="0" xfId="1" applyNumberFormat="1" applyFont="1"/>
    <xf numFmtId="0" fontId="7" fillId="0" borderId="0" xfId="0" applyFont="1" applyFill="1"/>
    <xf numFmtId="43" fontId="2" fillId="0" borderId="0" xfId="0" applyNumberFormat="1" applyFont="1"/>
    <xf numFmtId="0" fontId="9" fillId="0" borderId="0" xfId="0" applyFont="1"/>
    <xf numFmtId="164" fontId="10" fillId="0" borderId="0" xfId="0" applyNumberFormat="1" applyFont="1" applyFill="1"/>
    <xf numFmtId="0" fontId="11" fillId="0" borderId="0" xfId="0" applyFont="1"/>
    <xf numFmtId="165" fontId="2" fillId="0" borderId="0" xfId="0" quotePrefix="1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2" fillId="0" borderId="0" xfId="0" quotePrefix="1" applyNumberFormat="1" applyFont="1"/>
    <xf numFmtId="0" fontId="11" fillId="0" borderId="4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5" fontId="2" fillId="0" borderId="0" xfId="0" quotePrefix="1" applyNumberFormat="1" applyFont="1" applyFill="1" applyBorder="1"/>
    <xf numFmtId="0" fontId="2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7" fillId="0" borderId="4" xfId="0" applyFont="1" applyFill="1" applyBorder="1"/>
    <xf numFmtId="16" fontId="2" fillId="0" borderId="0" xfId="0" applyNumberFormat="1" applyFont="1"/>
    <xf numFmtId="0" fontId="1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4" fontId="9" fillId="0" borderId="0" xfId="0" applyNumberFormat="1" applyFont="1"/>
    <xf numFmtId="0" fontId="14" fillId="2" borderId="0" xfId="0" applyFont="1" applyFill="1"/>
    <xf numFmtId="164" fontId="2" fillId="0" borderId="0" xfId="1" applyNumberFormat="1" applyFont="1" applyFill="1" applyBorder="1"/>
    <xf numFmtId="0" fontId="15" fillId="0" borderId="4" xfId="0" applyFont="1" applyBorder="1" applyAlignment="1">
      <alignment vertical="center"/>
    </xf>
    <xf numFmtId="0" fontId="16" fillId="0" borderId="0" xfId="0" applyFont="1"/>
    <xf numFmtId="16" fontId="17" fillId="0" borderId="0" xfId="0" applyNumberFormat="1" applyFont="1"/>
    <xf numFmtId="0" fontId="17" fillId="0" borderId="0" xfId="0" applyFont="1"/>
    <xf numFmtId="0" fontId="17" fillId="0" borderId="0" xfId="0" quotePrefix="1" applyFont="1"/>
    <xf numFmtId="0" fontId="14" fillId="0" borderId="0" xfId="0" applyFont="1"/>
    <xf numFmtId="0" fontId="2" fillId="0" borderId="0" xfId="0" applyFont="1" applyAlignment="1">
      <alignment horizontal="right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wrapText="1"/>
    </xf>
    <xf numFmtId="43" fontId="2" fillId="0" borderId="0" xfId="0" applyNumberFormat="1" applyFont="1" applyAlignment="1">
      <alignment horizontal="left" wrapText="1"/>
    </xf>
  </cellXfs>
  <cellStyles count="66"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_HOBONG" xfId="7"/>
    <cellStyle name="??_(????)??????" xfId="8"/>
    <cellStyle name="AeE­ [0]_INQUIRY ¿μ¾÷AßAø " xfId="9"/>
    <cellStyle name="AeE­_INQUIRY ¿µ¾÷AßAø " xfId="10"/>
    <cellStyle name="AÞ¸¶ [0]_INQUIRY ¿?¾÷AßAø " xfId="11"/>
    <cellStyle name="AÞ¸¶_INQUIRY ¿?¾÷AßAø " xfId="12"/>
    <cellStyle name="C?AØ_¿?¾÷CoE² " xfId="13"/>
    <cellStyle name="C￥AØ_¿μ¾÷CoE² " xfId="14"/>
    <cellStyle name="Comma" xfId="1" builtinId="3"/>
    <cellStyle name="Comma 2" xfId="15"/>
    <cellStyle name="Comma 2 2" xfId="16"/>
    <cellStyle name="Comma 3" xfId="17"/>
    <cellStyle name="Comma 3 2" xfId="18"/>
    <cellStyle name="Comma 3 3" xfId="19"/>
    <cellStyle name="Comma 4" xfId="20"/>
    <cellStyle name="Comma 4 2" xfId="21"/>
    <cellStyle name="Comma 5" xfId="22"/>
    <cellStyle name="Comma 6" xfId="23"/>
    <cellStyle name="Comma0" xfId="24"/>
    <cellStyle name="Currency0" xfId="25"/>
    <cellStyle name="Date" xfId="26"/>
    <cellStyle name="Fixed" xfId="27"/>
    <cellStyle name="Header1" xfId="28"/>
    <cellStyle name="Header2" xfId="29"/>
    <cellStyle name="Normal" xfId="0" builtinId="0"/>
    <cellStyle name="Normal - Style1" xfId="30"/>
    <cellStyle name="Normal 12" xfId="31"/>
    <cellStyle name="Normal 2" xfId="32"/>
    <cellStyle name="Normal 2 2" xfId="33"/>
    <cellStyle name="Normal 2 2 2" xfId="34"/>
    <cellStyle name="Normal 2 3" xfId="35"/>
    <cellStyle name="Normal 2 4" xfId="36"/>
    <cellStyle name="Normal 2_Phuluc3" xfId="37"/>
    <cellStyle name="Normal 3" xfId="38"/>
    <cellStyle name="Normal 3 2" xfId="39"/>
    <cellStyle name="Normal 3 3" xfId="40"/>
    <cellStyle name="Normal 4" xfId="41"/>
    <cellStyle name="Normal 5" xfId="42"/>
    <cellStyle name="Normal 6" xfId="43"/>
    <cellStyle name="Normal 7" xfId="44"/>
    <cellStyle name="Percent 2" xfId="45"/>
    <cellStyle name="T" xfId="46"/>
    <cellStyle name="th" xfId="47"/>
    <cellStyle name="viet" xfId="48"/>
    <cellStyle name="viet2" xfId="49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95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  <cellStyle name="一般_Book1" xfId="61"/>
    <cellStyle name="千分位[0]_Book1" xfId="62"/>
    <cellStyle name="千分位_Book1" xfId="63"/>
    <cellStyle name="貨幣 [0]_Book1" xfId="64"/>
    <cellStyle name="貨幣_Book1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104775</xdr:rowOff>
    </xdr:from>
    <xdr:to>
      <xdr:col>7</xdr:col>
      <xdr:colOff>495300</xdr:colOff>
      <xdr:row>3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3657600" y="876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35</xdr:row>
      <xdr:rowOff>104775</xdr:rowOff>
    </xdr:from>
    <xdr:to>
      <xdr:col>7</xdr:col>
      <xdr:colOff>495300</xdr:colOff>
      <xdr:row>35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3657600" y="103632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35</xdr:row>
      <xdr:rowOff>104775</xdr:rowOff>
    </xdr:from>
    <xdr:to>
      <xdr:col>7</xdr:col>
      <xdr:colOff>495300</xdr:colOff>
      <xdr:row>35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3657600" y="103632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66</xdr:row>
      <xdr:rowOff>104775</xdr:rowOff>
    </xdr:from>
    <xdr:to>
      <xdr:col>7</xdr:col>
      <xdr:colOff>495300</xdr:colOff>
      <xdr:row>66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3657600" y="194786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66</xdr:row>
      <xdr:rowOff>104775</xdr:rowOff>
    </xdr:from>
    <xdr:to>
      <xdr:col>7</xdr:col>
      <xdr:colOff>495300</xdr:colOff>
      <xdr:row>66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900-000014000000}"/>
            </a:ext>
          </a:extLst>
        </xdr:cNvPr>
        <xdr:cNvCxnSpPr/>
      </xdr:nvCxnSpPr>
      <xdr:spPr>
        <a:xfrm>
          <a:off x="3657600" y="194786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97</xdr:row>
      <xdr:rowOff>104775</xdr:rowOff>
    </xdr:from>
    <xdr:to>
      <xdr:col>7</xdr:col>
      <xdr:colOff>495300</xdr:colOff>
      <xdr:row>97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900-000018000000}"/>
            </a:ext>
          </a:extLst>
        </xdr:cNvPr>
        <xdr:cNvCxnSpPr/>
      </xdr:nvCxnSpPr>
      <xdr:spPr>
        <a:xfrm>
          <a:off x="3657600" y="285845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97</xdr:row>
      <xdr:rowOff>104775</xdr:rowOff>
    </xdr:from>
    <xdr:to>
      <xdr:col>7</xdr:col>
      <xdr:colOff>495300</xdr:colOff>
      <xdr:row>97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900-00001C000000}"/>
            </a:ext>
          </a:extLst>
        </xdr:cNvPr>
        <xdr:cNvCxnSpPr/>
      </xdr:nvCxnSpPr>
      <xdr:spPr>
        <a:xfrm>
          <a:off x="3657600" y="285845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128</xdr:row>
      <xdr:rowOff>104775</xdr:rowOff>
    </xdr:from>
    <xdr:to>
      <xdr:col>7</xdr:col>
      <xdr:colOff>495300</xdr:colOff>
      <xdr:row>128</xdr:row>
      <xdr:rowOff>104775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900-00002E000000}"/>
            </a:ext>
          </a:extLst>
        </xdr:cNvPr>
        <xdr:cNvCxnSpPr/>
      </xdr:nvCxnSpPr>
      <xdr:spPr>
        <a:xfrm>
          <a:off x="3657600" y="379952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128</xdr:row>
      <xdr:rowOff>104775</xdr:rowOff>
    </xdr:from>
    <xdr:to>
      <xdr:col>7</xdr:col>
      <xdr:colOff>495300</xdr:colOff>
      <xdr:row>128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900-00002F000000}"/>
            </a:ext>
          </a:extLst>
        </xdr:cNvPr>
        <xdr:cNvCxnSpPr/>
      </xdr:nvCxnSpPr>
      <xdr:spPr>
        <a:xfrm>
          <a:off x="3657600" y="379952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159</xdr:row>
      <xdr:rowOff>104775</xdr:rowOff>
    </xdr:from>
    <xdr:to>
      <xdr:col>7</xdr:col>
      <xdr:colOff>495300</xdr:colOff>
      <xdr:row>159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900-000033000000}"/>
            </a:ext>
          </a:extLst>
        </xdr:cNvPr>
        <xdr:cNvCxnSpPr/>
      </xdr:nvCxnSpPr>
      <xdr:spPr>
        <a:xfrm>
          <a:off x="3657600" y="47434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159</xdr:row>
      <xdr:rowOff>104775</xdr:rowOff>
    </xdr:from>
    <xdr:to>
      <xdr:col>7</xdr:col>
      <xdr:colOff>495300</xdr:colOff>
      <xdr:row>159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900-000034000000}"/>
            </a:ext>
          </a:extLst>
        </xdr:cNvPr>
        <xdr:cNvCxnSpPr/>
      </xdr:nvCxnSpPr>
      <xdr:spPr>
        <a:xfrm>
          <a:off x="3657600" y="47434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189</xdr:row>
      <xdr:rowOff>104775</xdr:rowOff>
    </xdr:from>
    <xdr:to>
      <xdr:col>7</xdr:col>
      <xdr:colOff>495300</xdr:colOff>
      <xdr:row>189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900-000038000000}"/>
            </a:ext>
          </a:extLst>
        </xdr:cNvPr>
        <xdr:cNvCxnSpPr/>
      </xdr:nvCxnSpPr>
      <xdr:spPr>
        <a:xfrm>
          <a:off x="3657600" y="56826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189</xdr:row>
      <xdr:rowOff>104775</xdr:rowOff>
    </xdr:from>
    <xdr:to>
      <xdr:col>7</xdr:col>
      <xdr:colOff>495300</xdr:colOff>
      <xdr:row>189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="" xmlns:a16="http://schemas.microsoft.com/office/drawing/2014/main" id="{00000000-0008-0000-0900-000039000000}"/>
            </a:ext>
          </a:extLst>
        </xdr:cNvPr>
        <xdr:cNvCxnSpPr/>
      </xdr:nvCxnSpPr>
      <xdr:spPr>
        <a:xfrm>
          <a:off x="3657600" y="56826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220</xdr:row>
      <xdr:rowOff>104775</xdr:rowOff>
    </xdr:from>
    <xdr:to>
      <xdr:col>7</xdr:col>
      <xdr:colOff>495300</xdr:colOff>
      <xdr:row>220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="" xmlns:a16="http://schemas.microsoft.com/office/drawing/2014/main" id="{00000000-0008-0000-0900-00003D000000}"/>
            </a:ext>
          </a:extLst>
        </xdr:cNvPr>
        <xdr:cNvCxnSpPr/>
      </xdr:nvCxnSpPr>
      <xdr:spPr>
        <a:xfrm>
          <a:off x="3657600" y="6631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220</xdr:row>
      <xdr:rowOff>104775</xdr:rowOff>
    </xdr:from>
    <xdr:to>
      <xdr:col>7</xdr:col>
      <xdr:colOff>495300</xdr:colOff>
      <xdr:row>220</xdr:row>
      <xdr:rowOff>104775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900-00003E000000}"/>
            </a:ext>
          </a:extLst>
        </xdr:cNvPr>
        <xdr:cNvCxnSpPr/>
      </xdr:nvCxnSpPr>
      <xdr:spPr>
        <a:xfrm>
          <a:off x="3657600" y="6631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251</xdr:row>
      <xdr:rowOff>104775</xdr:rowOff>
    </xdr:from>
    <xdr:to>
      <xdr:col>7</xdr:col>
      <xdr:colOff>495300</xdr:colOff>
      <xdr:row>251</xdr:row>
      <xdr:rowOff>104775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900-000042000000}"/>
            </a:ext>
          </a:extLst>
        </xdr:cNvPr>
        <xdr:cNvCxnSpPr/>
      </xdr:nvCxnSpPr>
      <xdr:spPr>
        <a:xfrm>
          <a:off x="3657600" y="75628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251</xdr:row>
      <xdr:rowOff>104775</xdr:rowOff>
    </xdr:from>
    <xdr:to>
      <xdr:col>7</xdr:col>
      <xdr:colOff>495300</xdr:colOff>
      <xdr:row>251</xdr:row>
      <xdr:rowOff>104775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00000000-0008-0000-0900-000043000000}"/>
            </a:ext>
          </a:extLst>
        </xdr:cNvPr>
        <xdr:cNvCxnSpPr/>
      </xdr:nvCxnSpPr>
      <xdr:spPr>
        <a:xfrm>
          <a:off x="3657600" y="75628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282</xdr:row>
      <xdr:rowOff>104775</xdr:rowOff>
    </xdr:from>
    <xdr:to>
      <xdr:col>7</xdr:col>
      <xdr:colOff>495300</xdr:colOff>
      <xdr:row>282</xdr:row>
      <xdr:rowOff>104775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00000000-0008-0000-0900-000047000000}"/>
            </a:ext>
          </a:extLst>
        </xdr:cNvPr>
        <xdr:cNvCxnSpPr/>
      </xdr:nvCxnSpPr>
      <xdr:spPr>
        <a:xfrm>
          <a:off x="3657600" y="85077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282</xdr:row>
      <xdr:rowOff>104775</xdr:rowOff>
    </xdr:from>
    <xdr:to>
      <xdr:col>7</xdr:col>
      <xdr:colOff>495300</xdr:colOff>
      <xdr:row>282</xdr:row>
      <xdr:rowOff>104775</xdr:rowOff>
    </xdr:to>
    <xdr:cxnSp macro="">
      <xdr:nvCxnSpPr>
        <xdr:cNvPr id="20" name="Straight Connector 19">
          <a:extLst>
            <a:ext uri="{FF2B5EF4-FFF2-40B4-BE49-F238E27FC236}">
              <a16:creationId xmlns="" xmlns:a16="http://schemas.microsoft.com/office/drawing/2014/main" id="{00000000-0008-0000-0900-000048000000}"/>
            </a:ext>
          </a:extLst>
        </xdr:cNvPr>
        <xdr:cNvCxnSpPr/>
      </xdr:nvCxnSpPr>
      <xdr:spPr>
        <a:xfrm>
          <a:off x="3657600" y="85077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450850</xdr:colOff>
      <xdr:row>1</xdr:row>
      <xdr:rowOff>50800</xdr:rowOff>
    </xdr:from>
    <xdr:to>
      <xdr:col>3</xdr:col>
      <xdr:colOff>722630</xdr:colOff>
      <xdr:row>3</xdr:row>
      <xdr:rowOff>200025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07975"/>
          <a:ext cx="1490980" cy="663575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33</xdr:row>
      <xdr:rowOff>98425</xdr:rowOff>
    </xdr:from>
    <xdr:to>
      <xdr:col>3</xdr:col>
      <xdr:colOff>494030</xdr:colOff>
      <xdr:row>36</xdr:row>
      <xdr:rowOff>60325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550" y="9880600"/>
          <a:ext cx="149098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63</xdr:row>
      <xdr:rowOff>177800</xdr:rowOff>
    </xdr:from>
    <xdr:to>
      <xdr:col>3</xdr:col>
      <xdr:colOff>640080</xdr:colOff>
      <xdr:row>66</xdr:row>
      <xdr:rowOff>184150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18837275"/>
          <a:ext cx="1490980" cy="720725"/>
        </a:xfrm>
        <a:prstGeom prst="rect">
          <a:avLst/>
        </a:prstGeom>
      </xdr:spPr>
    </xdr:pic>
    <xdr:clientData/>
  </xdr:twoCellAnchor>
  <xdr:twoCellAnchor editAs="oneCell">
    <xdr:from>
      <xdr:col>1</xdr:col>
      <xdr:colOff>450850</xdr:colOff>
      <xdr:row>95</xdr:row>
      <xdr:rowOff>31750</xdr:rowOff>
    </xdr:from>
    <xdr:to>
      <xdr:col>3</xdr:col>
      <xdr:colOff>722630</xdr:colOff>
      <xdr:row>97</xdr:row>
      <xdr:rowOff>196850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8035250"/>
          <a:ext cx="1490980" cy="641350"/>
        </a:xfrm>
        <a:prstGeom prst="rect">
          <a:avLst/>
        </a:prstGeom>
      </xdr:spPr>
    </xdr:pic>
    <xdr:clientData/>
  </xdr:twoCellAnchor>
  <xdr:twoCellAnchor editAs="oneCell">
    <xdr:from>
      <xdr:col>1</xdr:col>
      <xdr:colOff>463550</xdr:colOff>
      <xdr:row>125</xdr:row>
      <xdr:rowOff>222250</xdr:rowOff>
    </xdr:from>
    <xdr:to>
      <xdr:col>3</xdr:col>
      <xdr:colOff>735330</xdr:colOff>
      <xdr:row>128</xdr:row>
      <xdr:rowOff>158750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37341175"/>
          <a:ext cx="1490980" cy="708025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157</xdr:row>
      <xdr:rowOff>50800</xdr:rowOff>
    </xdr:from>
    <xdr:to>
      <xdr:col>3</xdr:col>
      <xdr:colOff>728980</xdr:colOff>
      <xdr:row>159</xdr:row>
      <xdr:rowOff>158750</xdr:rowOff>
    </xdr:to>
    <xdr:pic>
      <xdr:nvPicPr>
        <xdr:cNvPr id="34" name="Picture 33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46866175"/>
          <a:ext cx="1490980" cy="62230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187</xdr:row>
      <xdr:rowOff>69850</xdr:rowOff>
    </xdr:from>
    <xdr:to>
      <xdr:col>3</xdr:col>
      <xdr:colOff>709930</xdr:colOff>
      <xdr:row>189</xdr:row>
      <xdr:rowOff>206375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56276875"/>
          <a:ext cx="1490980" cy="65087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218</xdr:row>
      <xdr:rowOff>31750</xdr:rowOff>
    </xdr:from>
    <xdr:to>
      <xdr:col>3</xdr:col>
      <xdr:colOff>703580</xdr:colOff>
      <xdr:row>220</xdr:row>
      <xdr:rowOff>165100</xdr:rowOff>
    </xdr:to>
    <xdr:pic>
      <xdr:nvPicPr>
        <xdr:cNvPr id="36" name="Picture 35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" y="65725675"/>
          <a:ext cx="1490980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248</xdr:row>
      <xdr:rowOff>222250</xdr:rowOff>
    </xdr:from>
    <xdr:to>
      <xdr:col>3</xdr:col>
      <xdr:colOff>709930</xdr:colOff>
      <xdr:row>251</xdr:row>
      <xdr:rowOff>152400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4974450"/>
          <a:ext cx="1490980" cy="701675"/>
        </a:xfrm>
        <a:prstGeom prst="rect">
          <a:avLst/>
        </a:prstGeom>
      </xdr:spPr>
    </xdr:pic>
    <xdr:clientData/>
  </xdr:twoCellAnchor>
  <xdr:twoCellAnchor editAs="oneCell">
    <xdr:from>
      <xdr:col>1</xdr:col>
      <xdr:colOff>463550</xdr:colOff>
      <xdr:row>280</xdr:row>
      <xdr:rowOff>25400</xdr:rowOff>
    </xdr:from>
    <xdr:to>
      <xdr:col>3</xdr:col>
      <xdr:colOff>735330</xdr:colOff>
      <xdr:row>282</xdr:row>
      <xdr:rowOff>184150</xdr:rowOff>
    </xdr:to>
    <xdr:pic>
      <xdr:nvPicPr>
        <xdr:cNvPr id="38" name="Picture 37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84483575"/>
          <a:ext cx="149098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488950</xdr:colOff>
      <xdr:row>310</xdr:row>
      <xdr:rowOff>0</xdr:rowOff>
    </xdr:from>
    <xdr:to>
      <xdr:col>3</xdr:col>
      <xdr:colOff>760730</xdr:colOff>
      <xdr:row>312</xdr:row>
      <xdr:rowOff>174625</xdr:rowOff>
    </xdr:to>
    <xdr:pic>
      <xdr:nvPicPr>
        <xdr:cNvPr id="39" name="Picture 38">
          <a:extLst>
            <a:ext uri="{FF2B5EF4-FFF2-40B4-BE49-F238E27FC236}">
              <a16:creationId xmlns=""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0" y="93865700"/>
          <a:ext cx="1490980" cy="688975"/>
        </a:xfrm>
        <a:prstGeom prst="rect">
          <a:avLst/>
        </a:prstGeom>
      </xdr:spPr>
    </xdr:pic>
    <xdr:clientData/>
  </xdr:twoCellAnchor>
  <xdr:twoCellAnchor editAs="oneCell">
    <xdr:from>
      <xdr:col>1</xdr:col>
      <xdr:colOff>527050</xdr:colOff>
      <xdr:row>310</xdr:row>
      <xdr:rowOff>0</xdr:rowOff>
    </xdr:from>
    <xdr:to>
      <xdr:col>3</xdr:col>
      <xdr:colOff>798830</xdr:colOff>
      <xdr:row>312</xdr:row>
      <xdr:rowOff>104775</xdr:rowOff>
    </xdr:to>
    <xdr:pic>
      <xdr:nvPicPr>
        <xdr:cNvPr id="40" name="Picture 39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103317675"/>
          <a:ext cx="1490980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387350</xdr:colOff>
      <xdr:row>310</xdr:row>
      <xdr:rowOff>0</xdr:rowOff>
    </xdr:from>
    <xdr:to>
      <xdr:col>3</xdr:col>
      <xdr:colOff>659130</xdr:colOff>
      <xdr:row>312</xdr:row>
      <xdr:rowOff>158750</xdr:rowOff>
    </xdr:to>
    <xdr:pic>
      <xdr:nvPicPr>
        <xdr:cNvPr id="41" name="Picture 40">
          <a:extLst>
            <a:ext uri="{FF2B5EF4-FFF2-40B4-BE49-F238E27FC236}">
              <a16:creationId xmlns=""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" y="112788700"/>
          <a:ext cx="149098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450850</xdr:colOff>
      <xdr:row>310</xdr:row>
      <xdr:rowOff>0</xdr:rowOff>
    </xdr:from>
    <xdr:to>
      <xdr:col>3</xdr:col>
      <xdr:colOff>722630</xdr:colOff>
      <xdr:row>312</xdr:row>
      <xdr:rowOff>152400</xdr:rowOff>
    </xdr:to>
    <xdr:pic>
      <xdr:nvPicPr>
        <xdr:cNvPr id="42" name="Picture 41">
          <a:extLst>
            <a:ext uri="{FF2B5EF4-FFF2-40B4-BE49-F238E27FC236}">
              <a16:creationId xmlns=""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21980325"/>
          <a:ext cx="1490980" cy="666750"/>
        </a:xfrm>
        <a:prstGeom prst="rect">
          <a:avLst/>
        </a:prstGeom>
      </xdr:spPr>
    </xdr:pic>
    <xdr:clientData/>
  </xdr:two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45" name="Picture 44">
          <a:extLst>
            <a:ext uri="{FF2B5EF4-FFF2-40B4-BE49-F238E27FC236}">
              <a16:creationId xmlns="" xmlns:a16="http://schemas.microsoft.com/office/drawing/2014/main" id="{00000000-0008-0000-09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314862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48" name="Picture 47">
          <a:extLst>
            <a:ext uri="{FF2B5EF4-FFF2-40B4-BE49-F238E27FC236}">
              <a16:creationId xmlns="" xmlns:a16="http://schemas.microsoft.com/office/drawing/2014/main" id="{00000000-0008-0000-09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407445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51" name="Picture 50">
          <a:extLst>
            <a:ext uri="{FF2B5EF4-FFF2-40B4-BE49-F238E27FC236}">
              <a16:creationId xmlns="" xmlns:a16="http://schemas.microsoft.com/office/drawing/2014/main" id="{00000000-0008-0000-09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594135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54" name="Picture 53">
          <a:extLst>
            <a:ext uri="{FF2B5EF4-FFF2-40B4-BE49-F238E27FC236}">
              <a16:creationId xmlns="" xmlns:a16="http://schemas.microsoft.com/office/drawing/2014/main" id="{00000000-0008-0000-09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688052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57" name="Picture 56">
          <a:extLst>
            <a:ext uri="{FF2B5EF4-FFF2-40B4-BE49-F238E27FC236}">
              <a16:creationId xmlns="" xmlns:a16="http://schemas.microsoft.com/office/drawing/2014/main" id="{00000000-0008-0000-09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781778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60" name="Picture 59">
          <a:extLst>
            <a:ext uri="{FF2B5EF4-FFF2-40B4-BE49-F238E27FC236}">
              <a16:creationId xmlns="" xmlns:a16="http://schemas.microsoft.com/office/drawing/2014/main" id="{00000000-0008-0000-09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877409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63" name="Picture 62">
          <a:extLst>
            <a:ext uri="{FF2B5EF4-FFF2-40B4-BE49-F238E27FC236}">
              <a16:creationId xmlns="" xmlns:a16="http://schemas.microsoft.com/office/drawing/2014/main" id="{00000000-0008-0000-09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970182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66" name="Picture 65">
          <a:extLst>
            <a:ext uri="{FF2B5EF4-FFF2-40B4-BE49-F238E27FC236}">
              <a16:creationId xmlns="" xmlns:a16="http://schemas.microsoft.com/office/drawing/2014/main" id="{00000000-0008-0000-09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062956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71" name="Picture 70">
          <a:extLst>
            <a:ext uri="{FF2B5EF4-FFF2-40B4-BE49-F238E27FC236}">
              <a16:creationId xmlns="" xmlns:a16="http://schemas.microsoft.com/office/drawing/2014/main" id="{00000000-0008-0000-09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156587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74" name="Picture 73">
          <a:extLst>
            <a:ext uri="{FF2B5EF4-FFF2-40B4-BE49-F238E27FC236}">
              <a16:creationId xmlns="" xmlns:a16="http://schemas.microsoft.com/office/drawing/2014/main" id="{00000000-0008-0000-09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249836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77" name="Picture 76">
          <a:extLst>
            <a:ext uri="{FF2B5EF4-FFF2-40B4-BE49-F238E27FC236}">
              <a16:creationId xmlns="" xmlns:a16="http://schemas.microsoft.com/office/drawing/2014/main" id="{00000000-0008-0000-09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343181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80" name="Picture 79">
          <a:extLst>
            <a:ext uri="{FF2B5EF4-FFF2-40B4-BE49-F238E27FC236}">
              <a16:creationId xmlns="" xmlns:a16="http://schemas.microsoft.com/office/drawing/2014/main" id="{00000000-0008-0000-09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436526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83" name="Picture 82">
          <a:extLst>
            <a:ext uri="{FF2B5EF4-FFF2-40B4-BE49-F238E27FC236}">
              <a16:creationId xmlns="" xmlns:a16="http://schemas.microsoft.com/office/drawing/2014/main" id="{00000000-0008-0000-09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530824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86" name="Picture 85">
          <a:extLst>
            <a:ext uri="{FF2B5EF4-FFF2-40B4-BE49-F238E27FC236}">
              <a16:creationId xmlns="" xmlns:a16="http://schemas.microsoft.com/office/drawing/2014/main" id="{00000000-0008-0000-09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624931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89" name="Picture 88">
          <a:extLst>
            <a:ext uri="{FF2B5EF4-FFF2-40B4-BE49-F238E27FC236}">
              <a16:creationId xmlns="" xmlns:a16="http://schemas.microsoft.com/office/drawing/2014/main" id="{00000000-0008-0000-09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719324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92" name="Picture 91">
          <a:extLst>
            <a:ext uri="{FF2B5EF4-FFF2-40B4-BE49-F238E27FC236}">
              <a16:creationId xmlns="" xmlns:a16="http://schemas.microsoft.com/office/drawing/2014/main" id="{00000000-0008-0000-09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813812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95" name="Picture 94">
          <a:extLst>
            <a:ext uri="{FF2B5EF4-FFF2-40B4-BE49-F238E27FC236}">
              <a16:creationId xmlns="" xmlns:a16="http://schemas.microsoft.com/office/drawing/2014/main" id="{00000000-0008-0000-09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906204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98" name="Picture 97">
          <a:extLst>
            <a:ext uri="{FF2B5EF4-FFF2-40B4-BE49-F238E27FC236}">
              <a16:creationId xmlns="" xmlns:a16="http://schemas.microsoft.com/office/drawing/2014/main" id="{00000000-0008-0000-09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000597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01" name="Picture 100">
          <a:extLst>
            <a:ext uri="{FF2B5EF4-FFF2-40B4-BE49-F238E27FC236}">
              <a16:creationId xmlns="" xmlns:a16="http://schemas.microsoft.com/office/drawing/2014/main" id="{00000000-0008-0000-09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094799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04" name="Picture 103">
          <a:extLst>
            <a:ext uri="{FF2B5EF4-FFF2-40B4-BE49-F238E27FC236}">
              <a16:creationId xmlns="" xmlns:a16="http://schemas.microsoft.com/office/drawing/2014/main" id="{00000000-0008-0000-09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189478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07" name="Picture 106">
          <a:extLst>
            <a:ext uri="{FF2B5EF4-FFF2-40B4-BE49-F238E27FC236}">
              <a16:creationId xmlns="" xmlns:a16="http://schemas.microsoft.com/office/drawing/2014/main" id="{00000000-0008-0000-09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281680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10" name="Picture 109">
          <a:extLst>
            <a:ext uri="{FF2B5EF4-FFF2-40B4-BE49-F238E27FC236}">
              <a16:creationId xmlns="" xmlns:a16="http://schemas.microsoft.com/office/drawing/2014/main" id="{00000000-0008-0000-09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376263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13" name="Picture 112">
          <a:extLst>
            <a:ext uri="{FF2B5EF4-FFF2-40B4-BE49-F238E27FC236}">
              <a16:creationId xmlns="" xmlns:a16="http://schemas.microsoft.com/office/drawing/2014/main" id="{00000000-0008-0000-09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469608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16" name="Picture 115">
          <a:extLst>
            <a:ext uri="{FF2B5EF4-FFF2-40B4-BE49-F238E27FC236}">
              <a16:creationId xmlns="" xmlns:a16="http://schemas.microsoft.com/office/drawing/2014/main" id="{00000000-0008-0000-09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563429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19" name="Picture 118">
          <a:extLst>
            <a:ext uri="{FF2B5EF4-FFF2-40B4-BE49-F238E27FC236}">
              <a16:creationId xmlns="" xmlns:a16="http://schemas.microsoft.com/office/drawing/2014/main" id="{00000000-0008-0000-09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658774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22" name="Picture 121">
          <a:extLst>
            <a:ext uri="{FF2B5EF4-FFF2-40B4-BE49-F238E27FC236}">
              <a16:creationId xmlns="" xmlns:a16="http://schemas.microsoft.com/office/drawing/2014/main" id="{00000000-0008-0000-09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751453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25" name="Picture 124">
          <a:extLst>
            <a:ext uri="{FF2B5EF4-FFF2-40B4-BE49-F238E27FC236}">
              <a16:creationId xmlns="" xmlns:a16="http://schemas.microsoft.com/office/drawing/2014/main" id="{00000000-0008-0000-09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846893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28" name="Picture 127">
          <a:extLst>
            <a:ext uri="{FF2B5EF4-FFF2-40B4-BE49-F238E27FC236}">
              <a16:creationId xmlns="" xmlns:a16="http://schemas.microsoft.com/office/drawing/2014/main" id="{00000000-0008-0000-09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3939571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31" name="Picture 130">
          <a:extLst>
            <a:ext uri="{FF2B5EF4-FFF2-40B4-BE49-F238E27FC236}">
              <a16:creationId xmlns="" xmlns:a16="http://schemas.microsoft.com/office/drawing/2014/main" id="{00000000-0008-0000-09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034631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34" name="Picture 133">
          <a:extLst>
            <a:ext uri="{FF2B5EF4-FFF2-40B4-BE49-F238E27FC236}">
              <a16:creationId xmlns="" xmlns:a16="http://schemas.microsoft.com/office/drawing/2014/main" id="{00000000-0008-0000-09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127023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37" name="Picture 136">
          <a:extLst>
            <a:ext uri="{FF2B5EF4-FFF2-40B4-BE49-F238E27FC236}">
              <a16:creationId xmlns="" xmlns:a16="http://schemas.microsoft.com/office/drawing/2014/main" id="{00000000-0008-0000-09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222369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40" name="Picture 139">
          <a:extLst>
            <a:ext uri="{FF2B5EF4-FFF2-40B4-BE49-F238E27FC236}">
              <a16:creationId xmlns="" xmlns:a16="http://schemas.microsoft.com/office/drawing/2014/main" id="{00000000-0008-0000-09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314761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43" name="Picture 142">
          <a:extLst>
            <a:ext uri="{FF2B5EF4-FFF2-40B4-BE49-F238E27FC236}">
              <a16:creationId xmlns="" xmlns:a16="http://schemas.microsoft.com/office/drawing/2014/main" id="{00000000-0008-0000-09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410011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46" name="Picture 145">
          <a:extLst>
            <a:ext uri="{FF2B5EF4-FFF2-40B4-BE49-F238E27FC236}">
              <a16:creationId xmlns="" xmlns:a16="http://schemas.microsoft.com/office/drawing/2014/main" id="{00000000-0008-0000-09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504213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49" name="Picture 148">
          <a:extLst>
            <a:ext uri="{FF2B5EF4-FFF2-40B4-BE49-F238E27FC236}">
              <a16:creationId xmlns="" xmlns:a16="http://schemas.microsoft.com/office/drawing/2014/main" id="{00000000-0008-0000-09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598511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52" name="Picture 151">
          <a:extLst>
            <a:ext uri="{FF2B5EF4-FFF2-40B4-BE49-F238E27FC236}">
              <a16:creationId xmlns="" xmlns:a16="http://schemas.microsoft.com/office/drawing/2014/main" id="{00000000-0008-0000-09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692713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55" name="Picture 154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787011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58" name="Picture 157">
          <a:extLst>
            <a:ext uri="{FF2B5EF4-FFF2-40B4-BE49-F238E27FC236}">
              <a16:creationId xmlns="" xmlns:a16="http://schemas.microsoft.com/office/drawing/2014/main" id="{00000000-0008-0000-09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501933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61" name="Picture 160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879879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64" name="Picture 163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4973320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67" name="Picture 166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066665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70" name="Picture 169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160010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73" name="Picture 172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253164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76" name="Picture 175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346319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79" name="Picture 178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439473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82" name="Picture 181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532532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85" name="Picture 184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625973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88" name="Picture 187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719413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91" name="Picture 190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812853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94" name="Picture 193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907246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197" name="Picture 196">
          <a:extLst>
            <a:ext uri="{FF2B5EF4-FFF2-40B4-BE49-F238E27FC236}">
              <a16:creationId xmlns="" xmlns:a16="http://schemas.microsoft.com/office/drawing/2014/main" id="{00000000-0008-0000-09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5907246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00" name="Picture 199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002210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03" name="Picture 202">
          <a:extLst>
            <a:ext uri="{FF2B5EF4-FFF2-40B4-BE49-F238E27FC236}">
              <a16:creationId xmlns="" xmlns:a16="http://schemas.microsoft.com/office/drawing/2014/main" id="{00000000-0008-0000-09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002210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06" name="Picture 205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096031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09" name="Picture 208">
          <a:extLst>
            <a:ext uri="{FF2B5EF4-FFF2-40B4-BE49-F238E27FC236}">
              <a16:creationId xmlns="" xmlns:a16="http://schemas.microsoft.com/office/drawing/2014/main" id="{00000000-0008-0000-09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096031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10" name="Picture 209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186582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11" name="Picture 210">
          <a:extLst>
            <a:ext uri="{FF2B5EF4-FFF2-40B4-BE49-F238E27FC236}">
              <a16:creationId xmlns="" xmlns:a16="http://schemas.microsoft.com/office/drawing/2014/main" id="{00000000-0008-0000-09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186582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12" name="Picture 211">
          <a:extLst>
            <a:ext uri="{FF2B5EF4-FFF2-40B4-BE49-F238E27FC236}">
              <a16:creationId xmlns="" xmlns:a16="http://schemas.microsoft.com/office/drawing/2014/main" id="{00000000-0008-0000-09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186582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310</xdr:row>
      <xdr:rowOff>0</xdr:rowOff>
    </xdr:from>
    <xdr:ext cx="1490980" cy="666750"/>
    <xdr:pic>
      <xdr:nvPicPr>
        <xdr:cNvPr id="213" name="Picture 212">
          <a:extLst>
            <a:ext uri="{FF2B5EF4-FFF2-40B4-BE49-F238E27FC236}">
              <a16:creationId xmlns="" xmlns:a16="http://schemas.microsoft.com/office/drawing/2014/main" id="{00000000-0008-0000-09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618658275"/>
          <a:ext cx="1490980" cy="666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104775</xdr:rowOff>
    </xdr:from>
    <xdr:to>
      <xdr:col>7</xdr:col>
      <xdr:colOff>495300</xdr:colOff>
      <xdr:row>3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3571875" y="81915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34</xdr:row>
      <xdr:rowOff>104775</xdr:rowOff>
    </xdr:from>
    <xdr:to>
      <xdr:col>7</xdr:col>
      <xdr:colOff>495300</xdr:colOff>
      <xdr:row>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3571875" y="103727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34</xdr:row>
      <xdr:rowOff>104775</xdr:rowOff>
    </xdr:from>
    <xdr:to>
      <xdr:col>7</xdr:col>
      <xdr:colOff>495300</xdr:colOff>
      <xdr:row>34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3571875" y="103727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65</xdr:row>
      <xdr:rowOff>104775</xdr:rowOff>
    </xdr:from>
    <xdr:to>
      <xdr:col>7</xdr:col>
      <xdr:colOff>495300</xdr:colOff>
      <xdr:row>65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3571875" y="198882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65</xdr:row>
      <xdr:rowOff>104775</xdr:rowOff>
    </xdr:from>
    <xdr:to>
      <xdr:col>7</xdr:col>
      <xdr:colOff>495300</xdr:colOff>
      <xdr:row>65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3571875" y="198882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96</xdr:row>
      <xdr:rowOff>104775</xdr:rowOff>
    </xdr:from>
    <xdr:to>
      <xdr:col>7</xdr:col>
      <xdr:colOff>495300</xdr:colOff>
      <xdr:row>96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3571875" y="293751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96</xdr:row>
      <xdr:rowOff>104775</xdr:rowOff>
    </xdr:from>
    <xdr:to>
      <xdr:col>7</xdr:col>
      <xdr:colOff>495300</xdr:colOff>
      <xdr:row>96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3571875" y="293751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127</xdr:row>
      <xdr:rowOff>104775</xdr:rowOff>
    </xdr:from>
    <xdr:to>
      <xdr:col>7</xdr:col>
      <xdr:colOff>495300</xdr:colOff>
      <xdr:row>127</xdr:row>
      <xdr:rowOff>104775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3571875" y="388239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127</xdr:row>
      <xdr:rowOff>104775</xdr:rowOff>
    </xdr:from>
    <xdr:to>
      <xdr:col>7</xdr:col>
      <xdr:colOff>495300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3571875" y="388239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158</xdr:row>
      <xdr:rowOff>104775</xdr:rowOff>
    </xdr:from>
    <xdr:to>
      <xdr:col>7</xdr:col>
      <xdr:colOff>495300</xdr:colOff>
      <xdr:row>158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CxnSpPr/>
      </xdr:nvCxnSpPr>
      <xdr:spPr>
        <a:xfrm>
          <a:off x="3571875" y="4832985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158</xdr:row>
      <xdr:rowOff>104775</xdr:rowOff>
    </xdr:from>
    <xdr:to>
      <xdr:col>7</xdr:col>
      <xdr:colOff>495300</xdr:colOff>
      <xdr:row>158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3571875" y="4832985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189</xdr:row>
      <xdr:rowOff>104775</xdr:rowOff>
    </xdr:from>
    <xdr:to>
      <xdr:col>7</xdr:col>
      <xdr:colOff>495300</xdr:colOff>
      <xdr:row>189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CxnSpPr/>
      </xdr:nvCxnSpPr>
      <xdr:spPr>
        <a:xfrm>
          <a:off x="3571875" y="578834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189</xdr:row>
      <xdr:rowOff>104775</xdr:rowOff>
    </xdr:from>
    <xdr:to>
      <xdr:col>7</xdr:col>
      <xdr:colOff>495300</xdr:colOff>
      <xdr:row>189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="" xmlns:a16="http://schemas.microsoft.com/office/drawing/2014/main" id="{00000000-0008-0000-0A00-00000E000000}"/>
            </a:ext>
          </a:extLst>
        </xdr:cNvPr>
        <xdr:cNvCxnSpPr/>
      </xdr:nvCxnSpPr>
      <xdr:spPr>
        <a:xfrm>
          <a:off x="3571875" y="578834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220</xdr:row>
      <xdr:rowOff>104775</xdr:rowOff>
    </xdr:from>
    <xdr:to>
      <xdr:col>7</xdr:col>
      <xdr:colOff>495300</xdr:colOff>
      <xdr:row>220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="" xmlns:a16="http://schemas.microsoft.com/office/drawing/2014/main" id="{00000000-0008-0000-0A00-00000F000000}"/>
            </a:ext>
          </a:extLst>
        </xdr:cNvPr>
        <xdr:cNvCxnSpPr/>
      </xdr:nvCxnSpPr>
      <xdr:spPr>
        <a:xfrm>
          <a:off x="3571875" y="673703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220</xdr:row>
      <xdr:rowOff>104775</xdr:rowOff>
    </xdr:from>
    <xdr:to>
      <xdr:col>7</xdr:col>
      <xdr:colOff>495300</xdr:colOff>
      <xdr:row>220</xdr:row>
      <xdr:rowOff>104775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A00-000010000000}"/>
            </a:ext>
          </a:extLst>
        </xdr:cNvPr>
        <xdr:cNvCxnSpPr/>
      </xdr:nvCxnSpPr>
      <xdr:spPr>
        <a:xfrm>
          <a:off x="3571875" y="673703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251</xdr:row>
      <xdr:rowOff>104775</xdr:rowOff>
    </xdr:from>
    <xdr:to>
      <xdr:col>7</xdr:col>
      <xdr:colOff>495300</xdr:colOff>
      <xdr:row>251</xdr:row>
      <xdr:rowOff>104775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CxnSpPr/>
      </xdr:nvCxnSpPr>
      <xdr:spPr>
        <a:xfrm>
          <a:off x="3571875" y="770477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251</xdr:row>
      <xdr:rowOff>104775</xdr:rowOff>
    </xdr:from>
    <xdr:to>
      <xdr:col>7</xdr:col>
      <xdr:colOff>495300</xdr:colOff>
      <xdr:row>251</xdr:row>
      <xdr:rowOff>104775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00000000-0008-0000-0A00-000012000000}"/>
            </a:ext>
          </a:extLst>
        </xdr:cNvPr>
        <xdr:cNvCxnSpPr/>
      </xdr:nvCxnSpPr>
      <xdr:spPr>
        <a:xfrm>
          <a:off x="3571875" y="7704772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282</xdr:row>
      <xdr:rowOff>104775</xdr:rowOff>
    </xdr:from>
    <xdr:to>
      <xdr:col>7</xdr:col>
      <xdr:colOff>495300</xdr:colOff>
      <xdr:row>282</xdr:row>
      <xdr:rowOff>104775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3571875" y="867156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282</xdr:row>
      <xdr:rowOff>104775</xdr:rowOff>
    </xdr:from>
    <xdr:to>
      <xdr:col>7</xdr:col>
      <xdr:colOff>495300</xdr:colOff>
      <xdr:row>282</xdr:row>
      <xdr:rowOff>104775</xdr:rowOff>
    </xdr:to>
    <xdr:cxnSp macro="">
      <xdr:nvCxnSpPr>
        <xdr:cNvPr id="20" name="Straight Connector 19">
          <a:extLst>
            <a:ext uri="{FF2B5EF4-FFF2-40B4-BE49-F238E27FC236}">
              <a16:creationId xmlns="" xmlns:a16="http://schemas.microsoft.com/office/drawing/2014/main" id="{00000000-0008-0000-0A00-000014000000}"/>
            </a:ext>
          </a:extLst>
        </xdr:cNvPr>
        <xdr:cNvCxnSpPr/>
      </xdr:nvCxnSpPr>
      <xdr:spPr>
        <a:xfrm>
          <a:off x="3571875" y="8671560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313</xdr:row>
      <xdr:rowOff>104775</xdr:rowOff>
    </xdr:from>
    <xdr:to>
      <xdr:col>7</xdr:col>
      <xdr:colOff>495300</xdr:colOff>
      <xdr:row>313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="" xmlns:a16="http://schemas.microsoft.com/office/drawing/2014/main" id="{00000000-0008-0000-0A00-000015000000}"/>
            </a:ext>
          </a:extLst>
        </xdr:cNvPr>
        <xdr:cNvCxnSpPr/>
      </xdr:nvCxnSpPr>
      <xdr:spPr>
        <a:xfrm>
          <a:off x="3571875" y="9641205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313</xdr:row>
      <xdr:rowOff>104775</xdr:rowOff>
    </xdr:from>
    <xdr:to>
      <xdr:col>7</xdr:col>
      <xdr:colOff>495300</xdr:colOff>
      <xdr:row>313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="" xmlns:a16="http://schemas.microsoft.com/office/drawing/2014/main" id="{00000000-0008-0000-0A00-000016000000}"/>
            </a:ext>
          </a:extLst>
        </xdr:cNvPr>
        <xdr:cNvCxnSpPr/>
      </xdr:nvCxnSpPr>
      <xdr:spPr>
        <a:xfrm>
          <a:off x="3571875" y="9641205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450850</xdr:colOff>
      <xdr:row>1</xdr:row>
      <xdr:rowOff>50800</xdr:rowOff>
    </xdr:from>
    <xdr:to>
      <xdr:col>3</xdr:col>
      <xdr:colOff>722630</xdr:colOff>
      <xdr:row>4</xdr:row>
      <xdr:rowOff>0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88925"/>
          <a:ext cx="1490980" cy="663575"/>
        </a:xfrm>
        <a:prstGeom prst="rect">
          <a:avLst/>
        </a:prstGeom>
      </xdr:spPr>
    </xdr:pic>
    <xdr:clientData/>
  </xdr:twoCellAnchor>
  <xdr:twoCellAnchor editAs="oneCell">
    <xdr:from>
      <xdr:col>1</xdr:col>
      <xdr:colOff>469900</xdr:colOff>
      <xdr:row>31</xdr:row>
      <xdr:rowOff>222250</xdr:rowOff>
    </xdr:from>
    <xdr:to>
      <xdr:col>3</xdr:col>
      <xdr:colOff>741680</xdr:colOff>
      <xdr:row>34</xdr:row>
      <xdr:rowOff>107950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0" y="9699625"/>
          <a:ext cx="149098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62</xdr:row>
      <xdr:rowOff>177800</xdr:rowOff>
    </xdr:from>
    <xdr:to>
      <xdr:col>3</xdr:col>
      <xdr:colOff>640080</xdr:colOff>
      <xdr:row>65</xdr:row>
      <xdr:rowOff>184150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19246850"/>
          <a:ext cx="1490980" cy="720725"/>
        </a:xfrm>
        <a:prstGeom prst="rect">
          <a:avLst/>
        </a:prstGeom>
      </xdr:spPr>
    </xdr:pic>
    <xdr:clientData/>
  </xdr:twoCellAnchor>
  <xdr:twoCellAnchor editAs="oneCell">
    <xdr:from>
      <xdr:col>1</xdr:col>
      <xdr:colOff>450850</xdr:colOff>
      <xdr:row>94</xdr:row>
      <xdr:rowOff>31750</xdr:rowOff>
    </xdr:from>
    <xdr:to>
      <xdr:col>3</xdr:col>
      <xdr:colOff>722630</xdr:colOff>
      <xdr:row>96</xdr:row>
      <xdr:rowOff>196850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8825825"/>
          <a:ext cx="1490980" cy="641350"/>
        </a:xfrm>
        <a:prstGeom prst="rect">
          <a:avLst/>
        </a:prstGeom>
      </xdr:spPr>
    </xdr:pic>
    <xdr:clientData/>
  </xdr:twoCellAnchor>
  <xdr:twoCellAnchor editAs="oneCell">
    <xdr:from>
      <xdr:col>1</xdr:col>
      <xdr:colOff>463550</xdr:colOff>
      <xdr:row>124</xdr:row>
      <xdr:rowOff>222250</xdr:rowOff>
    </xdr:from>
    <xdr:to>
      <xdr:col>3</xdr:col>
      <xdr:colOff>735330</xdr:colOff>
      <xdr:row>127</xdr:row>
      <xdr:rowOff>215900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38227000"/>
          <a:ext cx="1490980" cy="708025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156</xdr:row>
      <xdr:rowOff>50800</xdr:rowOff>
    </xdr:from>
    <xdr:to>
      <xdr:col>3</xdr:col>
      <xdr:colOff>728980</xdr:colOff>
      <xdr:row>158</xdr:row>
      <xdr:rowOff>196850</xdr:rowOff>
    </xdr:to>
    <xdr:pic>
      <xdr:nvPicPr>
        <xdr:cNvPr id="34" name="Picture 33">
          <a:extLst>
            <a:ext uri="{FF2B5EF4-FFF2-40B4-BE49-F238E27FC236}">
              <a16:creationId xmlns=""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47799625"/>
          <a:ext cx="1490980" cy="62230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187</xdr:row>
      <xdr:rowOff>69850</xdr:rowOff>
    </xdr:from>
    <xdr:to>
      <xdr:col>3</xdr:col>
      <xdr:colOff>709930</xdr:colOff>
      <xdr:row>190</xdr:row>
      <xdr:rowOff>6350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57372250"/>
          <a:ext cx="1490980" cy="65087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218</xdr:row>
      <xdr:rowOff>31750</xdr:rowOff>
    </xdr:from>
    <xdr:to>
      <xdr:col>3</xdr:col>
      <xdr:colOff>703580</xdr:colOff>
      <xdr:row>220</xdr:row>
      <xdr:rowOff>203200</xdr:rowOff>
    </xdr:to>
    <xdr:pic>
      <xdr:nvPicPr>
        <xdr:cNvPr id="36" name="Picture 35">
          <a:extLst>
            <a:ext uri="{FF2B5EF4-FFF2-40B4-BE49-F238E27FC236}">
              <a16:creationId xmlns=""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" y="66821050"/>
          <a:ext cx="1490980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248</xdr:row>
      <xdr:rowOff>222250</xdr:rowOff>
    </xdr:from>
    <xdr:to>
      <xdr:col>3</xdr:col>
      <xdr:colOff>709930</xdr:colOff>
      <xdr:row>251</xdr:row>
      <xdr:rowOff>152400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6393675"/>
          <a:ext cx="1490980" cy="701675"/>
        </a:xfrm>
        <a:prstGeom prst="rect">
          <a:avLst/>
        </a:prstGeom>
      </xdr:spPr>
    </xdr:pic>
    <xdr:clientData/>
  </xdr:twoCellAnchor>
  <xdr:twoCellAnchor editAs="oneCell">
    <xdr:from>
      <xdr:col>1</xdr:col>
      <xdr:colOff>463550</xdr:colOff>
      <xdr:row>280</xdr:row>
      <xdr:rowOff>25400</xdr:rowOff>
    </xdr:from>
    <xdr:to>
      <xdr:col>3</xdr:col>
      <xdr:colOff>735330</xdr:colOff>
      <xdr:row>282</xdr:row>
      <xdr:rowOff>184150</xdr:rowOff>
    </xdr:to>
    <xdr:pic>
      <xdr:nvPicPr>
        <xdr:cNvPr id="38" name="Picture 37">
          <a:extLst>
            <a:ext uri="{FF2B5EF4-FFF2-40B4-BE49-F238E27FC236}">
              <a16:creationId xmlns="" xmlns:a16="http://schemas.microsoft.com/office/drawing/2014/main" id="{00000000-0008-0000-0A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86121875"/>
          <a:ext cx="149098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488950</xdr:colOff>
      <xdr:row>311</xdr:row>
      <xdr:rowOff>25400</xdr:rowOff>
    </xdr:from>
    <xdr:to>
      <xdr:col>3</xdr:col>
      <xdr:colOff>760730</xdr:colOff>
      <xdr:row>313</xdr:row>
      <xdr:rowOff>177800</xdr:rowOff>
    </xdr:to>
    <xdr:pic>
      <xdr:nvPicPr>
        <xdr:cNvPr id="39" name="Picture 38">
          <a:extLst>
            <a:ext uri="{FF2B5EF4-FFF2-40B4-BE49-F238E27FC236}">
              <a16:creationId xmlns=""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0" y="95818325"/>
          <a:ext cx="1490980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527050</xdr:colOff>
      <xdr:row>341</xdr:row>
      <xdr:rowOff>0</xdr:rowOff>
    </xdr:from>
    <xdr:to>
      <xdr:col>3</xdr:col>
      <xdr:colOff>798830</xdr:colOff>
      <xdr:row>343</xdr:row>
      <xdr:rowOff>142875</xdr:rowOff>
    </xdr:to>
    <xdr:pic>
      <xdr:nvPicPr>
        <xdr:cNvPr id="40" name="Picture 39">
          <a:extLst>
            <a:ext uri="{FF2B5EF4-FFF2-40B4-BE49-F238E27FC236}">
              <a16:creationId xmlns="" xmlns:a16="http://schemas.microsoft.com/office/drawing/2014/main" id="{00000000-0008-0000-0A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" y="105451275"/>
          <a:ext cx="1490980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387350</xdr:colOff>
      <xdr:row>341</xdr:row>
      <xdr:rowOff>0</xdr:rowOff>
    </xdr:from>
    <xdr:to>
      <xdr:col>3</xdr:col>
      <xdr:colOff>659130</xdr:colOff>
      <xdr:row>343</xdr:row>
      <xdr:rowOff>196850</xdr:rowOff>
    </xdr:to>
    <xdr:pic>
      <xdr:nvPicPr>
        <xdr:cNvPr id="41" name="Picture 40">
          <a:extLst>
            <a:ext uri="{FF2B5EF4-FFF2-40B4-BE49-F238E27FC236}">
              <a16:creationId xmlns="" xmlns:a16="http://schemas.microsoft.com/office/drawing/2014/main" id="{00000000-0008-0000-0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" y="114646075"/>
          <a:ext cx="149098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450850</xdr:colOff>
      <xdr:row>341</xdr:row>
      <xdr:rowOff>0</xdr:rowOff>
    </xdr:from>
    <xdr:to>
      <xdr:col>3</xdr:col>
      <xdr:colOff>722630</xdr:colOff>
      <xdr:row>343</xdr:row>
      <xdr:rowOff>190500</xdr:rowOff>
    </xdr:to>
    <xdr:pic>
      <xdr:nvPicPr>
        <xdr:cNvPr id="42" name="Picture 41">
          <a:extLst>
            <a:ext uri="{FF2B5EF4-FFF2-40B4-BE49-F238E27FC236}">
              <a16:creationId xmlns="" xmlns:a16="http://schemas.microsoft.com/office/drawing/2014/main" id="{00000000-0008-0000-0A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24113925"/>
          <a:ext cx="1490980" cy="666750"/>
        </a:xfrm>
        <a:prstGeom prst="rect">
          <a:avLst/>
        </a:prstGeom>
      </xdr:spPr>
    </xdr:pic>
    <xdr:clientData/>
  </xdr:two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45" name="Picture 44">
          <a:extLst>
            <a:ext uri="{FF2B5EF4-FFF2-40B4-BE49-F238E27FC236}">
              <a16:creationId xmlns="" xmlns:a16="http://schemas.microsoft.com/office/drawing/2014/main" id="{00000000-0008-0000-0A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336103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48" name="Picture 47">
          <a:extLst>
            <a:ext uri="{FF2B5EF4-FFF2-40B4-BE49-F238E27FC236}">
              <a16:creationId xmlns=""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432782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51" name="Picture 50">
          <a:extLst>
            <a:ext uri="{FF2B5EF4-FFF2-40B4-BE49-F238E27FC236}">
              <a16:creationId xmlns="" xmlns:a16="http://schemas.microsoft.com/office/drawing/2014/main" id="{00000000-0008-0000-0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528508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54" name="Picture 53">
          <a:extLst>
            <a:ext uri="{FF2B5EF4-FFF2-40B4-BE49-F238E27FC236}">
              <a16:creationId xmlns="" xmlns:a16="http://schemas.microsoft.com/office/drawing/2014/main" id="{00000000-0008-0000-0A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6238537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57" name="Picture 56">
          <a:extLst>
            <a:ext uri="{FF2B5EF4-FFF2-40B4-BE49-F238E27FC236}">
              <a16:creationId xmlns="" xmlns:a16="http://schemas.microsoft.com/office/drawing/2014/main" id="{00000000-0008-0000-0A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718818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60" name="Picture 59">
          <a:extLst>
            <a:ext uri="{FF2B5EF4-FFF2-40B4-BE49-F238E27FC236}">
              <a16:creationId xmlns=""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8148300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63" name="Picture 62">
          <a:extLst>
            <a:ext uri="{FF2B5EF4-FFF2-40B4-BE49-F238E27FC236}">
              <a16:creationId xmlns=""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1911318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66" name="Picture 65">
          <a:extLst>
            <a:ext uri="{FF2B5EF4-FFF2-40B4-BE49-F238E27FC236}">
              <a16:creationId xmlns=""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006187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69" name="Picture 68">
          <a:extLst>
            <a:ext uri="{FF2B5EF4-FFF2-40B4-BE49-F238E27FC236}">
              <a16:creationId xmlns=""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10153250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72" name="Picture 71">
          <a:extLst>
            <a:ext uri="{FF2B5EF4-FFF2-40B4-BE49-F238E27FC236}">
              <a16:creationId xmlns=""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19706825"/>
          <a:ext cx="1490980" cy="666750"/>
        </a:xfrm>
        <a:prstGeom prst="rect">
          <a:avLst/>
        </a:prstGeom>
      </xdr:spPr>
    </xdr:pic>
    <xdr:clientData/>
  </xdr:oneCellAnchor>
  <xdr:oneCellAnchor>
    <xdr:from>
      <xdr:col>1</xdr:col>
      <xdr:colOff>450850</xdr:colOff>
      <xdr:row>341</xdr:row>
      <xdr:rowOff>0</xdr:rowOff>
    </xdr:from>
    <xdr:ext cx="1490980" cy="666750"/>
    <xdr:pic>
      <xdr:nvPicPr>
        <xdr:cNvPr id="75" name="Picture 74">
          <a:extLst>
            <a:ext uri="{FF2B5EF4-FFF2-40B4-BE49-F238E27FC236}">
              <a16:creationId xmlns=""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29346125"/>
          <a:ext cx="1490980" cy="666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ep%20Huong/MUA%20B&#193;N%20V&#7888;N%20CU&#7888;I%20NG&#192;Y/2020/T11.20/PHIEU%20MUA%20BAN%20TRAI%20PHIEU%20THAN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"/>
      <sheetName val="N-B"/>
      <sheetName val="N-M"/>
      <sheetName val="GIÁ T11"/>
      <sheetName val="GD T11"/>
      <sheetName val="LS"/>
      <sheetName val="PRICE"/>
      <sheetName val="P-B"/>
      <sheetName val="P-M"/>
      <sheetName val="P-BT"/>
      <sheetName val="P-T"/>
      <sheetName val="BDC"/>
      <sheetName val="NSV"/>
      <sheetName val="CC1"/>
      <sheetName val="SL"/>
      <sheetName val="E5"/>
      <sheetName val="E4"/>
      <sheetName val="XTTB"/>
      <sheetName val="PM"/>
      <sheetName val="XTNT"/>
      <sheetName val="HM E5"/>
      <sheetName val="HM E4"/>
      <sheetName val="HM TB"/>
      <sheetName val="HM PM"/>
      <sheetName val="HM NT"/>
      <sheetName val="BCDS"/>
      <sheetName val="HH"/>
      <sheetName val="LP NSV"/>
      <sheetName val="SHB"/>
      <sheetName val="BC BKS"/>
      <sheetName val="TR001"/>
      <sheetName val="TT VỐN "/>
      <sheetName val="BV BDC"/>
      <sheetName val="BV CC1"/>
      <sheetName val="BV NSV"/>
      <sheetName val="BV SL"/>
      <sheetName val="BV E5"/>
      <sheetName val="BV E4"/>
      <sheetName val="BV XTTB"/>
      <sheetName val="BV TONG"/>
      <sheetName val="BV PM"/>
      <sheetName val="BV XTNT"/>
      <sheetName val="P_SP"/>
    </sheetNames>
    <sheetDataSet>
      <sheetData sheetId="0"/>
      <sheetData sheetId="1">
        <row r="2">
          <cell r="B2" t="str">
            <v>00985</v>
          </cell>
          <cell r="H2" t="str">
            <v>110400</v>
          </cell>
          <cell r="K2" t="str">
            <v>110400.00524.00985.37772A.XTNT.2020.26A/HDTP-B/SHB.</v>
          </cell>
          <cell r="L2" t="str">
            <v>Phạm Hải Yến</v>
          </cell>
          <cell r="P2" t="str">
            <v>'3270130313</v>
          </cell>
          <cell r="W2" t="str">
            <v>XTNT.2020.26A</v>
          </cell>
          <cell r="Y2">
            <v>526</v>
          </cell>
          <cell r="Z2">
            <v>1044950</v>
          </cell>
          <cell r="AA2">
            <v>549643700</v>
          </cell>
        </row>
        <row r="3">
          <cell r="B3" t="str">
            <v>08291</v>
          </cell>
          <cell r="H3" t="str">
            <v>120900</v>
          </cell>
          <cell r="K3" t="str">
            <v>120900.08265.08291.76F7E6.XTTB.2020.66A/HDTP-B/SHB.</v>
          </cell>
          <cell r="L3" t="str">
            <v>Ngô Thị Mỹ Dung</v>
          </cell>
          <cell r="P3" t="str">
            <v>'0109423672</v>
          </cell>
          <cell r="W3" t="str">
            <v>XTTB.2020.66A</v>
          </cell>
          <cell r="Y3">
            <v>448</v>
          </cell>
          <cell r="Z3">
            <v>1117996</v>
          </cell>
          <cell r="AA3">
            <v>500862208</v>
          </cell>
        </row>
        <row r="4">
          <cell r="B4" t="str">
            <v>05175</v>
          </cell>
          <cell r="H4" t="str">
            <v>110213</v>
          </cell>
          <cell r="K4" t="str">
            <v>110213.06488.05175.3453E4.XTNT.2020.33A/HDTP-B/SHB.</v>
          </cell>
          <cell r="L4" t="str">
            <v>Vũ Thị Thúy</v>
          </cell>
          <cell r="P4" t="str">
            <v>' 0310031297</v>
          </cell>
          <cell r="W4" t="str">
            <v>XTNT.2020.33A</v>
          </cell>
          <cell r="Y4">
            <v>6704</v>
          </cell>
          <cell r="Z4">
            <v>1088896</v>
          </cell>
          <cell r="AA4">
            <v>7299958784</v>
          </cell>
        </row>
        <row r="5">
          <cell r="B5" t="str">
            <v>08895</v>
          </cell>
          <cell r="H5" t="str">
            <v>111801</v>
          </cell>
          <cell r="K5" t="str">
            <v>111801.05298.08895.996D57.XTTB.2020.3YA/HDTP-B/SHB.</v>
          </cell>
          <cell r="L5" t="str">
            <v>Võ Hải Việt Anh</v>
          </cell>
          <cell r="P5" t="str">
            <v>'0112595102</v>
          </cell>
          <cell r="W5" t="str">
            <v>XTTB.2020.3YA</v>
          </cell>
          <cell r="Y5">
            <v>479</v>
          </cell>
          <cell r="Z5">
            <v>1055910</v>
          </cell>
          <cell r="AA5">
            <v>505780890</v>
          </cell>
        </row>
        <row r="6">
          <cell r="B6" t="str">
            <v>00472</v>
          </cell>
          <cell r="H6" t="str">
            <v>110500</v>
          </cell>
          <cell r="K6" t="str">
            <v>110500.01196.00472.A02ED1.NSV02/HDTP-B/SHB.</v>
          </cell>
          <cell r="L6" t="str">
            <v>Nguyễn Thị Hậu</v>
          </cell>
          <cell r="P6" t="str">
            <v>'0106251177</v>
          </cell>
          <cell r="W6" t="str">
            <v>NSV.BOND2017-02</v>
          </cell>
          <cell r="Y6">
            <v>184</v>
          </cell>
          <cell r="Z6">
            <v>1092332</v>
          </cell>
          <cell r="AA6">
            <v>200989088</v>
          </cell>
        </row>
        <row r="7">
          <cell r="B7" t="str">
            <v>02101</v>
          </cell>
          <cell r="H7" t="str">
            <v>110502</v>
          </cell>
          <cell r="K7" t="str">
            <v>110502.08107.02101.2BA948.XTTB.2020.3YA/HDTP-B/SHB.</v>
          </cell>
          <cell r="L7" t="str">
            <v>Nguyễn Thị Bến</v>
          </cell>
          <cell r="P7" t="str">
            <v>'0115840278</v>
          </cell>
          <cell r="W7" t="str">
            <v>XTTB.2020.3YA</v>
          </cell>
          <cell r="Y7">
            <v>475</v>
          </cell>
          <cell r="Z7">
            <v>1055910</v>
          </cell>
          <cell r="AA7">
            <v>501557250</v>
          </cell>
        </row>
        <row r="8">
          <cell r="B8" t="str">
            <v>00738</v>
          </cell>
          <cell r="H8" t="str">
            <v>110406</v>
          </cell>
          <cell r="K8" t="str">
            <v>110406.02390.00738.77C845.XTTB.2020.6YA/HDTP-B/SHB.</v>
          </cell>
          <cell r="L8" t="str">
            <v>Vũ Thị May</v>
          </cell>
          <cell r="P8" t="str">
            <v>'0100425239</v>
          </cell>
          <cell r="W8" t="str">
            <v>XTTB.2020.6YA</v>
          </cell>
          <cell r="Y8">
            <v>730</v>
          </cell>
          <cell r="Z8">
            <v>1096885</v>
          </cell>
          <cell r="AA8">
            <v>800726050</v>
          </cell>
        </row>
        <row r="9">
          <cell r="B9" t="str">
            <v>08922</v>
          </cell>
          <cell r="H9" t="str">
            <v>110100</v>
          </cell>
          <cell r="K9" t="str">
            <v>110100.01425.08922.9A5623.XTTB.2020.46A/HDTP-B/SHB.</v>
          </cell>
          <cell r="L9" t="str">
            <v>Bùi Thị Kim Quyên</v>
          </cell>
          <cell r="P9" t="str">
            <v>'0300048373</v>
          </cell>
          <cell r="W9" t="str">
            <v>XTTB.2020.46A</v>
          </cell>
          <cell r="Y9">
            <v>1020</v>
          </cell>
          <cell r="Z9">
            <v>1085832</v>
          </cell>
          <cell r="AA9">
            <v>1107548640</v>
          </cell>
        </row>
        <row r="10">
          <cell r="B10" t="str">
            <v>S10285</v>
          </cell>
          <cell r="H10" t="str">
            <v>111903</v>
          </cell>
          <cell r="K10" t="str">
            <v>111903.05484.S10285.BE8E7C.XTTB.2020.36A/HDTP-B/SHB.</v>
          </cell>
          <cell r="L10" t="str">
            <v>Nguyễn Thị Ngọc Mai</v>
          </cell>
          <cell r="P10" t="str">
            <v>'0113289077</v>
          </cell>
          <cell r="W10" t="str">
            <v>XTTB.2020.36A</v>
          </cell>
          <cell r="Y10">
            <v>562</v>
          </cell>
          <cell r="Z10">
            <v>1066686</v>
          </cell>
          <cell r="AA10">
            <v>599477532</v>
          </cell>
        </row>
        <row r="11">
          <cell r="B11" t="str">
            <v>08895</v>
          </cell>
          <cell r="H11" t="str">
            <v>111801</v>
          </cell>
          <cell r="K11" t="str">
            <v>111801.05298.08895.74B21A.XTNT.2020.3YA/HDTP-B/SHB.</v>
          </cell>
          <cell r="L11" t="str">
            <v>Vũ Thị Thu Hà</v>
          </cell>
          <cell r="P11" t="str">
            <v>'0112182515</v>
          </cell>
          <cell r="W11" t="str">
            <v>XTNT.2020.3YA</v>
          </cell>
          <cell r="Y11">
            <v>663</v>
          </cell>
          <cell r="Z11">
            <v>1055908</v>
          </cell>
          <cell r="AA11">
            <v>700067004</v>
          </cell>
        </row>
      </sheetData>
      <sheetData sheetId="2">
        <row r="2">
          <cell r="B2" t="str">
            <v>01557</v>
          </cell>
          <cell r="H2" t="str">
            <v>110305</v>
          </cell>
          <cell r="J2" t="str">
            <v>Vũ Văn Phán</v>
          </cell>
          <cell r="L2" t="str">
            <v>110305.01250.01557.3E3A1E.NSV01/HDTP-M-0A29BB/SHB.</v>
          </cell>
          <cell r="M2" t="str">
            <v>NSV.BOND2017-01</v>
          </cell>
          <cell r="O2" t="str">
            <v>'0112587709</v>
          </cell>
          <cell r="Q2">
            <v>1968</v>
          </cell>
          <cell r="R2">
            <v>1092998</v>
          </cell>
          <cell r="S2">
            <v>1968000000</v>
          </cell>
          <cell r="T2">
            <v>2151020064</v>
          </cell>
          <cell r="V2">
            <v>2148573844</v>
          </cell>
          <cell r="W2">
            <v>144607238304</v>
          </cell>
        </row>
        <row r="3">
          <cell r="B3" t="str">
            <v>03599</v>
          </cell>
          <cell r="H3" t="str">
            <v>111800</v>
          </cell>
          <cell r="J3" t="str">
            <v>Đỗ Thị Tuyết Minh</v>
          </cell>
          <cell r="L3" t="str">
            <v>111800.04620.03599.F03D4A.EASUP5.E93A.2020/HDTP-M-EBD2B1/SHB.</v>
          </cell>
          <cell r="M3" t="str">
            <v>EASUP5.E93A.2020</v>
          </cell>
          <cell r="O3" t="str">
            <v>'0112997629</v>
          </cell>
          <cell r="Q3">
            <v>3537</v>
          </cell>
          <cell r="R3">
            <v>1238337</v>
          </cell>
          <cell r="S3">
            <v>3537000000</v>
          </cell>
          <cell r="T3">
            <v>4379997969</v>
          </cell>
          <cell r="V3">
            <v>4375087421</v>
          </cell>
          <cell r="W3">
            <v>327162904089</v>
          </cell>
        </row>
        <row r="4">
          <cell r="B4" t="str">
            <v>01703</v>
          </cell>
          <cell r="H4" t="str">
            <v>110311</v>
          </cell>
          <cell r="J4" t="str">
            <v>Phạm Thị Tâm</v>
          </cell>
          <cell r="L4" t="str">
            <v>110311.08089.01703.893CB2.NSV/HDTP-M-9AE9FA/SHB.</v>
          </cell>
          <cell r="M4" t="str">
            <v>NSV.BOND2017</v>
          </cell>
          <cell r="O4" t="str">
            <v>'0100433373</v>
          </cell>
          <cell r="Q4">
            <v>566</v>
          </cell>
          <cell r="R4">
            <v>1093162</v>
          </cell>
          <cell r="S4">
            <v>566000000</v>
          </cell>
          <cell r="T4">
            <v>618729692</v>
          </cell>
          <cell r="V4">
            <v>618026062</v>
          </cell>
          <cell r="W4">
            <v>142456218240</v>
          </cell>
        </row>
        <row r="5">
          <cell r="B5" t="str">
            <v>00254</v>
          </cell>
          <cell r="H5" t="str">
            <v>130201</v>
          </cell>
          <cell r="J5" t="str">
            <v>Nguyễn Ngọc Mai Trâm</v>
          </cell>
          <cell r="L5" t="str">
            <v>130201.00457.00254.08F544.EASUP5.E63A.2020/HDTP-M-5A8429/SHB.</v>
          </cell>
          <cell r="M5" t="str">
            <v>EASUP5.E63A.2020</v>
          </cell>
          <cell r="O5" t="str">
            <v>'0100301748</v>
          </cell>
          <cell r="Q5">
            <v>144</v>
          </cell>
          <cell r="R5">
            <v>1180504</v>
          </cell>
          <cell r="S5">
            <v>144000000</v>
          </cell>
          <cell r="T5">
            <v>169992576</v>
          </cell>
          <cell r="V5">
            <v>169772583</v>
          </cell>
          <cell r="W5">
            <v>322782906120</v>
          </cell>
        </row>
        <row r="6">
          <cell r="B6" t="str">
            <v>01053</v>
          </cell>
          <cell r="H6" t="str">
            <v>110220</v>
          </cell>
          <cell r="J6" t="str">
            <v>Nguyễn Thị Hoan</v>
          </cell>
          <cell r="L6" t="str">
            <v>110220.08735.01053.FCD657.EASUP5.E126A.2020/HDTP-M-E81390/SHB.</v>
          </cell>
          <cell r="M6" t="str">
            <v>EASUP5.E126A.2020</v>
          </cell>
          <cell r="O6" t="str">
            <v>'1800001415</v>
          </cell>
          <cell r="Q6">
            <v>995</v>
          </cell>
          <cell r="R6">
            <v>1197933</v>
          </cell>
          <cell r="S6">
            <v>995000000</v>
          </cell>
          <cell r="T6">
            <v>1191943335</v>
          </cell>
          <cell r="V6">
            <v>1190602142</v>
          </cell>
          <cell r="W6">
            <v>322612913544</v>
          </cell>
        </row>
        <row r="7">
          <cell r="B7" t="str">
            <v>00488</v>
          </cell>
          <cell r="H7" t="str">
            <v>111405</v>
          </cell>
          <cell r="J7" t="str">
            <v>Nguyễn Thị Hồng</v>
          </cell>
          <cell r="L7" t="str">
            <v>111405.05790.00488.A4BB69.NLSL.2020.E66/HDTP-M-02FE55/SHB.</v>
          </cell>
          <cell r="M7" t="str">
            <v>NLSL.2020.E66</v>
          </cell>
          <cell r="O7" t="str">
            <v>'0500012389</v>
          </cell>
          <cell r="Q7">
            <v>470</v>
          </cell>
          <cell r="R7">
            <v>1108800</v>
          </cell>
          <cell r="S7">
            <v>470000000</v>
          </cell>
          <cell r="T7">
            <v>521136000</v>
          </cell>
          <cell r="V7">
            <v>520544364</v>
          </cell>
          <cell r="W7">
            <v>379101947626</v>
          </cell>
        </row>
        <row r="8">
          <cell r="B8" t="str">
            <v>02523</v>
          </cell>
          <cell r="H8" t="str">
            <v>111000</v>
          </cell>
          <cell r="J8" t="str">
            <v>Chu Thị Thanh Tâm</v>
          </cell>
          <cell r="L8" t="str">
            <v>111000.01270.02523.E668FF.NSV01/HDTP-M-A6525E/SHB.</v>
          </cell>
          <cell r="M8" t="str">
            <v>NSV.BOND2017-01</v>
          </cell>
          <cell r="O8" t="str">
            <v>'0104994245</v>
          </cell>
          <cell r="Q8">
            <v>1373</v>
          </cell>
          <cell r="R8">
            <v>1090579</v>
          </cell>
          <cell r="S8">
            <v>1373000000</v>
          </cell>
          <cell r="T8">
            <v>1497364967</v>
          </cell>
          <cell r="V8">
            <v>1495661652</v>
          </cell>
          <cell r="W8">
            <v>149975651250</v>
          </cell>
        </row>
        <row r="9">
          <cell r="B9" t="str">
            <v>04491</v>
          </cell>
          <cell r="H9" t="str">
            <v>112100</v>
          </cell>
          <cell r="J9" t="str">
            <v>Trần Thị Liên</v>
          </cell>
          <cell r="L9" t="str">
            <v>112100.05671.04491.1FEFFC.XTDL.2020.E113/HDTP-M-5AD1CE/SHB.</v>
          </cell>
          <cell r="M9" t="str">
            <v>XTDL.2020.E113</v>
          </cell>
          <cell r="O9" t="str">
            <v>'0108344228</v>
          </cell>
          <cell r="Q9">
            <v>857</v>
          </cell>
          <cell r="R9">
            <v>1234661</v>
          </cell>
          <cell r="S9">
            <v>857000000</v>
          </cell>
          <cell r="T9">
            <v>1058104477</v>
          </cell>
          <cell r="V9">
            <v>1056917823</v>
          </cell>
          <cell r="W9">
            <v>378580811626</v>
          </cell>
        </row>
        <row r="10">
          <cell r="B10" t="str">
            <v/>
          </cell>
          <cell r="H10" t="str">
            <v/>
          </cell>
          <cell r="J10" t="str">
            <v/>
          </cell>
          <cell r="L10" t="str">
            <v/>
          </cell>
          <cell r="M10" t="str">
            <v/>
          </cell>
          <cell r="O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V10" t="e">
            <v>#VALUE!</v>
          </cell>
          <cell r="W10">
            <v>0</v>
          </cell>
        </row>
        <row r="11">
          <cell r="B11" t="str">
            <v/>
          </cell>
          <cell r="H11" t="str">
            <v/>
          </cell>
          <cell r="J11" t="str">
            <v/>
          </cell>
          <cell r="L11" t="str">
            <v/>
          </cell>
          <cell r="M11" t="str">
            <v/>
          </cell>
          <cell r="O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V11" t="e">
            <v>#VALUE!</v>
          </cell>
          <cell r="W11">
            <v>0</v>
          </cell>
        </row>
        <row r="12">
          <cell r="B12" t="str">
            <v/>
          </cell>
          <cell r="H12" t="str">
            <v/>
          </cell>
          <cell r="J12" t="str">
            <v/>
          </cell>
          <cell r="L12" t="str">
            <v/>
          </cell>
          <cell r="M12" t="str">
            <v/>
          </cell>
          <cell r="O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V12" t="e">
            <v>#VALUE!</v>
          </cell>
          <cell r="W1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310"/>
  <sheetViews>
    <sheetView tabSelected="1" showWhiteSpace="0" topLeftCell="A213" zoomScaleNormal="100" workbookViewId="0">
      <selection activeCell="B241" sqref="B241:J241"/>
    </sheetView>
  </sheetViews>
  <sheetFormatPr defaultColWidth="9.15234375" defaultRowHeight="19.75"/>
  <cols>
    <col min="1" max="1" width="1.69140625" style="1" customWidth="1"/>
    <col min="2" max="3" width="9.15234375" style="1"/>
    <col min="4" max="4" width="18.3828125" style="1" customWidth="1"/>
    <col min="5" max="5" width="10.53515625" style="2" customWidth="1"/>
    <col min="6" max="6" width="13.3046875" style="1" customWidth="1"/>
    <col min="7" max="7" width="7.53515625" style="1" customWidth="1"/>
    <col min="8" max="11" width="9.15234375" style="1"/>
    <col min="12" max="12" width="16.69140625" style="1" customWidth="1"/>
    <col min="13" max="13" width="16.84375" style="4" bestFit="1" customWidth="1"/>
    <col min="14" max="15" width="15.69140625" style="1" customWidth="1"/>
    <col min="16" max="16" width="12" style="1" customWidth="1"/>
    <col min="17" max="17" width="11.84375" style="1" customWidth="1"/>
    <col min="18" max="18" width="9.15234375" style="1"/>
    <col min="19" max="19" width="21.69140625" style="1" bestFit="1" customWidth="1"/>
    <col min="20" max="16384" width="9.15234375" style="1"/>
  </cols>
  <sheetData>
    <row r="1" spans="1:19">
      <c r="I1" s="44" t="s">
        <v>0</v>
      </c>
      <c r="J1" s="44"/>
      <c r="L1" s="1" t="s">
        <v>1</v>
      </c>
      <c r="M1" s="3">
        <f ca="1">TODAY()-3</f>
        <v>44220</v>
      </c>
    </row>
    <row r="2" spans="1:19">
      <c r="E2" s="45" t="s">
        <v>2</v>
      </c>
      <c r="F2" s="45"/>
      <c r="G2" s="45"/>
      <c r="H2" s="45"/>
      <c r="I2" s="45"/>
      <c r="J2" s="45"/>
    </row>
    <row r="3" spans="1:19">
      <c r="E3" s="45" t="s">
        <v>3</v>
      </c>
      <c r="F3" s="45"/>
      <c r="G3" s="45"/>
      <c r="H3" s="45"/>
      <c r="I3" s="45"/>
      <c r="J3" s="45"/>
      <c r="L3" s="1" t="s">
        <v>4</v>
      </c>
      <c r="M3" s="4">
        <v>1</v>
      </c>
    </row>
    <row r="4" spans="1:19" ht="18">
      <c r="E4" s="45"/>
      <c r="F4" s="45"/>
      <c r="G4" s="45"/>
      <c r="H4" s="45"/>
      <c r="I4" s="45"/>
      <c r="J4" s="45"/>
      <c r="L4" s="5" t="s">
        <v>5</v>
      </c>
      <c r="M4" s="1" t="s">
        <v>6</v>
      </c>
      <c r="N4" s="6" t="s">
        <v>7</v>
      </c>
      <c r="O4" s="6" t="s">
        <v>8</v>
      </c>
      <c r="P4" s="1" t="s">
        <v>9</v>
      </c>
      <c r="Q4" s="1" t="s">
        <v>10</v>
      </c>
      <c r="R4" s="7" t="s">
        <v>11</v>
      </c>
      <c r="S4" s="8">
        <v>1000000</v>
      </c>
    </row>
    <row r="5" spans="1:19" ht="18">
      <c r="B5" s="46" t="s">
        <v>12</v>
      </c>
      <c r="C5" s="46"/>
      <c r="D5" s="46"/>
      <c r="L5" s="5" t="s">
        <v>13</v>
      </c>
      <c r="M5" s="1" t="s">
        <v>6</v>
      </c>
      <c r="N5" s="6" t="s">
        <v>7</v>
      </c>
      <c r="O5" s="6" t="s">
        <v>8</v>
      </c>
      <c r="P5" s="1" t="s">
        <v>9</v>
      </c>
      <c r="Q5" s="1" t="s">
        <v>10</v>
      </c>
      <c r="R5" s="7" t="s">
        <v>14</v>
      </c>
      <c r="S5" s="8">
        <v>1000000</v>
      </c>
    </row>
    <row r="6" spans="1:19" ht="25.5" customHeight="1">
      <c r="E6" s="47" t="str">
        <f ca="1">"SỐ: "&amp;TEXT($M$1,"DDMM")&amp;"."&amp;M3&amp;"/"&amp;YEAR($M$1)&amp;"/KDTPBL"</f>
        <v>SỐ: 2401.1/2021/KDTPBL</v>
      </c>
      <c r="F6" s="47"/>
      <c r="G6" s="47"/>
      <c r="H6" s="47"/>
      <c r="I6" s="47"/>
      <c r="J6" s="47"/>
      <c r="L6" s="5" t="s">
        <v>15</v>
      </c>
      <c r="M6" s="1" t="s">
        <v>6</v>
      </c>
      <c r="N6" s="6" t="s">
        <v>7</v>
      </c>
      <c r="O6" s="6" t="s">
        <v>8</v>
      </c>
      <c r="P6" s="1" t="s">
        <v>9</v>
      </c>
      <c r="Q6" s="1" t="s">
        <v>10</v>
      </c>
      <c r="R6" s="7" t="s">
        <v>16</v>
      </c>
      <c r="S6" s="8">
        <v>1000000</v>
      </c>
    </row>
    <row r="7" spans="1:19" ht="49.5" customHeight="1">
      <c r="B7" s="50" t="s">
        <v>17</v>
      </c>
      <c r="C7" s="50"/>
      <c r="D7" s="50"/>
      <c r="E7" s="50"/>
      <c r="F7" s="50"/>
      <c r="G7" s="50"/>
      <c r="H7" s="50"/>
      <c r="I7" s="50"/>
      <c r="J7" s="50"/>
      <c r="L7" s="9" t="s">
        <v>18</v>
      </c>
      <c r="M7" s="1" t="s">
        <v>19</v>
      </c>
      <c r="N7" s="6" t="s">
        <v>20</v>
      </c>
      <c r="O7" s="6" t="s">
        <v>21</v>
      </c>
      <c r="P7" s="1" t="s">
        <v>22</v>
      </c>
      <c r="Q7" s="1" t="s">
        <v>23</v>
      </c>
      <c r="R7" s="7" t="s">
        <v>24</v>
      </c>
      <c r="S7" s="8">
        <v>1000000</v>
      </c>
    </row>
    <row r="8" spans="1:19" ht="18">
      <c r="B8" s="1" t="s">
        <v>25</v>
      </c>
      <c r="F8" s="1" t="s">
        <v>26</v>
      </c>
      <c r="H8" s="1" t="s">
        <v>27</v>
      </c>
      <c r="L8" s="9" t="s">
        <v>28</v>
      </c>
      <c r="M8" s="1" t="s">
        <v>19</v>
      </c>
      <c r="N8" s="6" t="s">
        <v>20</v>
      </c>
      <c r="O8" s="6" t="s">
        <v>21</v>
      </c>
      <c r="P8" s="1" t="s">
        <v>22</v>
      </c>
      <c r="Q8" s="1" t="s">
        <v>23</v>
      </c>
      <c r="R8" s="7" t="s">
        <v>24</v>
      </c>
      <c r="S8" s="8">
        <v>1000000</v>
      </c>
    </row>
    <row r="9" spans="1:19" ht="18">
      <c r="B9" s="1" t="s">
        <v>29</v>
      </c>
      <c r="D9" s="10" t="str">
        <f>'[1]N-B'!K2</f>
        <v>110400.00524.00985.37772A.XTNT.2020.26A/HDTP-B/SHB.</v>
      </c>
      <c r="L9" s="9" t="s">
        <v>30</v>
      </c>
      <c r="M9" s="1" t="s">
        <v>19</v>
      </c>
      <c r="N9" s="6" t="s">
        <v>20</v>
      </c>
      <c r="O9" s="6" t="s">
        <v>21</v>
      </c>
      <c r="P9" s="1" t="s">
        <v>22</v>
      </c>
      <c r="Q9" s="1" t="s">
        <v>23</v>
      </c>
      <c r="R9" s="7" t="s">
        <v>16</v>
      </c>
      <c r="S9" s="8">
        <v>1000000</v>
      </c>
    </row>
    <row r="10" spans="1:19" ht="30" customHeight="1">
      <c r="A10" s="11" t="s">
        <v>31</v>
      </c>
      <c r="L10" s="12" t="s">
        <v>32</v>
      </c>
      <c r="M10" s="13" t="s">
        <v>33</v>
      </c>
      <c r="N10" s="14" t="s">
        <v>34</v>
      </c>
      <c r="O10" s="14" t="s">
        <v>35</v>
      </c>
      <c r="P10" s="1" t="s">
        <v>36</v>
      </c>
      <c r="Q10" s="1" t="s">
        <v>37</v>
      </c>
      <c r="R10" s="7" t="s">
        <v>38</v>
      </c>
      <c r="S10" s="8">
        <v>100000</v>
      </c>
    </row>
    <row r="11" spans="1:19" ht="44.25" customHeight="1">
      <c r="A11" s="15"/>
      <c r="B11" s="51" t="str">
        <f>"Tổ chức phát hành: "&amp;VLOOKUP('[1]N-B'!W2,$L$4:$T$310,2,0)</f>
        <v>Tổ chức phát hành: Công ty cổ phần Xuân Thiện Ninh Thuận</v>
      </c>
      <c r="C11" s="51"/>
      <c r="D11" s="51"/>
      <c r="E11" s="51"/>
      <c r="F11" s="52"/>
      <c r="G11" s="53" t="str">
        <f>"    Mã TP: "&amp;'[1]N-B'!W2</f>
        <v xml:space="preserve">    Mã TP: XTNT.2020.26A</v>
      </c>
      <c r="H11" s="54"/>
      <c r="I11" s="54"/>
      <c r="J11" s="55"/>
      <c r="L11" s="12" t="s">
        <v>39</v>
      </c>
      <c r="M11" s="13" t="s">
        <v>33</v>
      </c>
      <c r="N11" s="14" t="s">
        <v>34</v>
      </c>
      <c r="O11" s="14" t="s">
        <v>35</v>
      </c>
      <c r="P11" s="1" t="s">
        <v>36</v>
      </c>
      <c r="Q11" s="1" t="s">
        <v>37</v>
      </c>
      <c r="R11" s="7" t="s">
        <v>38</v>
      </c>
      <c r="S11" s="8">
        <v>100000</v>
      </c>
    </row>
    <row r="12" spans="1:19" ht="28.5" customHeight="1">
      <c r="A12" s="16"/>
      <c r="B12" s="56" t="str">
        <f>"Ngày phát hành: "&amp;VLOOKUP('[1]N-B'!W2,$L$4:$S$310,3,0)</f>
        <v>Ngày phát hành: 28/08/2020</v>
      </c>
      <c r="C12" s="56"/>
      <c r="D12" s="56"/>
      <c r="E12" s="56"/>
      <c r="F12" s="48"/>
      <c r="G12" s="57" t="str">
        <f>"    Ngày đáo hạn: "&amp;VLOOKUP('[1]N-B'!W2,$L$4:$T$310,4,0)</f>
        <v xml:space="preserve">    Ngày đáo hạn: 28/08/2022</v>
      </c>
      <c r="H12" s="57"/>
      <c r="I12" s="57"/>
      <c r="J12" s="57"/>
      <c r="L12" s="12" t="s">
        <v>40</v>
      </c>
      <c r="M12" s="13" t="s">
        <v>33</v>
      </c>
      <c r="N12" s="14" t="s">
        <v>34</v>
      </c>
      <c r="O12" s="14" t="s">
        <v>35</v>
      </c>
      <c r="P12" s="1" t="s">
        <v>36</v>
      </c>
      <c r="Q12" s="1" t="s">
        <v>37</v>
      </c>
      <c r="R12" s="7" t="s">
        <v>38</v>
      </c>
      <c r="S12" s="8">
        <v>100000</v>
      </c>
    </row>
    <row r="13" spans="1:19" ht="63.65" customHeight="1">
      <c r="A13" s="15"/>
      <c r="B13" s="51" t="str">
        <f>"Coupon: Lãi suất cho kỳ tính lãi đầu tiên là "&amp;VLOOKUP('[1]N-B'!W2,$L$4:$T$310,5,0)&amp;". Lãi suất cho các kỳ tính lãi tiếp theo bằng lãi suất thRM chiếu cộng (+) biên độ "&amp;VLOOKUP('[1]N-B'!W2,$L$4:$T$310,6,0)</f>
        <v>Coupon: Lãi suất cho kỳ tính lãi đầu tiên là 10,00%/năm. Lãi suất cho các kỳ tính lãi tiếp theo bằng lãi suất thRM chiếu cộng (+) biên độ 2,00%/năm</v>
      </c>
      <c r="C13" s="51"/>
      <c r="D13" s="51"/>
      <c r="E13" s="51"/>
      <c r="F13" s="52"/>
      <c r="G13" s="57" t="s">
        <v>41</v>
      </c>
      <c r="H13" s="57"/>
      <c r="I13" s="57"/>
      <c r="J13" s="57"/>
      <c r="L13" s="12" t="s">
        <v>42</v>
      </c>
      <c r="M13" s="13" t="s">
        <v>33</v>
      </c>
      <c r="N13" s="14" t="s">
        <v>34</v>
      </c>
      <c r="O13" s="14" t="s">
        <v>35</v>
      </c>
      <c r="P13" s="1" t="s">
        <v>36</v>
      </c>
      <c r="Q13" s="1" t="s">
        <v>37</v>
      </c>
      <c r="R13" s="7" t="s">
        <v>43</v>
      </c>
      <c r="S13" s="8">
        <v>100000</v>
      </c>
    </row>
    <row r="14" spans="1:19" ht="18">
      <c r="L14" s="9" t="s">
        <v>44</v>
      </c>
      <c r="M14" s="1" t="s">
        <v>45</v>
      </c>
      <c r="N14" s="17" t="s">
        <v>7</v>
      </c>
      <c r="O14" s="6" t="s">
        <v>8</v>
      </c>
      <c r="P14" s="1" t="s">
        <v>22</v>
      </c>
      <c r="Q14" s="1" t="s">
        <v>46</v>
      </c>
      <c r="R14" s="7" t="s">
        <v>43</v>
      </c>
      <c r="S14" s="8">
        <v>1000000</v>
      </c>
    </row>
    <row r="15" spans="1:19" ht="18">
      <c r="A15" s="11" t="s">
        <v>47</v>
      </c>
      <c r="L15" s="9" t="s">
        <v>48</v>
      </c>
      <c r="M15" s="1" t="s">
        <v>45</v>
      </c>
      <c r="N15" s="17" t="s">
        <v>7</v>
      </c>
      <c r="O15" s="6" t="s">
        <v>8</v>
      </c>
      <c r="P15" s="1" t="s">
        <v>22</v>
      </c>
      <c r="Q15" s="1" t="s">
        <v>46</v>
      </c>
      <c r="R15" s="7" t="s">
        <v>43</v>
      </c>
      <c r="S15" s="8">
        <v>1000000</v>
      </c>
    </row>
    <row r="16" spans="1:19" ht="24" customHeight="1">
      <c r="B16" s="1" t="str">
        <f>"Số quyết định: "&amp;VLOOKUP('[1]N-B'!W2,$L$4:$T$310,7,0)</f>
        <v>Số quyết định: 2809/2020/QĐ-TGĐ ngày 14/10/2020</v>
      </c>
      <c r="L16" s="18" t="s">
        <v>49</v>
      </c>
      <c r="M16" s="13" t="s">
        <v>50</v>
      </c>
      <c r="N16" s="14" t="s">
        <v>51</v>
      </c>
      <c r="O16" s="14" t="s">
        <v>52</v>
      </c>
      <c r="P16" s="1" t="s">
        <v>53</v>
      </c>
      <c r="Q16" s="1" t="s">
        <v>54</v>
      </c>
      <c r="R16" s="7" t="s">
        <v>55</v>
      </c>
      <c r="S16" s="8">
        <v>1000000</v>
      </c>
    </row>
    <row r="17" spans="1:19" ht="18">
      <c r="A17" s="19"/>
      <c r="B17" s="48" t="str">
        <f>"Đối tác giao dịch: "&amp;'[1]N-B'!L2</f>
        <v>Đối tác giao dịch: Phạm Hải Yến</v>
      </c>
      <c r="C17" s="49"/>
      <c r="D17" s="49"/>
      <c r="E17" s="49"/>
      <c r="F17" s="49"/>
      <c r="G17" s="49"/>
      <c r="H17" s="49"/>
      <c r="I17" s="49"/>
      <c r="J17" s="49"/>
      <c r="L17" s="18" t="s">
        <v>56</v>
      </c>
      <c r="M17" s="13" t="s">
        <v>50</v>
      </c>
      <c r="N17" s="14" t="s">
        <v>51</v>
      </c>
      <c r="O17" s="14" t="s">
        <v>21</v>
      </c>
      <c r="P17" s="1" t="s">
        <v>53</v>
      </c>
      <c r="Q17" s="1" t="s">
        <v>54</v>
      </c>
      <c r="R17" s="7" t="s">
        <v>55</v>
      </c>
      <c r="S17" s="8">
        <v>1000000</v>
      </c>
    </row>
    <row r="18" spans="1:19" ht="18">
      <c r="A18" s="19"/>
      <c r="B18" s="48" t="str">
        <f>"Hợp đồng số: "&amp;'[1]N-B'!K2</f>
        <v>Hợp đồng số: 110400.00524.00985.37772A.XTNT.2020.26A/HDTP-B/SHB.</v>
      </c>
      <c r="C18" s="49"/>
      <c r="D18" s="49"/>
      <c r="E18" s="49"/>
      <c r="F18" s="49"/>
      <c r="G18" s="49"/>
      <c r="H18" s="49"/>
      <c r="I18" s="49"/>
      <c r="J18" s="49"/>
      <c r="L18" s="18" t="s">
        <v>57</v>
      </c>
      <c r="M18" s="13" t="s">
        <v>50</v>
      </c>
      <c r="N18" s="14" t="s">
        <v>51</v>
      </c>
      <c r="O18" s="14" t="s">
        <v>58</v>
      </c>
      <c r="P18" s="1" t="s">
        <v>53</v>
      </c>
      <c r="Q18" s="1" t="s">
        <v>54</v>
      </c>
      <c r="R18" s="7" t="s">
        <v>55</v>
      </c>
      <c r="S18" s="8">
        <v>1000000</v>
      </c>
    </row>
    <row r="19" spans="1:19" ht="18">
      <c r="A19" s="19"/>
      <c r="B19" s="48" t="str">
        <f ca="1">"Ngày giao dịch: "&amp;TEXT($M$1,"dd/mm/yyyy")</f>
        <v>Ngày giao dịch: 24/01/2021</v>
      </c>
      <c r="C19" s="49"/>
      <c r="D19" s="49"/>
      <c r="E19" s="49"/>
      <c r="F19" s="49"/>
      <c r="G19" s="49"/>
      <c r="H19" s="49"/>
      <c r="I19" s="49"/>
      <c r="J19" s="49"/>
      <c r="L19" s="18" t="s">
        <v>59</v>
      </c>
      <c r="M19" s="13" t="s">
        <v>50</v>
      </c>
      <c r="N19" s="14" t="s">
        <v>51</v>
      </c>
      <c r="O19" s="14" t="s">
        <v>60</v>
      </c>
      <c r="P19" s="1" t="s">
        <v>53</v>
      </c>
      <c r="Q19" s="1" t="s">
        <v>54</v>
      </c>
      <c r="R19" s="7" t="s">
        <v>55</v>
      </c>
      <c r="S19" s="8">
        <v>1000000</v>
      </c>
    </row>
    <row r="20" spans="1:19" ht="18">
      <c r="A20" s="19"/>
      <c r="B20" s="48" t="str">
        <f ca="1">"Ngày thanh toán: "&amp;TEXT($M$1,"dd/mm/yyyy")</f>
        <v>Ngày thanh toán: 24/01/2021</v>
      </c>
      <c r="C20" s="49"/>
      <c r="D20" s="49"/>
      <c r="E20" s="49"/>
      <c r="F20" s="49" t="str">
        <f>"  CIF KH: "&amp;'[1]N-B'!P2</f>
        <v xml:space="preserve">  CIF KH: '3270130313</v>
      </c>
      <c r="G20" s="49"/>
      <c r="H20" s="49"/>
      <c r="I20" s="49"/>
      <c r="J20" s="49"/>
      <c r="L20" s="18" t="s">
        <v>61</v>
      </c>
      <c r="M20" s="13" t="s">
        <v>50</v>
      </c>
      <c r="N20" s="14" t="s">
        <v>51</v>
      </c>
      <c r="O20" s="14" t="s">
        <v>62</v>
      </c>
      <c r="P20" s="1" t="s">
        <v>53</v>
      </c>
      <c r="Q20" s="1" t="s">
        <v>54</v>
      </c>
      <c r="R20" s="7" t="s">
        <v>55</v>
      </c>
      <c r="S20" s="8">
        <v>1000000</v>
      </c>
    </row>
    <row r="21" spans="1:19" ht="18">
      <c r="A21" s="19"/>
      <c r="B21" s="48" t="str">
        <f>"Mã RM: "&amp;'[1]N-B'!B2</f>
        <v>Mã RM: 00985</v>
      </c>
      <c r="C21" s="49"/>
      <c r="D21" s="49"/>
      <c r="E21" s="49"/>
      <c r="F21" s="49" t="str">
        <f>"  Mã đơn vị: "&amp;'[1]N-B'!H2</f>
        <v xml:space="preserve">  Mã đơn vị: 110400</v>
      </c>
      <c r="G21" s="49"/>
      <c r="H21" s="49"/>
      <c r="I21" s="49"/>
      <c r="J21" s="49"/>
      <c r="L21" s="18" t="s">
        <v>63</v>
      </c>
      <c r="M21" s="13" t="s">
        <v>50</v>
      </c>
      <c r="N21" s="14" t="s">
        <v>51</v>
      </c>
      <c r="O21" s="14" t="s">
        <v>64</v>
      </c>
      <c r="P21" s="1" t="s">
        <v>53</v>
      </c>
      <c r="Q21" s="1" t="s">
        <v>54</v>
      </c>
      <c r="R21" s="7" t="s">
        <v>55</v>
      </c>
      <c r="S21" s="8">
        <v>1000000</v>
      </c>
    </row>
    <row r="22" spans="1:19" ht="18">
      <c r="A22" s="19"/>
      <c r="B22" s="48" t="str">
        <f>"Số lượng TP: "&amp;'[1]N-B'!Y2&amp;" TP"</f>
        <v>Số lượng TP: 526 TP</v>
      </c>
      <c r="C22" s="49"/>
      <c r="D22" s="49"/>
      <c r="E22" s="49"/>
      <c r="F22" s="49" t="str">
        <f>"  Giá thực hiện: "&amp;TEXT('[1]N-B'!Z2,"##,#")&amp;" VNĐ/Trái phiếu"</f>
        <v xml:space="preserve">  Giá thực hiện: 1,044,950 VNĐ/Trái phiếu</v>
      </c>
      <c r="G22" s="49"/>
      <c r="H22" s="49"/>
      <c r="I22" s="49"/>
      <c r="J22" s="49"/>
      <c r="L22" s="20" t="s">
        <v>65</v>
      </c>
      <c r="M22" s="13" t="s">
        <v>50</v>
      </c>
      <c r="N22" s="14" t="s">
        <v>51</v>
      </c>
      <c r="O22" s="14" t="s">
        <v>66</v>
      </c>
      <c r="P22" s="1" t="s">
        <v>53</v>
      </c>
      <c r="Q22" s="1" t="s">
        <v>54</v>
      </c>
      <c r="R22" s="7" t="s">
        <v>55</v>
      </c>
      <c r="S22" s="8">
        <v>1000000</v>
      </c>
    </row>
    <row r="23" spans="1:19" ht="18">
      <c r="A23" s="19"/>
      <c r="B23" s="48" t="str">
        <f>"Tổng mệnh giá: "&amp;TEXT('[1]N-B'!Y2*VLOOKUP('[1]N-B'!W2,'P-B'!$L$4:$S$310,8,0),"##,#")&amp;" VND"</f>
        <v>Tổng mệnh giá: 526,000,000 VND</v>
      </c>
      <c r="C23" s="49"/>
      <c r="D23" s="49"/>
      <c r="E23" s="49"/>
      <c r="F23" s="49" t="s">
        <v>67</v>
      </c>
      <c r="G23" s="49"/>
      <c r="H23" s="49"/>
      <c r="I23" s="49"/>
      <c r="J23" s="49"/>
      <c r="L23" s="18" t="s">
        <v>68</v>
      </c>
      <c r="M23" s="13" t="s">
        <v>50</v>
      </c>
      <c r="N23" s="14" t="s">
        <v>51</v>
      </c>
      <c r="O23" s="14" t="s">
        <v>69</v>
      </c>
      <c r="P23" s="1" t="s">
        <v>53</v>
      </c>
      <c r="Q23" s="1" t="s">
        <v>54</v>
      </c>
      <c r="R23" s="7" t="s">
        <v>55</v>
      </c>
      <c r="S23" s="8">
        <v>1000000</v>
      </c>
    </row>
    <row r="24" spans="1:19" ht="18">
      <c r="A24" s="19"/>
      <c r="B24" s="48" t="str">
        <f>"Tổng giá trị giao dịch: "&amp;TEXT('[1]N-B'!AA2,"##,#")&amp;" VND"</f>
        <v>Tổng giá trị giao dịch: 549,643,700 VND</v>
      </c>
      <c r="C24" s="49"/>
      <c r="D24" s="49"/>
      <c r="E24" s="49"/>
      <c r="F24" s="49"/>
      <c r="G24" s="49"/>
      <c r="H24" s="49"/>
      <c r="I24" s="49"/>
      <c r="J24" s="49"/>
      <c r="L24" s="18" t="s">
        <v>70</v>
      </c>
      <c r="M24" s="13" t="s">
        <v>50</v>
      </c>
      <c r="N24" s="14" t="s">
        <v>51</v>
      </c>
      <c r="O24" s="14" t="s">
        <v>71</v>
      </c>
      <c r="P24" s="1" t="s">
        <v>53</v>
      </c>
      <c r="Q24" s="1" t="s">
        <v>54</v>
      </c>
      <c r="R24" s="7" t="s">
        <v>55</v>
      </c>
      <c r="S24" s="8">
        <v>1000000</v>
      </c>
    </row>
    <row r="25" spans="1:19" ht="18">
      <c r="L25" s="18" t="s">
        <v>72</v>
      </c>
      <c r="M25" s="13" t="s">
        <v>50</v>
      </c>
      <c r="N25" s="14" t="s">
        <v>51</v>
      </c>
      <c r="O25" s="14" t="s">
        <v>73</v>
      </c>
      <c r="P25" s="1" t="s">
        <v>53</v>
      </c>
      <c r="Q25" s="1" t="s">
        <v>54</v>
      </c>
      <c r="R25" s="7" t="s">
        <v>55</v>
      </c>
      <c r="S25" s="8">
        <v>1000000</v>
      </c>
    </row>
    <row r="26" spans="1:19" ht="38.25" customHeight="1">
      <c r="F26" s="58" t="s">
        <v>74</v>
      </c>
      <c r="G26" s="46"/>
      <c r="H26" s="46"/>
      <c r="I26" s="46"/>
      <c r="J26" s="46"/>
      <c r="L26" s="18" t="s">
        <v>75</v>
      </c>
      <c r="M26" s="13" t="s">
        <v>50</v>
      </c>
      <c r="N26" s="14" t="s">
        <v>51</v>
      </c>
      <c r="O26" s="14" t="s">
        <v>76</v>
      </c>
      <c r="P26" s="1" t="s">
        <v>53</v>
      </c>
      <c r="Q26" s="1" t="s">
        <v>54</v>
      </c>
      <c r="R26" s="7" t="s">
        <v>55</v>
      </c>
      <c r="S26" s="8">
        <v>1000000</v>
      </c>
    </row>
    <row r="27" spans="1:19" ht="18">
      <c r="L27" s="18" t="s">
        <v>77</v>
      </c>
      <c r="M27" s="13" t="s">
        <v>50</v>
      </c>
      <c r="N27" s="14" t="s">
        <v>51</v>
      </c>
      <c r="O27" s="14" t="s">
        <v>76</v>
      </c>
      <c r="P27" s="1" t="s">
        <v>53</v>
      </c>
      <c r="Q27" s="1" t="s">
        <v>54</v>
      </c>
      <c r="R27" s="7" t="s">
        <v>55</v>
      </c>
      <c r="S27" s="8">
        <v>1000000</v>
      </c>
    </row>
    <row r="28" spans="1:19" ht="18">
      <c r="K28" s="1" t="s">
        <v>78</v>
      </c>
      <c r="L28" s="18" t="s">
        <v>79</v>
      </c>
      <c r="M28" s="13" t="s">
        <v>50</v>
      </c>
      <c r="N28" s="14" t="s">
        <v>51</v>
      </c>
      <c r="O28" s="14" t="s">
        <v>80</v>
      </c>
      <c r="P28" s="1" t="s">
        <v>53</v>
      </c>
      <c r="Q28" s="1" t="s">
        <v>54</v>
      </c>
      <c r="R28" s="7" t="s">
        <v>55</v>
      </c>
      <c r="S28" s="8">
        <v>1000000</v>
      </c>
    </row>
    <row r="29" spans="1:19" ht="18">
      <c r="K29" s="1" t="s">
        <v>81</v>
      </c>
      <c r="L29" s="18" t="s">
        <v>82</v>
      </c>
      <c r="M29" s="13" t="s">
        <v>50</v>
      </c>
      <c r="N29" s="14" t="s">
        <v>51</v>
      </c>
      <c r="O29" s="14" t="s">
        <v>80</v>
      </c>
      <c r="P29" s="1" t="s">
        <v>53</v>
      </c>
      <c r="Q29" s="1" t="s">
        <v>54</v>
      </c>
      <c r="R29" s="7" t="s">
        <v>55</v>
      </c>
      <c r="S29" s="8">
        <v>1000000</v>
      </c>
    </row>
    <row r="30" spans="1:19" ht="18">
      <c r="F30" s="46" t="str">
        <f>K29</f>
        <v>Nguyễn Thế Dũng</v>
      </c>
      <c r="G30" s="46"/>
      <c r="H30" s="46"/>
      <c r="I30" s="46"/>
      <c r="J30" s="46"/>
      <c r="L30" s="18" t="s">
        <v>83</v>
      </c>
      <c r="M30" s="13" t="s">
        <v>50</v>
      </c>
      <c r="N30" s="14" t="s">
        <v>51</v>
      </c>
      <c r="O30" s="14" t="s">
        <v>80</v>
      </c>
      <c r="P30" s="1" t="s">
        <v>53</v>
      </c>
      <c r="Q30" s="1" t="s">
        <v>54</v>
      </c>
      <c r="R30" s="7" t="s">
        <v>55</v>
      </c>
      <c r="S30" s="8">
        <v>1000000</v>
      </c>
    </row>
    <row r="31" spans="1:19" ht="6" customHeight="1">
      <c r="F31" s="21"/>
      <c r="G31" s="21"/>
      <c r="H31" s="21"/>
      <c r="I31" s="21"/>
      <c r="J31" s="21"/>
      <c r="L31" s="18" t="s">
        <v>84</v>
      </c>
      <c r="M31" s="13" t="s">
        <v>50</v>
      </c>
      <c r="N31" s="14" t="s">
        <v>51</v>
      </c>
      <c r="O31" s="14" t="s">
        <v>80</v>
      </c>
      <c r="P31" s="1" t="s">
        <v>53</v>
      </c>
      <c r="Q31" s="1" t="s">
        <v>54</v>
      </c>
      <c r="R31" s="7" t="s">
        <v>55</v>
      </c>
      <c r="S31" s="8">
        <v>1000000</v>
      </c>
    </row>
    <row r="32" spans="1:19" ht="25.5" customHeight="1">
      <c r="F32" s="21"/>
      <c r="G32" s="21"/>
      <c r="H32" s="21"/>
      <c r="I32" s="21"/>
      <c r="J32" s="21"/>
      <c r="L32" s="18" t="s">
        <v>85</v>
      </c>
      <c r="M32" s="13" t="s">
        <v>50</v>
      </c>
      <c r="N32" s="14" t="s">
        <v>51</v>
      </c>
      <c r="O32" s="14" t="s">
        <v>80</v>
      </c>
      <c r="P32" s="1" t="s">
        <v>53</v>
      </c>
      <c r="Q32" s="1" t="s">
        <v>54</v>
      </c>
      <c r="R32" s="7" t="s">
        <v>55</v>
      </c>
      <c r="S32" s="8">
        <v>1000000</v>
      </c>
    </row>
    <row r="33" spans="1:19" ht="18">
      <c r="I33" s="44" t="s">
        <v>0</v>
      </c>
      <c r="J33" s="44"/>
      <c r="L33" s="18" t="s">
        <v>86</v>
      </c>
      <c r="M33" s="13" t="s">
        <v>50</v>
      </c>
      <c r="N33" s="14" t="s">
        <v>51</v>
      </c>
      <c r="O33" s="14" t="s">
        <v>80</v>
      </c>
      <c r="P33" s="1" t="s">
        <v>53</v>
      </c>
      <c r="Q33" s="1" t="s">
        <v>54</v>
      </c>
      <c r="R33" s="7" t="s">
        <v>55</v>
      </c>
      <c r="S33" s="8">
        <v>1000000</v>
      </c>
    </row>
    <row r="34" spans="1:19" ht="18">
      <c r="E34" s="45" t="s">
        <v>2</v>
      </c>
      <c r="F34" s="45"/>
      <c r="G34" s="45"/>
      <c r="H34" s="45"/>
      <c r="I34" s="45"/>
      <c r="J34" s="45"/>
      <c r="L34" s="18" t="s">
        <v>87</v>
      </c>
      <c r="M34" s="13" t="s">
        <v>50</v>
      </c>
      <c r="N34" s="14" t="s">
        <v>51</v>
      </c>
      <c r="O34" s="14" t="s">
        <v>80</v>
      </c>
      <c r="P34" s="1" t="s">
        <v>53</v>
      </c>
      <c r="Q34" s="1" t="s">
        <v>54</v>
      </c>
      <c r="R34" s="7" t="s">
        <v>55</v>
      </c>
      <c r="S34" s="8">
        <v>1000000</v>
      </c>
    </row>
    <row r="35" spans="1:19" ht="18">
      <c r="E35" s="45" t="s">
        <v>3</v>
      </c>
      <c r="F35" s="45"/>
      <c r="G35" s="45"/>
      <c r="H35" s="45"/>
      <c r="I35" s="45"/>
      <c r="J35" s="45"/>
      <c r="L35" s="18" t="s">
        <v>88</v>
      </c>
      <c r="M35" s="13" t="s">
        <v>50</v>
      </c>
      <c r="N35" s="14" t="s">
        <v>51</v>
      </c>
      <c r="O35" s="14" t="s">
        <v>80</v>
      </c>
      <c r="P35" s="1" t="s">
        <v>53</v>
      </c>
      <c r="Q35" s="1" t="s">
        <v>54</v>
      </c>
      <c r="R35" s="7" t="s">
        <v>55</v>
      </c>
      <c r="S35" s="8">
        <v>1000000</v>
      </c>
    </row>
    <row r="36" spans="1:19" ht="18">
      <c r="E36" s="45"/>
      <c r="F36" s="45"/>
      <c r="G36" s="45"/>
      <c r="H36" s="45"/>
      <c r="I36" s="45"/>
      <c r="J36" s="45"/>
      <c r="L36" s="18" t="s">
        <v>89</v>
      </c>
      <c r="M36" s="13" t="s">
        <v>50</v>
      </c>
      <c r="N36" s="14" t="s">
        <v>51</v>
      </c>
      <c r="O36" s="14" t="s">
        <v>80</v>
      </c>
      <c r="P36" s="1" t="s">
        <v>53</v>
      </c>
      <c r="Q36" s="1" t="s">
        <v>54</v>
      </c>
      <c r="R36" s="7" t="s">
        <v>55</v>
      </c>
      <c r="S36" s="8">
        <v>1000000</v>
      </c>
    </row>
    <row r="37" spans="1:19" ht="18">
      <c r="B37" s="46" t="s">
        <v>12</v>
      </c>
      <c r="C37" s="46"/>
      <c r="D37" s="46"/>
      <c r="L37" s="18" t="s">
        <v>90</v>
      </c>
      <c r="M37" s="13" t="s">
        <v>50</v>
      </c>
      <c r="N37" s="14" t="s">
        <v>51</v>
      </c>
      <c r="O37" s="14" t="s">
        <v>80</v>
      </c>
      <c r="P37" s="1" t="s">
        <v>53</v>
      </c>
      <c r="Q37" s="1" t="s">
        <v>54</v>
      </c>
      <c r="R37" s="7" t="s">
        <v>55</v>
      </c>
      <c r="S37" s="8">
        <v>1000000</v>
      </c>
    </row>
    <row r="38" spans="1:19" ht="15.75" customHeight="1">
      <c r="E38" s="47" t="str">
        <f ca="1">"SỐ: "&amp;TEXT($M$1,"DDMM")&amp;"."&amp;$M$3+1&amp;"/"&amp;YEAR($M$1)&amp;"/KDTPBL"</f>
        <v>SỐ: 2401.2/2021/KDTPBL</v>
      </c>
      <c r="F38" s="47"/>
      <c r="G38" s="47"/>
      <c r="H38" s="47"/>
      <c r="I38" s="47"/>
      <c r="J38" s="47"/>
      <c r="L38" s="18" t="s">
        <v>91</v>
      </c>
      <c r="M38" s="13" t="s">
        <v>50</v>
      </c>
      <c r="N38" s="14" t="s">
        <v>51</v>
      </c>
      <c r="O38" s="14" t="s">
        <v>80</v>
      </c>
      <c r="P38" s="1" t="s">
        <v>53</v>
      </c>
      <c r="Q38" s="1" t="s">
        <v>54</v>
      </c>
      <c r="R38" s="7" t="s">
        <v>55</v>
      </c>
      <c r="S38" s="8">
        <v>1000000</v>
      </c>
    </row>
    <row r="39" spans="1:19" ht="40.5" customHeight="1">
      <c r="B39" s="50" t="s">
        <v>17</v>
      </c>
      <c r="C39" s="50"/>
      <c r="D39" s="50"/>
      <c r="E39" s="50"/>
      <c r="F39" s="50"/>
      <c r="G39" s="50"/>
      <c r="H39" s="50"/>
      <c r="I39" s="50"/>
      <c r="J39" s="50"/>
      <c r="L39" s="18" t="s">
        <v>92</v>
      </c>
      <c r="M39" s="13" t="s">
        <v>50</v>
      </c>
      <c r="N39" s="14" t="s">
        <v>51</v>
      </c>
      <c r="O39" s="14" t="s">
        <v>80</v>
      </c>
      <c r="P39" s="1" t="s">
        <v>53</v>
      </c>
      <c r="Q39" s="1" t="s">
        <v>54</v>
      </c>
      <c r="R39" s="7" t="s">
        <v>55</v>
      </c>
      <c r="S39" s="8">
        <v>1000000</v>
      </c>
    </row>
    <row r="40" spans="1:19" ht="18">
      <c r="B40" s="1" t="s">
        <v>25</v>
      </c>
      <c r="F40" s="1" t="s">
        <v>26</v>
      </c>
      <c r="H40" s="1" t="s">
        <v>27</v>
      </c>
      <c r="L40" s="18" t="s">
        <v>93</v>
      </c>
      <c r="M40" s="13" t="s">
        <v>50</v>
      </c>
      <c r="N40" s="14" t="s">
        <v>51</v>
      </c>
      <c r="O40" s="14" t="s">
        <v>80</v>
      </c>
      <c r="P40" s="1" t="s">
        <v>53</v>
      </c>
      <c r="Q40" s="1" t="s">
        <v>54</v>
      </c>
      <c r="R40" s="7" t="s">
        <v>55</v>
      </c>
      <c r="S40" s="8">
        <v>1000000</v>
      </c>
    </row>
    <row r="41" spans="1:19" ht="38.25" customHeight="1">
      <c r="B41" s="1" t="s">
        <v>29</v>
      </c>
      <c r="D41" s="59" t="str">
        <f>'[1]N-B'!K3</f>
        <v>120900.08265.08291.76F7E6.XTTB.2020.66A/HDTP-B/SHB.</v>
      </c>
      <c r="E41" s="59"/>
      <c r="F41" s="59"/>
      <c r="G41" s="59"/>
      <c r="H41" s="59"/>
      <c r="I41" s="59"/>
      <c r="J41" s="59"/>
      <c r="L41" s="18" t="s">
        <v>94</v>
      </c>
      <c r="M41" s="13" t="s">
        <v>50</v>
      </c>
      <c r="N41" s="14" t="s">
        <v>51</v>
      </c>
      <c r="O41" s="14" t="s">
        <v>80</v>
      </c>
      <c r="P41" s="1" t="s">
        <v>53</v>
      </c>
      <c r="Q41" s="1" t="s">
        <v>54</v>
      </c>
      <c r="R41" s="7" t="s">
        <v>55</v>
      </c>
      <c r="S41" s="8">
        <v>1000000</v>
      </c>
    </row>
    <row r="42" spans="1:19" ht="30" customHeight="1">
      <c r="A42" s="11" t="s">
        <v>31</v>
      </c>
      <c r="L42" s="18" t="s">
        <v>95</v>
      </c>
      <c r="M42" s="13" t="s">
        <v>50</v>
      </c>
      <c r="N42" s="14" t="s">
        <v>51</v>
      </c>
      <c r="O42" s="14" t="s">
        <v>80</v>
      </c>
      <c r="P42" s="1" t="s">
        <v>53</v>
      </c>
      <c r="Q42" s="1" t="s">
        <v>54</v>
      </c>
      <c r="R42" s="7" t="s">
        <v>55</v>
      </c>
      <c r="S42" s="8">
        <v>1000000</v>
      </c>
    </row>
    <row r="43" spans="1:19" ht="41.15" customHeight="1">
      <c r="A43" s="15"/>
      <c r="B43" s="51" t="str">
        <f>"Tổ chức phát hành: "&amp;VLOOKUP('[1]N-B'!W3,$L$4:$T$310,2,0)</f>
        <v>Tổ chức phát hành: Công ty cổ phần Xuân Thiện Thuận Bắc</v>
      </c>
      <c r="C43" s="51"/>
      <c r="D43" s="51"/>
      <c r="E43" s="51"/>
      <c r="F43" s="52"/>
      <c r="G43" s="53" t="str">
        <f>"    Mã TP: "&amp;'[1]N-B'!W3</f>
        <v xml:space="preserve">    Mã TP: XTTB.2020.66A</v>
      </c>
      <c r="H43" s="54"/>
      <c r="I43" s="54"/>
      <c r="J43" s="55"/>
      <c r="L43" s="22" t="s">
        <v>96</v>
      </c>
      <c r="M43" s="13" t="s">
        <v>50</v>
      </c>
      <c r="N43" s="14" t="s">
        <v>51</v>
      </c>
      <c r="O43" s="14" t="s">
        <v>80</v>
      </c>
      <c r="P43" s="1" t="s">
        <v>53</v>
      </c>
      <c r="Q43" s="1" t="s">
        <v>54</v>
      </c>
      <c r="R43" s="7" t="s">
        <v>55</v>
      </c>
      <c r="S43" s="8">
        <v>1000000</v>
      </c>
    </row>
    <row r="44" spans="1:19" ht="30.65" customHeight="1">
      <c r="A44" s="16"/>
      <c r="B44" s="56" t="str">
        <f>"Ngày phát hành: "&amp;VLOOKUP('[1]N-B'!W3,$L$4:$T$310,3,0)</f>
        <v>Ngày phát hành: 28/08/2020</v>
      </c>
      <c r="C44" s="56"/>
      <c r="D44" s="56"/>
      <c r="E44" s="56"/>
      <c r="F44" s="48"/>
      <c r="G44" s="57" t="str">
        <f>"    Ngày đáo hạn: "&amp;VLOOKUP('[1]N-B'!W3,$L$4:$T$310,4,0)</f>
        <v xml:space="preserve">    Ngày đáo hạn: 28/08/2026</v>
      </c>
      <c r="H44" s="57"/>
      <c r="I44" s="57"/>
      <c r="J44" s="57"/>
      <c r="L44" s="22" t="s">
        <v>97</v>
      </c>
      <c r="M44" s="13" t="s">
        <v>50</v>
      </c>
      <c r="N44" s="14" t="s">
        <v>51</v>
      </c>
      <c r="O44" s="14" t="s">
        <v>80</v>
      </c>
      <c r="P44" s="1" t="s">
        <v>53</v>
      </c>
      <c r="Q44" s="1" t="s">
        <v>54</v>
      </c>
      <c r="R44" s="7" t="s">
        <v>55</v>
      </c>
      <c r="S44" s="8">
        <v>1000000</v>
      </c>
    </row>
    <row r="45" spans="1:19" ht="63.65" customHeight="1">
      <c r="A45" s="15"/>
      <c r="B45" s="51" t="str">
        <f>"Coupon: Lãi suất cho kỳ tính lãi đầu tiên là "&amp;VLOOKUP('[1]N-B'!W3,$L$4:$T$310,5,0)&amp;". Lãi suất cho các kỳ tính lãi tiếp theo bằng lãi suất thRM chiếu cộng (+) biên độ "&amp;VLOOKUP('[1]N-B'!W3,$L$4:$T$310,6,0)</f>
        <v>Coupon: Lãi suất cho kỳ tính lãi đầu tiên là 10,00%/năm. Lãi suất cho các kỳ tính lãi tiếp theo bằng lãi suất thRM chiếu cộng (+) biên độ 2,0%/năm</v>
      </c>
      <c r="C45" s="51"/>
      <c r="D45" s="51"/>
      <c r="E45" s="51"/>
      <c r="F45" s="52"/>
      <c r="G45" s="57" t="s">
        <v>41</v>
      </c>
      <c r="H45" s="57"/>
      <c r="I45" s="57"/>
      <c r="J45" s="57"/>
      <c r="L45" s="22" t="s">
        <v>98</v>
      </c>
      <c r="M45" s="13" t="s">
        <v>50</v>
      </c>
      <c r="N45" s="14" t="s">
        <v>51</v>
      </c>
      <c r="O45" s="14" t="s">
        <v>80</v>
      </c>
      <c r="P45" s="1" t="s">
        <v>53</v>
      </c>
      <c r="Q45" s="1" t="s">
        <v>54</v>
      </c>
      <c r="R45" s="7" t="s">
        <v>55</v>
      </c>
      <c r="S45" s="8">
        <v>1000000</v>
      </c>
    </row>
    <row r="46" spans="1:19" ht="18">
      <c r="L46" s="22" t="s">
        <v>99</v>
      </c>
      <c r="M46" s="13" t="s">
        <v>50</v>
      </c>
      <c r="N46" s="14" t="s">
        <v>51</v>
      </c>
      <c r="O46" s="14" t="s">
        <v>80</v>
      </c>
      <c r="P46" s="1" t="s">
        <v>53</v>
      </c>
      <c r="Q46" s="1" t="s">
        <v>54</v>
      </c>
      <c r="R46" s="7" t="s">
        <v>55</v>
      </c>
      <c r="S46" s="8">
        <v>1000000</v>
      </c>
    </row>
    <row r="47" spans="1:19" ht="18">
      <c r="A47" s="11" t="s">
        <v>47</v>
      </c>
      <c r="L47" s="22" t="s">
        <v>100</v>
      </c>
      <c r="M47" s="13" t="s">
        <v>50</v>
      </c>
      <c r="N47" s="14" t="s">
        <v>51</v>
      </c>
      <c r="O47" s="14" t="s">
        <v>80</v>
      </c>
      <c r="P47" s="1" t="s">
        <v>53</v>
      </c>
      <c r="Q47" s="1" t="s">
        <v>54</v>
      </c>
      <c r="R47" s="7" t="s">
        <v>55</v>
      </c>
      <c r="S47" s="8">
        <v>1000000</v>
      </c>
    </row>
    <row r="48" spans="1:19" ht="18">
      <c r="B48" s="1" t="str">
        <f>"Số quyết định: "&amp;VLOOKUP('[1]N-B'!W3,$L$4:$T$310,7,0)</f>
        <v>Số quyết định: 2809/2020/QĐ-TGĐ ngày 16/10/2020</v>
      </c>
      <c r="L48" s="22" t="s">
        <v>101</v>
      </c>
      <c r="M48" s="13" t="s">
        <v>50</v>
      </c>
      <c r="N48" s="14" t="s">
        <v>51</v>
      </c>
      <c r="O48" s="14" t="s">
        <v>80</v>
      </c>
      <c r="P48" s="1" t="s">
        <v>53</v>
      </c>
      <c r="Q48" s="1" t="s">
        <v>54</v>
      </c>
      <c r="R48" s="7" t="s">
        <v>55</v>
      </c>
      <c r="S48" s="8">
        <v>1000000</v>
      </c>
    </row>
    <row r="49" spans="1:20" ht="18">
      <c r="A49" s="19"/>
      <c r="B49" s="48" t="str">
        <f>"Đối tác giao dịch: "&amp;'[1]N-B'!L3</f>
        <v>Đối tác giao dịch: Ngô Thị Mỹ Dung</v>
      </c>
      <c r="C49" s="49"/>
      <c r="D49" s="49"/>
      <c r="E49" s="49"/>
      <c r="F49" s="49"/>
      <c r="G49" s="49"/>
      <c r="H49" s="49"/>
      <c r="I49" s="49"/>
      <c r="J49" s="49"/>
      <c r="L49" s="22" t="s">
        <v>102</v>
      </c>
      <c r="M49" s="13" t="s">
        <v>50</v>
      </c>
      <c r="N49" s="14" t="s">
        <v>51</v>
      </c>
      <c r="O49" s="14" t="s">
        <v>80</v>
      </c>
      <c r="P49" s="1" t="s">
        <v>53</v>
      </c>
      <c r="Q49" s="1" t="s">
        <v>54</v>
      </c>
      <c r="R49" s="7" t="s">
        <v>55</v>
      </c>
      <c r="S49" s="8">
        <v>1000000</v>
      </c>
    </row>
    <row r="50" spans="1:20" ht="16.5" customHeight="1">
      <c r="A50" s="19"/>
      <c r="B50" s="51" t="str">
        <f>"Hợp đồng số: "&amp;'[1]N-B'!K3</f>
        <v>Hợp đồng số: 120900.08265.08291.76F7E6.XTTB.2020.66A/HDTP-B/SHB.</v>
      </c>
      <c r="C50" s="51"/>
      <c r="D50" s="51"/>
      <c r="E50" s="51"/>
      <c r="F50" s="51"/>
      <c r="G50" s="51"/>
      <c r="H50" s="51"/>
      <c r="I50" s="51"/>
      <c r="J50" s="52"/>
      <c r="L50" s="22" t="s">
        <v>103</v>
      </c>
      <c r="M50" s="13" t="s">
        <v>50</v>
      </c>
      <c r="N50" s="14" t="s">
        <v>51</v>
      </c>
      <c r="O50" s="14" t="s">
        <v>80</v>
      </c>
      <c r="P50" s="1" t="s">
        <v>53</v>
      </c>
      <c r="Q50" s="1" t="s">
        <v>54</v>
      </c>
      <c r="R50" s="7" t="s">
        <v>55</v>
      </c>
      <c r="S50" s="8">
        <v>1000000</v>
      </c>
    </row>
    <row r="51" spans="1:20" ht="18">
      <c r="A51" s="19"/>
      <c r="B51" s="48" t="str">
        <f ca="1">"Ngày giao dịch: "&amp;TEXT($M$1,"dd/mm/yyyy")</f>
        <v>Ngày giao dịch: 24/01/2021</v>
      </c>
      <c r="C51" s="49"/>
      <c r="D51" s="49"/>
      <c r="E51" s="49"/>
      <c r="F51" s="49"/>
      <c r="G51" s="49"/>
      <c r="H51" s="49"/>
      <c r="I51" s="49"/>
      <c r="J51" s="49"/>
      <c r="L51" s="23" t="s">
        <v>104</v>
      </c>
      <c r="M51" s="13" t="s">
        <v>50</v>
      </c>
      <c r="N51" s="14" t="s">
        <v>51</v>
      </c>
      <c r="O51" s="14" t="s">
        <v>80</v>
      </c>
      <c r="P51" s="1" t="s">
        <v>53</v>
      </c>
      <c r="Q51" s="1" t="s">
        <v>54</v>
      </c>
      <c r="R51" s="7" t="s">
        <v>55</v>
      </c>
      <c r="S51" s="8">
        <v>1000000</v>
      </c>
    </row>
    <row r="52" spans="1:20" ht="18">
      <c r="A52" s="19"/>
      <c r="B52" s="48" t="str">
        <f ca="1">"Ngày thanh toán: "&amp;TEXT($M$1,"dd/mm/yyyy")</f>
        <v>Ngày thanh toán: 24/01/2021</v>
      </c>
      <c r="C52" s="49"/>
      <c r="D52" s="49"/>
      <c r="E52" s="49"/>
      <c r="F52" s="49" t="str">
        <f>"  CIF KH: "&amp;'[1]N-B'!P3</f>
        <v xml:space="preserve">  CIF KH: '0109423672</v>
      </c>
      <c r="G52" s="49"/>
      <c r="H52" s="49"/>
      <c r="I52" s="49"/>
      <c r="J52" s="49"/>
      <c r="L52" s="24" t="s">
        <v>105</v>
      </c>
      <c r="M52" s="13" t="s">
        <v>106</v>
      </c>
      <c r="N52" s="25" t="s">
        <v>107</v>
      </c>
      <c r="O52" t="s">
        <v>108</v>
      </c>
      <c r="P52" s="1" t="s">
        <v>109</v>
      </c>
      <c r="Q52" s="1" t="s">
        <v>54</v>
      </c>
      <c r="R52" s="7" t="s">
        <v>110</v>
      </c>
      <c r="S52" s="8">
        <v>1000000</v>
      </c>
      <c r="T52" s="26"/>
    </row>
    <row r="53" spans="1:20" ht="18">
      <c r="A53" s="19"/>
      <c r="B53" s="48" t="str">
        <f>"Mã RM: "&amp;'[1]N-B'!B3</f>
        <v>Mã RM: 08291</v>
      </c>
      <c r="C53" s="49"/>
      <c r="D53" s="49"/>
      <c r="E53" s="49"/>
      <c r="F53" s="49" t="str">
        <f>"  Mã đơn vị: "&amp;'[1]N-B'!H3</f>
        <v xml:space="preserve">  Mã đơn vị: 120900</v>
      </c>
      <c r="G53" s="49"/>
      <c r="H53" s="49"/>
      <c r="I53" s="49"/>
      <c r="J53" s="49"/>
      <c r="L53" s="24" t="s">
        <v>111</v>
      </c>
      <c r="M53" s="13" t="s">
        <v>106</v>
      </c>
      <c r="N53" s="25" t="s">
        <v>107</v>
      </c>
      <c r="O53" t="s">
        <v>108</v>
      </c>
      <c r="P53" s="1" t="s">
        <v>109</v>
      </c>
      <c r="Q53" s="1" t="s">
        <v>54</v>
      </c>
      <c r="R53" s="7" t="s">
        <v>110</v>
      </c>
      <c r="S53" s="8">
        <v>1000000</v>
      </c>
      <c r="T53" s="26"/>
    </row>
    <row r="54" spans="1:20" ht="18">
      <c r="A54" s="19"/>
      <c r="B54" s="48" t="str">
        <f>"Số lượng TP: "&amp;'[1]N-B'!Y3&amp;" TP"</f>
        <v>Số lượng TP: 448 TP</v>
      </c>
      <c r="C54" s="49"/>
      <c r="D54" s="49"/>
      <c r="E54" s="49"/>
      <c r="F54" s="49" t="str">
        <f>"  Giá thực hiện: "&amp;TEXT('[1]N-B'!Z3,"##,#")&amp;" VNĐ/Trái phiếu"</f>
        <v xml:space="preserve">  Giá thực hiện: 1,117,996 VNĐ/Trái phiếu</v>
      </c>
      <c r="G54" s="49"/>
      <c r="H54" s="49"/>
      <c r="I54" s="49"/>
      <c r="J54" s="49"/>
      <c r="L54" s="24" t="s">
        <v>112</v>
      </c>
      <c r="M54" s="13" t="s">
        <v>106</v>
      </c>
      <c r="N54" s="25" t="s">
        <v>107</v>
      </c>
      <c r="O54" t="s">
        <v>108</v>
      </c>
      <c r="P54" s="1" t="s">
        <v>109</v>
      </c>
      <c r="Q54" s="1" t="s">
        <v>54</v>
      </c>
      <c r="R54" s="7" t="s">
        <v>110</v>
      </c>
      <c r="S54" s="8">
        <v>1000000</v>
      </c>
      <c r="T54" s="26"/>
    </row>
    <row r="55" spans="1:20" ht="18">
      <c r="A55" s="19"/>
      <c r="B55" s="48" t="str">
        <f>"Tổng mệnh giá: "&amp;TEXT('[1]N-B'!Y3*VLOOKUP('[1]N-B'!W3,'P-B'!$L$4:$S$310,8,0),"##,#")&amp;" VND"</f>
        <v>Tổng mệnh giá: 448,000,000 VND</v>
      </c>
      <c r="C55" s="49"/>
      <c r="D55" s="49"/>
      <c r="E55" s="49"/>
      <c r="F55" s="49" t="s">
        <v>67</v>
      </c>
      <c r="G55" s="49"/>
      <c r="H55" s="49"/>
      <c r="I55" s="49"/>
      <c r="J55" s="49"/>
      <c r="L55" s="24" t="s">
        <v>113</v>
      </c>
      <c r="M55" s="13" t="s">
        <v>106</v>
      </c>
      <c r="N55" s="25" t="s">
        <v>107</v>
      </c>
      <c r="O55" t="s">
        <v>114</v>
      </c>
      <c r="P55" s="1" t="s">
        <v>109</v>
      </c>
      <c r="Q55" s="1" t="s">
        <v>54</v>
      </c>
      <c r="R55" s="7" t="s">
        <v>110</v>
      </c>
      <c r="S55" s="8">
        <v>1000000</v>
      </c>
      <c r="T55" s="26"/>
    </row>
    <row r="56" spans="1:20" ht="18">
      <c r="A56" s="19"/>
      <c r="B56" s="48" t="str">
        <f>"Tổng giá trị giao dịch: "&amp;TEXT('[1]N-B'!AA3,"##,#")&amp;" VND"</f>
        <v>Tổng giá trị giao dịch: 500,862,208 VND</v>
      </c>
      <c r="C56" s="49"/>
      <c r="D56" s="49"/>
      <c r="E56" s="49"/>
      <c r="F56" s="49"/>
      <c r="G56" s="49"/>
      <c r="H56" s="49"/>
      <c r="I56" s="49"/>
      <c r="J56" s="49"/>
      <c r="L56" s="24" t="s">
        <v>115</v>
      </c>
      <c r="M56" s="13" t="s">
        <v>106</v>
      </c>
      <c r="N56" s="25" t="s">
        <v>107</v>
      </c>
      <c r="O56" t="s">
        <v>114</v>
      </c>
      <c r="P56" s="1" t="s">
        <v>109</v>
      </c>
      <c r="Q56" s="1" t="s">
        <v>54</v>
      </c>
      <c r="R56" s="7" t="s">
        <v>110</v>
      </c>
      <c r="S56" s="8">
        <v>1000000</v>
      </c>
      <c r="T56" s="26"/>
    </row>
    <row r="57" spans="1:20" ht="18">
      <c r="L57" s="24" t="s">
        <v>116</v>
      </c>
      <c r="M57" s="13" t="s">
        <v>106</v>
      </c>
      <c r="N57" s="25" t="s">
        <v>107</v>
      </c>
      <c r="O57" t="s">
        <v>114</v>
      </c>
      <c r="P57" s="1" t="s">
        <v>109</v>
      </c>
      <c r="Q57" s="1" t="s">
        <v>54</v>
      </c>
      <c r="R57" s="7" t="s">
        <v>110</v>
      </c>
      <c r="S57" s="8">
        <v>1000000</v>
      </c>
      <c r="T57" s="26"/>
    </row>
    <row r="58" spans="1:20" ht="38.25" customHeight="1">
      <c r="F58" s="58" t="s">
        <v>74</v>
      </c>
      <c r="G58" s="46"/>
      <c r="H58" s="46"/>
      <c r="I58" s="46"/>
      <c r="J58" s="46"/>
      <c r="L58" s="24" t="s">
        <v>117</v>
      </c>
      <c r="M58" s="13" t="s">
        <v>106</v>
      </c>
      <c r="N58" s="25" t="s">
        <v>107</v>
      </c>
      <c r="O58" t="s">
        <v>118</v>
      </c>
      <c r="P58" s="1" t="s">
        <v>109</v>
      </c>
      <c r="Q58" s="1" t="s">
        <v>54</v>
      </c>
      <c r="R58" s="7" t="s">
        <v>110</v>
      </c>
      <c r="S58" s="8">
        <v>1000000</v>
      </c>
      <c r="T58" s="26"/>
    </row>
    <row r="59" spans="1:20" ht="18">
      <c r="L59" s="24" t="s">
        <v>119</v>
      </c>
      <c r="M59" s="13" t="s">
        <v>106</v>
      </c>
      <c r="N59" s="25" t="s">
        <v>107</v>
      </c>
      <c r="O59" t="s">
        <v>118</v>
      </c>
      <c r="P59" s="1" t="s">
        <v>109</v>
      </c>
      <c r="Q59" s="1" t="s">
        <v>54</v>
      </c>
      <c r="R59" s="7" t="s">
        <v>110</v>
      </c>
      <c r="S59" s="8">
        <v>1000000</v>
      </c>
      <c r="T59" s="26"/>
    </row>
    <row r="60" spans="1:20" ht="18">
      <c r="L60" s="24" t="s">
        <v>120</v>
      </c>
      <c r="M60" s="13" t="s">
        <v>106</v>
      </c>
      <c r="N60" s="25" t="s">
        <v>107</v>
      </c>
      <c r="O60" t="s">
        <v>118</v>
      </c>
      <c r="P60" s="1" t="s">
        <v>109</v>
      </c>
      <c r="Q60" s="1" t="s">
        <v>54</v>
      </c>
      <c r="R60" s="7" t="s">
        <v>110</v>
      </c>
      <c r="S60" s="8">
        <v>1000000</v>
      </c>
      <c r="T60" s="26"/>
    </row>
    <row r="61" spans="1:20" ht="18">
      <c r="L61" s="24" t="s">
        <v>121</v>
      </c>
      <c r="M61" s="13" t="s">
        <v>106</v>
      </c>
      <c r="N61" s="25" t="s">
        <v>107</v>
      </c>
      <c r="O61" t="s">
        <v>122</v>
      </c>
      <c r="P61" s="1" t="s">
        <v>109</v>
      </c>
      <c r="Q61" s="1" t="s">
        <v>54</v>
      </c>
      <c r="R61" s="7" t="s">
        <v>110</v>
      </c>
      <c r="S61" s="8">
        <v>1000000</v>
      </c>
      <c r="T61" s="26"/>
    </row>
    <row r="62" spans="1:20" ht="18">
      <c r="F62" s="46" t="str">
        <f>F30</f>
        <v>Nguyễn Thế Dũng</v>
      </c>
      <c r="G62" s="46"/>
      <c r="H62" s="46"/>
      <c r="I62" s="46"/>
      <c r="J62" s="46"/>
      <c r="L62" s="24" t="s">
        <v>123</v>
      </c>
      <c r="M62" s="13" t="s">
        <v>106</v>
      </c>
      <c r="N62" s="25" t="s">
        <v>107</v>
      </c>
      <c r="O62" t="s">
        <v>122</v>
      </c>
      <c r="P62" s="1" t="s">
        <v>109</v>
      </c>
      <c r="Q62" s="1" t="s">
        <v>54</v>
      </c>
      <c r="R62" s="7" t="s">
        <v>110</v>
      </c>
      <c r="S62" s="8">
        <v>1000000</v>
      </c>
      <c r="T62" s="26"/>
    </row>
    <row r="63" spans="1:20" ht="11.25" customHeight="1">
      <c r="F63" s="21"/>
      <c r="G63" s="21"/>
      <c r="H63" s="21"/>
      <c r="I63" s="21"/>
      <c r="J63" s="21"/>
      <c r="L63" s="24" t="s">
        <v>124</v>
      </c>
      <c r="M63" s="13" t="s">
        <v>106</v>
      </c>
      <c r="N63" s="25" t="s">
        <v>107</v>
      </c>
      <c r="O63" t="s">
        <v>122</v>
      </c>
      <c r="P63" s="1" t="s">
        <v>109</v>
      </c>
      <c r="Q63" s="1" t="s">
        <v>54</v>
      </c>
      <c r="R63" s="7" t="s">
        <v>110</v>
      </c>
      <c r="S63" s="8">
        <v>1000000</v>
      </c>
      <c r="T63" s="26"/>
    </row>
    <row r="64" spans="1:20" ht="18">
      <c r="I64" s="44" t="s">
        <v>0</v>
      </c>
      <c r="J64" s="44"/>
      <c r="L64" s="24" t="s">
        <v>125</v>
      </c>
      <c r="M64" s="13" t="s">
        <v>106</v>
      </c>
      <c r="N64" s="25" t="s">
        <v>107</v>
      </c>
      <c r="O64" t="s">
        <v>126</v>
      </c>
      <c r="P64" s="1" t="s">
        <v>109</v>
      </c>
      <c r="Q64" s="1" t="s">
        <v>54</v>
      </c>
      <c r="R64" s="7" t="s">
        <v>110</v>
      </c>
      <c r="S64" s="8">
        <v>1000000</v>
      </c>
      <c r="T64" s="26"/>
    </row>
    <row r="65" spans="1:20" ht="18">
      <c r="E65" s="45" t="s">
        <v>2</v>
      </c>
      <c r="F65" s="45"/>
      <c r="G65" s="45"/>
      <c r="H65" s="45"/>
      <c r="I65" s="45"/>
      <c r="J65" s="45"/>
      <c r="L65" s="24" t="s">
        <v>127</v>
      </c>
      <c r="M65" s="13" t="s">
        <v>106</v>
      </c>
      <c r="N65" s="25" t="s">
        <v>107</v>
      </c>
      <c r="O65" t="s">
        <v>126</v>
      </c>
      <c r="P65" s="1" t="s">
        <v>109</v>
      </c>
      <c r="Q65" s="1" t="s">
        <v>54</v>
      </c>
      <c r="R65" s="7" t="s">
        <v>110</v>
      </c>
      <c r="S65" s="8">
        <v>1000000</v>
      </c>
      <c r="T65" s="26"/>
    </row>
    <row r="66" spans="1:20" ht="18">
      <c r="E66" s="45" t="s">
        <v>3</v>
      </c>
      <c r="F66" s="45"/>
      <c r="G66" s="45"/>
      <c r="H66" s="45"/>
      <c r="I66" s="45"/>
      <c r="J66" s="45"/>
      <c r="L66" s="27" t="s">
        <v>128</v>
      </c>
      <c r="M66" s="13" t="s">
        <v>106</v>
      </c>
      <c r="N66" s="25" t="s">
        <v>107</v>
      </c>
      <c r="O66" t="s">
        <v>126</v>
      </c>
      <c r="P66" s="1" t="s">
        <v>109</v>
      </c>
      <c r="Q66" s="1" t="s">
        <v>54</v>
      </c>
      <c r="R66" s="7" t="s">
        <v>110</v>
      </c>
      <c r="S66" s="8">
        <v>1000000</v>
      </c>
      <c r="T66" s="26"/>
    </row>
    <row r="67" spans="1:20" ht="18">
      <c r="E67" s="45"/>
      <c r="F67" s="45"/>
      <c r="G67" s="45"/>
      <c r="H67" s="45"/>
      <c r="I67" s="45"/>
      <c r="J67" s="45"/>
      <c r="L67" s="24" t="s">
        <v>129</v>
      </c>
      <c r="M67" s="13" t="s">
        <v>106</v>
      </c>
      <c r="N67" s="25" t="s">
        <v>107</v>
      </c>
      <c r="O67" t="s">
        <v>130</v>
      </c>
      <c r="P67" s="1" t="s">
        <v>109</v>
      </c>
      <c r="Q67" s="1" t="s">
        <v>54</v>
      </c>
      <c r="R67" s="7" t="s">
        <v>110</v>
      </c>
      <c r="S67" s="8">
        <v>1000000</v>
      </c>
      <c r="T67" s="26"/>
    </row>
    <row r="68" spans="1:20" ht="18">
      <c r="B68" s="46" t="s">
        <v>12</v>
      </c>
      <c r="C68" s="46"/>
      <c r="D68" s="46"/>
      <c r="L68" s="24" t="s">
        <v>131</v>
      </c>
      <c r="M68" s="13" t="s">
        <v>106</v>
      </c>
      <c r="N68" s="25" t="s">
        <v>107</v>
      </c>
      <c r="O68" t="s">
        <v>130</v>
      </c>
      <c r="P68" s="1" t="s">
        <v>109</v>
      </c>
      <c r="Q68" s="1" t="s">
        <v>54</v>
      </c>
      <c r="R68" s="7" t="s">
        <v>110</v>
      </c>
      <c r="S68" s="8">
        <v>1000000</v>
      </c>
      <c r="T68" s="26"/>
    </row>
    <row r="69" spans="1:20" ht="25.5" customHeight="1">
      <c r="E69" s="47" t="str">
        <f ca="1">"SỐ: "&amp;TEXT($M$1,"DDMM")&amp;"."&amp;$M$3+2&amp;"/"&amp;YEAR($M$1)&amp;"/KDTPBL"</f>
        <v>SỐ: 2401.3/2021/KDTPBL</v>
      </c>
      <c r="F69" s="47"/>
      <c r="G69" s="47"/>
      <c r="H69" s="47"/>
      <c r="I69" s="47"/>
      <c r="J69" s="47"/>
      <c r="L69" s="24" t="s">
        <v>132</v>
      </c>
      <c r="M69" s="13" t="s">
        <v>106</v>
      </c>
      <c r="N69" s="25" t="s">
        <v>107</v>
      </c>
      <c r="O69" t="s">
        <v>130</v>
      </c>
      <c r="P69" s="1" t="s">
        <v>109</v>
      </c>
      <c r="Q69" s="1" t="s">
        <v>54</v>
      </c>
      <c r="R69" s="7" t="s">
        <v>110</v>
      </c>
      <c r="S69" s="8">
        <v>1000000</v>
      </c>
      <c r="T69" s="26"/>
    </row>
    <row r="70" spans="1:20" ht="49.5" customHeight="1">
      <c r="B70" s="50" t="s">
        <v>17</v>
      </c>
      <c r="C70" s="50"/>
      <c r="D70" s="50"/>
      <c r="E70" s="50"/>
      <c r="F70" s="50"/>
      <c r="G70" s="50"/>
      <c r="H70" s="50"/>
      <c r="I70" s="50"/>
      <c r="J70" s="50"/>
      <c r="L70" s="24" t="s">
        <v>133</v>
      </c>
      <c r="M70" s="28" t="s">
        <v>134</v>
      </c>
      <c r="N70" s="25" t="s">
        <v>135</v>
      </c>
      <c r="O70" s="25" t="s">
        <v>136</v>
      </c>
      <c r="P70" s="1" t="s">
        <v>109</v>
      </c>
      <c r="Q70" s="1" t="s">
        <v>54</v>
      </c>
      <c r="R70" s="7" t="s">
        <v>110</v>
      </c>
      <c r="S70" s="8">
        <v>1000000</v>
      </c>
      <c r="T70" s="26"/>
    </row>
    <row r="71" spans="1:20" ht="18">
      <c r="B71" s="1" t="s">
        <v>25</v>
      </c>
      <c r="F71" s="1" t="s">
        <v>26</v>
      </c>
      <c r="H71" s="1" t="s">
        <v>27</v>
      </c>
      <c r="L71" s="24" t="s">
        <v>137</v>
      </c>
      <c r="M71" s="28" t="s">
        <v>134</v>
      </c>
      <c r="N71" s="25" t="s">
        <v>135</v>
      </c>
      <c r="O71" s="25" t="s">
        <v>136</v>
      </c>
      <c r="P71" s="1" t="s">
        <v>109</v>
      </c>
      <c r="Q71" s="1" t="s">
        <v>54</v>
      </c>
      <c r="R71" s="7" t="s">
        <v>110</v>
      </c>
      <c r="S71" s="8">
        <v>1000000</v>
      </c>
      <c r="T71" s="26"/>
    </row>
    <row r="72" spans="1:20" ht="18">
      <c r="B72" s="1" t="s">
        <v>29</v>
      </c>
      <c r="D72" s="10" t="str">
        <f>'[1]N-B'!K4</f>
        <v>110213.06488.05175.3453E4.XTNT.2020.33A/HDTP-B/SHB.</v>
      </c>
      <c r="L72" s="24" t="s">
        <v>138</v>
      </c>
      <c r="M72" s="28" t="s">
        <v>134</v>
      </c>
      <c r="N72" s="25" t="s">
        <v>135</v>
      </c>
      <c r="O72" s="25" t="s">
        <v>136</v>
      </c>
      <c r="P72" s="1" t="s">
        <v>109</v>
      </c>
      <c r="Q72" s="1" t="s">
        <v>54</v>
      </c>
      <c r="R72" s="7" t="s">
        <v>110</v>
      </c>
      <c r="S72" s="8">
        <v>1000000</v>
      </c>
      <c r="T72" s="26"/>
    </row>
    <row r="73" spans="1:20" ht="30" customHeight="1">
      <c r="A73" s="11" t="s">
        <v>31</v>
      </c>
      <c r="L73" s="24" t="s">
        <v>139</v>
      </c>
      <c r="M73" s="28" t="s">
        <v>134</v>
      </c>
      <c r="N73" s="25" t="s">
        <v>135</v>
      </c>
      <c r="O73" s="25" t="s">
        <v>140</v>
      </c>
      <c r="P73" s="1" t="s">
        <v>109</v>
      </c>
      <c r="Q73" s="1" t="s">
        <v>54</v>
      </c>
      <c r="R73" s="7" t="s">
        <v>110</v>
      </c>
      <c r="S73" s="8">
        <v>1000000</v>
      </c>
      <c r="T73" s="26"/>
    </row>
    <row r="74" spans="1:20" ht="42.65" customHeight="1">
      <c r="A74" s="15"/>
      <c r="B74" s="51" t="str">
        <f>"Tổ chức phát hành: "&amp;VLOOKUP('[1]N-B'!W4,$L$4:$T$310,2,0)</f>
        <v>Tổ chức phát hành: Công ty cổ phần Xuân Thiện Ninh Thuận</v>
      </c>
      <c r="C74" s="51"/>
      <c r="D74" s="51"/>
      <c r="E74" s="51"/>
      <c r="F74" s="52"/>
      <c r="G74" s="53" t="str">
        <f>"    Mã TP: "&amp;'[1]N-B'!W4</f>
        <v xml:space="preserve">    Mã TP: XTNT.2020.33A</v>
      </c>
      <c r="H74" s="54"/>
      <c r="I74" s="54"/>
      <c r="J74" s="55"/>
      <c r="L74" s="24" t="s">
        <v>141</v>
      </c>
      <c r="M74" s="28" t="s">
        <v>134</v>
      </c>
      <c r="N74" s="25" t="s">
        <v>135</v>
      </c>
      <c r="O74" s="25" t="s">
        <v>140</v>
      </c>
      <c r="P74" s="1" t="s">
        <v>109</v>
      </c>
      <c r="Q74" s="1" t="s">
        <v>54</v>
      </c>
      <c r="R74" s="7" t="s">
        <v>110</v>
      </c>
      <c r="S74" s="8">
        <v>1000000</v>
      </c>
      <c r="T74" s="26"/>
    </row>
    <row r="75" spans="1:20" ht="31" customHeight="1">
      <c r="A75" s="16"/>
      <c r="B75" s="56" t="str">
        <f>"Ngày phát hành: "&amp;VLOOKUP('[1]N-B'!W4,$L$4:$T$310,3,0)</f>
        <v>Ngày phát hành: 28/08/2020</v>
      </c>
      <c r="C75" s="56"/>
      <c r="D75" s="56"/>
      <c r="E75" s="56"/>
      <c r="F75" s="48"/>
      <c r="G75" s="57" t="str">
        <f>"    Ngày đáo hạn: "&amp;VLOOKUP('[1]N-B'!W4,$L$4:$T$310,4,0)</f>
        <v xml:space="preserve">    Ngày đáo hạn: 28/08/2023</v>
      </c>
      <c r="H75" s="57"/>
      <c r="I75" s="57"/>
      <c r="J75" s="57"/>
      <c r="L75" s="24" t="s">
        <v>142</v>
      </c>
      <c r="M75" s="28" t="s">
        <v>134</v>
      </c>
      <c r="N75" s="25" t="s">
        <v>135</v>
      </c>
      <c r="O75" s="25" t="s">
        <v>140</v>
      </c>
      <c r="P75" s="1" t="s">
        <v>109</v>
      </c>
      <c r="Q75" s="1" t="s">
        <v>54</v>
      </c>
      <c r="R75" s="7" t="s">
        <v>110</v>
      </c>
      <c r="S75" s="8">
        <v>1000000</v>
      </c>
      <c r="T75" s="26"/>
    </row>
    <row r="76" spans="1:20" ht="63" customHeight="1">
      <c r="A76" s="15"/>
      <c r="B76" s="51" t="str">
        <f>"Coupon: Lãi suất cho kỳ tính lãi đầu tiên là "&amp;VLOOKUP('[1]N-B'!W4,$L$4:$T$310,5,0)&amp;". Lãi suất cho các kỳ tính lãi tiếp theo bằng lãi suất thRM chiếu cộng (+) biên độ "&amp;VLOOKUP('[1]N-B'!W4,$L$4:$T$310,6,0)</f>
        <v>Coupon: Lãi suất cho kỳ tính lãi đầu tiên là 10,00%/năm. Lãi suất cho các kỳ tính lãi tiếp theo bằng lãi suất thRM chiếu cộng (+) biên độ 2,00%/năm</v>
      </c>
      <c r="C76" s="51"/>
      <c r="D76" s="51"/>
      <c r="E76" s="51"/>
      <c r="F76" s="52"/>
      <c r="G76" s="57" t="s">
        <v>41</v>
      </c>
      <c r="H76" s="57"/>
      <c r="I76" s="57"/>
      <c r="J76" s="57"/>
      <c r="L76" s="24" t="s">
        <v>143</v>
      </c>
      <c r="M76" s="28" t="s">
        <v>134</v>
      </c>
      <c r="N76" s="25" t="s">
        <v>135</v>
      </c>
      <c r="O76" s="25" t="s">
        <v>144</v>
      </c>
      <c r="P76" s="1" t="s">
        <v>109</v>
      </c>
      <c r="Q76" s="1" t="s">
        <v>54</v>
      </c>
      <c r="R76" s="7" t="s">
        <v>110</v>
      </c>
      <c r="S76" s="8">
        <v>1000000</v>
      </c>
      <c r="T76" s="26"/>
    </row>
    <row r="77" spans="1:20" ht="18">
      <c r="L77" s="24" t="s">
        <v>145</v>
      </c>
      <c r="M77" s="28" t="s">
        <v>134</v>
      </c>
      <c r="N77" s="25" t="s">
        <v>135</v>
      </c>
      <c r="O77" s="25" t="s">
        <v>144</v>
      </c>
      <c r="P77" s="1" t="s">
        <v>109</v>
      </c>
      <c r="Q77" s="1" t="s">
        <v>54</v>
      </c>
      <c r="R77" s="7" t="s">
        <v>110</v>
      </c>
      <c r="S77" s="8">
        <v>1000000</v>
      </c>
      <c r="T77" s="26"/>
    </row>
    <row r="78" spans="1:20" ht="18">
      <c r="A78" s="11" t="s">
        <v>47</v>
      </c>
      <c r="L78" s="24" t="s">
        <v>146</v>
      </c>
      <c r="M78" s="28" t="s">
        <v>134</v>
      </c>
      <c r="N78" s="25" t="s">
        <v>135</v>
      </c>
      <c r="O78" s="25" t="s">
        <v>144</v>
      </c>
      <c r="P78" s="1" t="s">
        <v>109</v>
      </c>
      <c r="Q78" s="1" t="s">
        <v>54</v>
      </c>
      <c r="R78" s="7" t="s">
        <v>110</v>
      </c>
      <c r="S78" s="8">
        <v>1000000</v>
      </c>
      <c r="T78" s="26"/>
    </row>
    <row r="79" spans="1:20" ht="18">
      <c r="B79" s="1" t="str">
        <f>"Số quyết định: "&amp;VLOOKUP('[1]N-B'!W4,$L$4:$T$310,7,0)</f>
        <v>Số quyết định: 2809/2020/QĐ-TGĐ ngày 14/10/2020</v>
      </c>
      <c r="L79" s="24" t="s">
        <v>147</v>
      </c>
      <c r="M79" s="28" t="s">
        <v>134</v>
      </c>
      <c r="N79" s="25" t="s">
        <v>135</v>
      </c>
      <c r="O79" s="25" t="s">
        <v>148</v>
      </c>
      <c r="P79" s="1" t="s">
        <v>109</v>
      </c>
      <c r="Q79" s="1" t="s">
        <v>54</v>
      </c>
      <c r="R79" s="7" t="s">
        <v>110</v>
      </c>
      <c r="S79" s="8">
        <v>1000000</v>
      </c>
      <c r="T79" s="26"/>
    </row>
    <row r="80" spans="1:20" ht="18">
      <c r="A80" s="19"/>
      <c r="B80" s="48" t="str">
        <f>"Đối tác giao dịch: "&amp;'[1]N-B'!L4</f>
        <v>Đối tác giao dịch: Vũ Thị Thúy</v>
      </c>
      <c r="C80" s="49"/>
      <c r="D80" s="49"/>
      <c r="E80" s="49"/>
      <c r="F80" s="49"/>
      <c r="G80" s="49"/>
      <c r="H80" s="49"/>
      <c r="I80" s="49"/>
      <c r="J80" s="49"/>
      <c r="L80" s="24" t="s">
        <v>149</v>
      </c>
      <c r="M80" s="28" t="s">
        <v>134</v>
      </c>
      <c r="N80" s="25" t="s">
        <v>135</v>
      </c>
      <c r="O80" s="25" t="s">
        <v>148</v>
      </c>
      <c r="P80" s="1" t="s">
        <v>109</v>
      </c>
      <c r="Q80" s="1" t="s">
        <v>54</v>
      </c>
      <c r="R80" s="7" t="s">
        <v>110</v>
      </c>
      <c r="S80" s="8">
        <v>1000000</v>
      </c>
      <c r="T80" s="26"/>
    </row>
    <row r="81" spans="1:20" ht="18">
      <c r="A81" s="19"/>
      <c r="B81" s="48" t="str">
        <f>"Hợp đồng số: "&amp;'[1]N-B'!K4</f>
        <v>Hợp đồng số: 110213.06488.05175.3453E4.XTNT.2020.33A/HDTP-B/SHB.</v>
      </c>
      <c r="C81" s="49"/>
      <c r="D81" s="49"/>
      <c r="E81" s="49"/>
      <c r="F81" s="49"/>
      <c r="G81" s="49"/>
      <c r="H81" s="49"/>
      <c r="I81" s="49"/>
      <c r="J81" s="49"/>
      <c r="L81" s="24" t="s">
        <v>150</v>
      </c>
      <c r="M81" s="28" t="s">
        <v>134</v>
      </c>
      <c r="N81" s="25" t="s">
        <v>135</v>
      </c>
      <c r="O81" s="25" t="s">
        <v>148</v>
      </c>
      <c r="P81" s="1" t="s">
        <v>109</v>
      </c>
      <c r="Q81" s="1" t="s">
        <v>54</v>
      </c>
      <c r="R81" s="7" t="s">
        <v>110</v>
      </c>
      <c r="S81" s="8">
        <v>1000000</v>
      </c>
      <c r="T81" s="26"/>
    </row>
    <row r="82" spans="1:20" ht="18">
      <c r="A82" s="19"/>
      <c r="B82" s="48" t="str">
        <f ca="1">"Ngày giao dịch: "&amp;TEXT($M$1,"dd/mm/yyyy")</f>
        <v>Ngày giao dịch: 24/01/2021</v>
      </c>
      <c r="C82" s="49"/>
      <c r="D82" s="49"/>
      <c r="E82" s="49"/>
      <c r="F82" s="49"/>
      <c r="G82" s="49"/>
      <c r="H82" s="49"/>
      <c r="I82" s="49"/>
      <c r="J82" s="49"/>
      <c r="L82" s="24" t="s">
        <v>151</v>
      </c>
      <c r="M82" s="28" t="s">
        <v>134</v>
      </c>
      <c r="N82" s="25" t="s">
        <v>135</v>
      </c>
      <c r="O82" s="25" t="s">
        <v>152</v>
      </c>
      <c r="P82" s="1" t="s">
        <v>109</v>
      </c>
      <c r="Q82" s="1" t="s">
        <v>54</v>
      </c>
      <c r="R82" s="7" t="s">
        <v>110</v>
      </c>
      <c r="S82" s="8">
        <v>1000000</v>
      </c>
      <c r="T82" s="26"/>
    </row>
    <row r="83" spans="1:20" ht="18">
      <c r="A83" s="19"/>
      <c r="B83" s="48" t="str">
        <f ca="1">"Ngày thanh toán: "&amp;TEXT($M$1,"dd/mm/yyyy")</f>
        <v>Ngày thanh toán: 24/01/2021</v>
      </c>
      <c r="C83" s="49"/>
      <c r="D83" s="49"/>
      <c r="E83" s="49"/>
      <c r="F83" s="49" t="str">
        <f>"  CIF KH: "&amp;'[1]N-B'!P4</f>
        <v xml:space="preserve">  CIF KH: ' 0310031297</v>
      </c>
      <c r="G83" s="49"/>
      <c r="H83" s="49"/>
      <c r="I83" s="49"/>
      <c r="J83" s="49"/>
      <c r="L83" s="24" t="s">
        <v>153</v>
      </c>
      <c r="M83" s="28" t="s">
        <v>134</v>
      </c>
      <c r="N83" s="25" t="s">
        <v>135</v>
      </c>
      <c r="O83" s="25" t="s">
        <v>152</v>
      </c>
      <c r="P83" s="1" t="s">
        <v>109</v>
      </c>
      <c r="Q83" s="1" t="s">
        <v>54</v>
      </c>
      <c r="R83" s="7" t="s">
        <v>110</v>
      </c>
      <c r="S83" s="8">
        <v>1000000</v>
      </c>
      <c r="T83" s="26"/>
    </row>
    <row r="84" spans="1:20" ht="18">
      <c r="A84" s="19"/>
      <c r="B84" s="48" t="str">
        <f>"Mã RM: "&amp;'[1]N-B'!B4</f>
        <v>Mã RM: 05175</v>
      </c>
      <c r="C84" s="49"/>
      <c r="D84" s="49"/>
      <c r="E84" s="49"/>
      <c r="F84" s="49" t="str">
        <f>"  Mã đơn vị: "&amp;'[1]N-B'!H4</f>
        <v xml:space="preserve">  Mã đơn vị: 110213</v>
      </c>
      <c r="G84" s="49"/>
      <c r="H84" s="49"/>
      <c r="I84" s="49"/>
      <c r="J84" s="49"/>
      <c r="L84" s="24" t="s">
        <v>154</v>
      </c>
      <c r="M84" s="28" t="s">
        <v>134</v>
      </c>
      <c r="N84" s="25" t="s">
        <v>135</v>
      </c>
      <c r="O84" s="25" t="s">
        <v>152</v>
      </c>
      <c r="P84" s="1" t="s">
        <v>109</v>
      </c>
      <c r="Q84" s="1" t="s">
        <v>54</v>
      </c>
      <c r="R84" s="7" t="s">
        <v>110</v>
      </c>
      <c r="S84" s="8">
        <v>1000000</v>
      </c>
      <c r="T84" s="26"/>
    </row>
    <row r="85" spans="1:20" ht="18">
      <c r="A85" s="19"/>
      <c r="B85" s="48" t="str">
        <f>"Số lượng TP: "&amp;'[1]N-B'!Y4&amp;" TP"</f>
        <v>Số lượng TP: 6704 TP</v>
      </c>
      <c r="C85" s="49"/>
      <c r="D85" s="49"/>
      <c r="E85" s="49"/>
      <c r="F85" s="49" t="str">
        <f>"  Giá thực hiện: "&amp;TEXT('[1]N-B'!Z4,"##,#")&amp;" VNĐ/Trái phiếu"</f>
        <v xml:space="preserve">  Giá thực hiện: 1,088,896 VNĐ/Trái phiếu</v>
      </c>
      <c r="G85" s="49"/>
      <c r="H85" s="49"/>
      <c r="I85" s="49"/>
      <c r="J85" s="49"/>
      <c r="L85" s="24" t="s">
        <v>155</v>
      </c>
      <c r="M85" s="28" t="s">
        <v>134</v>
      </c>
      <c r="N85" s="25" t="s">
        <v>135</v>
      </c>
      <c r="O85" s="25" t="s">
        <v>156</v>
      </c>
      <c r="P85" s="1" t="s">
        <v>109</v>
      </c>
      <c r="Q85" s="1" t="s">
        <v>54</v>
      </c>
      <c r="R85" s="7" t="s">
        <v>110</v>
      </c>
      <c r="S85" s="8">
        <v>1000000</v>
      </c>
      <c r="T85" s="26"/>
    </row>
    <row r="86" spans="1:20" ht="18">
      <c r="A86" s="19"/>
      <c r="B86" s="48" t="str">
        <f>"Tổng mệnh giá: "&amp;TEXT('[1]N-B'!Y4*VLOOKUP('[1]N-B'!W4,'P-B'!$L$4:$S$310,8,0),"##,#")&amp;" VND"</f>
        <v>Tổng mệnh giá: 6,704,000,000 VND</v>
      </c>
      <c r="C86" s="49"/>
      <c r="D86" s="49"/>
      <c r="E86" s="49"/>
      <c r="F86" s="49" t="s">
        <v>67</v>
      </c>
      <c r="G86" s="49"/>
      <c r="H86" s="49"/>
      <c r="I86" s="49"/>
      <c r="J86" s="49"/>
      <c r="L86" s="24" t="s">
        <v>157</v>
      </c>
      <c r="M86" s="28" t="s">
        <v>134</v>
      </c>
      <c r="N86" s="25" t="s">
        <v>135</v>
      </c>
      <c r="O86" s="25" t="s">
        <v>156</v>
      </c>
      <c r="P86" s="1" t="s">
        <v>109</v>
      </c>
      <c r="Q86" s="1" t="s">
        <v>54</v>
      </c>
      <c r="R86" s="7" t="s">
        <v>110</v>
      </c>
      <c r="S86" s="8">
        <v>1000000</v>
      </c>
      <c r="T86" s="26"/>
    </row>
    <row r="87" spans="1:20" ht="18">
      <c r="A87" s="19"/>
      <c r="B87" s="48" t="str">
        <f>"Tổng giá trị giao dịch: "&amp;TEXT('[1]N-B'!AA4,"##,#")&amp;" VND"</f>
        <v>Tổng giá trị giao dịch: 7,299,958,784 VND</v>
      </c>
      <c r="C87" s="49"/>
      <c r="D87" s="49"/>
      <c r="E87" s="49"/>
      <c r="F87" s="49"/>
      <c r="G87" s="49"/>
      <c r="H87" s="49"/>
      <c r="I87" s="49"/>
      <c r="J87" s="49"/>
      <c r="L87" s="24" t="s">
        <v>158</v>
      </c>
      <c r="M87" s="28" t="s">
        <v>134</v>
      </c>
      <c r="N87" s="25" t="s">
        <v>135</v>
      </c>
      <c r="O87" s="25" t="s">
        <v>156</v>
      </c>
      <c r="P87" s="1" t="s">
        <v>109</v>
      </c>
      <c r="Q87" s="1" t="s">
        <v>54</v>
      </c>
      <c r="R87" s="7" t="s">
        <v>110</v>
      </c>
      <c r="S87" s="8">
        <v>1000000</v>
      </c>
      <c r="T87" s="26"/>
    </row>
    <row r="88" spans="1:20" ht="18">
      <c r="L88" s="24" t="s">
        <v>159</v>
      </c>
      <c r="M88" s="1" t="s">
        <v>19</v>
      </c>
      <c r="N88" s="6" t="s">
        <v>20</v>
      </c>
      <c r="O88" s="6" t="s">
        <v>21</v>
      </c>
      <c r="P88" s="1" t="s">
        <v>22</v>
      </c>
      <c r="Q88" s="1" t="s">
        <v>23</v>
      </c>
      <c r="R88" s="7" t="s">
        <v>160</v>
      </c>
      <c r="S88" s="8">
        <v>1000000</v>
      </c>
      <c r="T88" s="26"/>
    </row>
    <row r="89" spans="1:20" ht="38.25" customHeight="1">
      <c r="F89" s="58" t="s">
        <v>74</v>
      </c>
      <c r="G89" s="46"/>
      <c r="H89" s="46"/>
      <c r="I89" s="46"/>
      <c r="J89" s="46"/>
      <c r="L89" s="24" t="s">
        <v>161</v>
      </c>
      <c r="M89" s="1" t="s">
        <v>19</v>
      </c>
      <c r="N89" s="6" t="s">
        <v>20</v>
      </c>
      <c r="O89" s="6" t="s">
        <v>21</v>
      </c>
      <c r="P89" s="1" t="s">
        <v>22</v>
      </c>
      <c r="Q89" s="1" t="s">
        <v>23</v>
      </c>
      <c r="R89" s="7" t="s">
        <v>160</v>
      </c>
      <c r="S89" s="8">
        <v>1000000</v>
      </c>
      <c r="T89" s="26"/>
    </row>
    <row r="90" spans="1:20" ht="18">
      <c r="L90" s="24" t="s">
        <v>162</v>
      </c>
      <c r="M90" s="1" t="s">
        <v>19</v>
      </c>
      <c r="N90" s="6" t="s">
        <v>20</v>
      </c>
      <c r="O90" s="6" t="s">
        <v>21</v>
      </c>
      <c r="P90" s="1" t="s">
        <v>22</v>
      </c>
      <c r="Q90" s="1" t="s">
        <v>23</v>
      </c>
      <c r="R90" s="7" t="s">
        <v>160</v>
      </c>
      <c r="S90" s="8">
        <v>1000000</v>
      </c>
    </row>
    <row r="91" spans="1:20" ht="18">
      <c r="L91" s="24" t="s">
        <v>163</v>
      </c>
      <c r="M91" s="1" t="s">
        <v>19</v>
      </c>
      <c r="N91" s="6" t="s">
        <v>20</v>
      </c>
      <c r="O91" s="6" t="s">
        <v>21</v>
      </c>
      <c r="P91" s="1" t="s">
        <v>22</v>
      </c>
      <c r="Q91" s="1" t="s">
        <v>23</v>
      </c>
      <c r="R91" s="7" t="s">
        <v>160</v>
      </c>
      <c r="S91" s="8">
        <v>1000000</v>
      </c>
    </row>
    <row r="92" spans="1:20" ht="10" customHeight="1">
      <c r="L92" s="24" t="s">
        <v>164</v>
      </c>
      <c r="M92" s="1" t="s">
        <v>19</v>
      </c>
      <c r="N92" s="6" t="s">
        <v>20</v>
      </c>
      <c r="O92" s="6" t="s">
        <v>21</v>
      </c>
      <c r="P92" s="1" t="s">
        <v>22</v>
      </c>
      <c r="Q92" s="1" t="s">
        <v>23</v>
      </c>
      <c r="R92" s="7" t="s">
        <v>160</v>
      </c>
      <c r="S92" s="8">
        <v>1000000</v>
      </c>
    </row>
    <row r="93" spans="1:20" ht="27.75" customHeight="1">
      <c r="F93" s="46" t="str">
        <f>F62</f>
        <v>Nguyễn Thế Dũng</v>
      </c>
      <c r="G93" s="46"/>
      <c r="H93" s="46"/>
      <c r="I93" s="46"/>
      <c r="J93" s="46"/>
      <c r="L93" s="24" t="s">
        <v>165</v>
      </c>
      <c r="M93" s="1" t="s">
        <v>19</v>
      </c>
      <c r="N93" s="6" t="s">
        <v>20</v>
      </c>
      <c r="O93" s="6" t="s">
        <v>21</v>
      </c>
      <c r="P93" s="1" t="s">
        <v>22</v>
      </c>
      <c r="Q93" s="1" t="s">
        <v>23</v>
      </c>
      <c r="R93" s="7" t="s">
        <v>160</v>
      </c>
      <c r="S93" s="8">
        <v>1000000</v>
      </c>
    </row>
    <row r="94" spans="1:20" ht="6.75" customHeight="1">
      <c r="F94" s="21"/>
      <c r="G94" s="21"/>
      <c r="H94" s="21"/>
      <c r="I94" s="21"/>
      <c r="J94" s="21"/>
      <c r="L94" s="24" t="s">
        <v>166</v>
      </c>
      <c r="M94" s="13" t="s">
        <v>33</v>
      </c>
      <c r="N94" s="14" t="s">
        <v>34</v>
      </c>
      <c r="O94" s="14" t="s">
        <v>35</v>
      </c>
      <c r="P94" s="1" t="s">
        <v>36</v>
      </c>
      <c r="Q94" s="1" t="s">
        <v>37</v>
      </c>
      <c r="R94" s="7" t="s">
        <v>160</v>
      </c>
      <c r="S94" s="8">
        <v>100000</v>
      </c>
    </row>
    <row r="95" spans="1:20" ht="18">
      <c r="I95" s="44" t="s">
        <v>0</v>
      </c>
      <c r="J95" s="44"/>
      <c r="L95" s="24" t="s">
        <v>167</v>
      </c>
      <c r="M95" s="13" t="s">
        <v>33</v>
      </c>
      <c r="N95" s="14" t="s">
        <v>34</v>
      </c>
      <c r="O95" s="14" t="s">
        <v>35</v>
      </c>
      <c r="P95" s="1" t="s">
        <v>36</v>
      </c>
      <c r="Q95" s="1" t="s">
        <v>37</v>
      </c>
      <c r="R95" s="7" t="s">
        <v>160</v>
      </c>
      <c r="S95" s="8">
        <v>100000</v>
      </c>
    </row>
    <row r="96" spans="1:20" ht="18">
      <c r="E96" s="45" t="s">
        <v>2</v>
      </c>
      <c r="F96" s="45"/>
      <c r="G96" s="45"/>
      <c r="H96" s="45"/>
      <c r="I96" s="45"/>
      <c r="J96" s="45"/>
      <c r="L96" s="24" t="s">
        <v>168</v>
      </c>
      <c r="M96" s="13" t="s">
        <v>33</v>
      </c>
      <c r="N96" s="14" t="s">
        <v>34</v>
      </c>
      <c r="O96" s="14" t="s">
        <v>35</v>
      </c>
      <c r="P96" s="1" t="s">
        <v>36</v>
      </c>
      <c r="Q96" s="1" t="s">
        <v>37</v>
      </c>
      <c r="R96" s="7" t="s">
        <v>160</v>
      </c>
      <c r="S96" s="8">
        <v>100000</v>
      </c>
    </row>
    <row r="97" spans="1:19" ht="18">
      <c r="E97" s="45" t="s">
        <v>3</v>
      </c>
      <c r="F97" s="45"/>
      <c r="G97" s="45"/>
      <c r="H97" s="45"/>
      <c r="I97" s="45"/>
      <c r="J97" s="45"/>
      <c r="L97" s="24" t="s">
        <v>169</v>
      </c>
      <c r="M97" s="13" t="s">
        <v>33</v>
      </c>
      <c r="N97" s="14" t="s">
        <v>34</v>
      </c>
      <c r="O97" s="14" t="s">
        <v>35</v>
      </c>
      <c r="P97" s="1" t="s">
        <v>36</v>
      </c>
      <c r="Q97" s="1" t="s">
        <v>37</v>
      </c>
      <c r="R97" s="7" t="s">
        <v>160</v>
      </c>
      <c r="S97" s="8">
        <v>100000</v>
      </c>
    </row>
    <row r="98" spans="1:19" ht="18">
      <c r="E98" s="45"/>
      <c r="F98" s="45"/>
      <c r="G98" s="45"/>
      <c r="H98" s="45"/>
      <c r="I98" s="45"/>
      <c r="J98" s="45"/>
      <c r="L98" s="24" t="s">
        <v>170</v>
      </c>
      <c r="M98" s="13" t="s">
        <v>33</v>
      </c>
      <c r="N98" s="14" t="s">
        <v>34</v>
      </c>
      <c r="O98" s="14" t="s">
        <v>35</v>
      </c>
      <c r="P98" s="1" t="s">
        <v>36</v>
      </c>
      <c r="Q98" s="1" t="s">
        <v>37</v>
      </c>
      <c r="R98" s="7" t="s">
        <v>160</v>
      </c>
      <c r="S98" s="8">
        <v>100000</v>
      </c>
    </row>
    <row r="99" spans="1:19" ht="18">
      <c r="B99" s="46" t="s">
        <v>12</v>
      </c>
      <c r="C99" s="46"/>
      <c r="D99" s="46"/>
      <c r="L99" s="24" t="s">
        <v>171</v>
      </c>
      <c r="M99" s="13" t="s">
        <v>33</v>
      </c>
      <c r="N99" s="14" t="s">
        <v>34</v>
      </c>
      <c r="O99" s="14" t="s">
        <v>35</v>
      </c>
      <c r="P99" s="1" t="s">
        <v>36</v>
      </c>
      <c r="Q99" s="1" t="s">
        <v>37</v>
      </c>
      <c r="R99" s="7" t="s">
        <v>160</v>
      </c>
      <c r="S99" s="8">
        <v>100000</v>
      </c>
    </row>
    <row r="100" spans="1:19" ht="25.5" customHeight="1">
      <c r="E100" s="47" t="str">
        <f ca="1">"SỐ: "&amp;TEXT($M$1,"DDMM")&amp;"."&amp;$M$3+3&amp;"/"&amp;YEAR($M$1)&amp;"/KDTPBL"</f>
        <v>SỐ: 2401.4/2021/KDTPBL</v>
      </c>
      <c r="F100" s="47"/>
      <c r="G100" s="47"/>
      <c r="H100" s="47"/>
      <c r="I100" s="47"/>
      <c r="J100" s="47"/>
      <c r="L100" t="s">
        <v>172</v>
      </c>
      <c r="M100" s="28" t="s">
        <v>134</v>
      </c>
      <c r="N100" s="25" t="s">
        <v>135</v>
      </c>
      <c r="O100" s="25" t="s">
        <v>136</v>
      </c>
      <c r="P100" s="1" t="s">
        <v>109</v>
      </c>
      <c r="Q100" s="1" t="s">
        <v>54</v>
      </c>
      <c r="R100" s="7" t="s">
        <v>173</v>
      </c>
      <c r="S100" s="8">
        <v>1000000</v>
      </c>
    </row>
    <row r="101" spans="1:19" ht="49.5" customHeight="1">
      <c r="B101" s="50" t="s">
        <v>17</v>
      </c>
      <c r="C101" s="50"/>
      <c r="D101" s="50"/>
      <c r="E101" s="50"/>
      <c r="F101" s="50"/>
      <c r="G101" s="50"/>
      <c r="H101" s="50"/>
      <c r="I101" s="50"/>
      <c r="J101" s="50"/>
      <c r="L101" t="s">
        <v>174</v>
      </c>
      <c r="M101" s="28" t="s">
        <v>134</v>
      </c>
      <c r="N101" s="25" t="s">
        <v>135</v>
      </c>
      <c r="O101" s="25" t="s">
        <v>140</v>
      </c>
      <c r="P101" s="1" t="s">
        <v>109</v>
      </c>
      <c r="Q101" s="1" t="s">
        <v>54</v>
      </c>
      <c r="R101" s="7" t="s">
        <v>173</v>
      </c>
      <c r="S101" s="8">
        <v>1000000</v>
      </c>
    </row>
    <row r="102" spans="1:19" ht="18">
      <c r="B102" s="1" t="s">
        <v>25</v>
      </c>
      <c r="F102" s="1" t="s">
        <v>26</v>
      </c>
      <c r="H102" s="1" t="s">
        <v>27</v>
      </c>
      <c r="L102" t="s">
        <v>175</v>
      </c>
      <c r="M102" s="28" t="s">
        <v>134</v>
      </c>
      <c r="N102" s="25" t="s">
        <v>135</v>
      </c>
      <c r="O102" s="25" t="s">
        <v>144</v>
      </c>
      <c r="P102" s="1" t="s">
        <v>109</v>
      </c>
      <c r="Q102" s="1" t="s">
        <v>54</v>
      </c>
      <c r="R102" s="7" t="s">
        <v>173</v>
      </c>
      <c r="S102" s="8">
        <v>1000000</v>
      </c>
    </row>
    <row r="103" spans="1:19" ht="18">
      <c r="B103" s="1" t="s">
        <v>29</v>
      </c>
      <c r="D103" s="10" t="str">
        <f>'[1]N-B'!K5</f>
        <v>111801.05298.08895.996D57.XTTB.2020.3YA/HDTP-B/SHB.</v>
      </c>
      <c r="L103" t="s">
        <v>176</v>
      </c>
      <c r="M103" s="28" t="s">
        <v>134</v>
      </c>
      <c r="N103" s="25" t="s">
        <v>135</v>
      </c>
      <c r="O103" s="25" t="s">
        <v>148</v>
      </c>
      <c r="P103" s="1" t="s">
        <v>109</v>
      </c>
      <c r="Q103" s="1" t="s">
        <v>54</v>
      </c>
      <c r="R103" s="7" t="s">
        <v>173</v>
      </c>
      <c r="S103" s="8">
        <v>1000000</v>
      </c>
    </row>
    <row r="104" spans="1:19" ht="30" customHeight="1">
      <c r="A104" s="11" t="s">
        <v>31</v>
      </c>
      <c r="L104" t="s">
        <v>177</v>
      </c>
      <c r="M104" s="28" t="s">
        <v>134</v>
      </c>
      <c r="N104" s="25" t="s">
        <v>135</v>
      </c>
      <c r="O104" s="25" t="s">
        <v>152</v>
      </c>
      <c r="P104" s="1" t="s">
        <v>109</v>
      </c>
      <c r="Q104" s="1" t="s">
        <v>54</v>
      </c>
      <c r="R104" s="7" t="s">
        <v>173</v>
      </c>
      <c r="S104" s="8">
        <v>1000000</v>
      </c>
    </row>
    <row r="105" spans="1:19" ht="40" customHeight="1">
      <c r="A105" s="15"/>
      <c r="B105" s="51" t="str">
        <f>"Tổ chức phát hành: "&amp;VLOOKUP('[1]N-B'!W5,$L$4:$T$310,2,0)</f>
        <v>Tổ chức phát hành: Công ty cổ phần Xuân Thiện Thuận Bắc</v>
      </c>
      <c r="C105" s="51"/>
      <c r="D105" s="51"/>
      <c r="E105" s="51"/>
      <c r="F105" s="52"/>
      <c r="G105" s="53" t="str">
        <f>"    Mã TP: "&amp;'[1]N-B'!W5</f>
        <v xml:space="preserve">    Mã TP: XTTB.2020.3YA</v>
      </c>
      <c r="H105" s="54"/>
      <c r="I105" s="54"/>
      <c r="J105" s="55"/>
      <c r="L105" t="s">
        <v>178</v>
      </c>
      <c r="M105" s="28" t="s">
        <v>134</v>
      </c>
      <c r="N105" s="25" t="s">
        <v>135</v>
      </c>
      <c r="O105" s="25" t="s">
        <v>156</v>
      </c>
      <c r="P105" s="1" t="s">
        <v>109</v>
      </c>
      <c r="Q105" s="1" t="s">
        <v>54</v>
      </c>
      <c r="R105" s="7" t="s">
        <v>173</v>
      </c>
      <c r="S105" s="8">
        <v>1000000</v>
      </c>
    </row>
    <row r="106" spans="1:19" ht="28.5" customHeight="1">
      <c r="A106" s="16"/>
      <c r="B106" s="56" t="str">
        <f>"Ngày phát hành: "&amp;VLOOKUP('[1]N-B'!W5,$L$4:$T$310,3,0)</f>
        <v>Ngày phát hành: 28/08/2020</v>
      </c>
      <c r="C106" s="56"/>
      <c r="D106" s="56"/>
      <c r="E106" s="56"/>
      <c r="F106" s="48"/>
      <c r="G106" s="57" t="str">
        <f>"    Ngày đáo hạn: "&amp;VLOOKUP('[1]N-B'!W5,$L$4:$T$310,4,0)</f>
        <v xml:space="preserve">    Ngày đáo hạn: 28/08/2023</v>
      </c>
      <c r="H106" s="57"/>
      <c r="I106" s="57"/>
      <c r="J106" s="57"/>
      <c r="L106" s="29" t="s">
        <v>179</v>
      </c>
      <c r="M106" s="4" t="s">
        <v>180</v>
      </c>
      <c r="N106" s="30" t="s">
        <v>181</v>
      </c>
      <c r="O106" s="1" t="s">
        <v>182</v>
      </c>
      <c r="P106" s="1" t="s">
        <v>183</v>
      </c>
      <c r="Q106" s="1" t="s">
        <v>184</v>
      </c>
      <c r="R106" s="7" t="s">
        <v>185</v>
      </c>
      <c r="S106" s="8">
        <v>1000000</v>
      </c>
    </row>
    <row r="107" spans="1:19" ht="62.5" customHeight="1">
      <c r="A107" s="15"/>
      <c r="B107" s="51" t="str">
        <f>"Coupon: Lãi suất cho kỳ tính lãi đầu tiên là "&amp;VLOOKUP('[1]N-B'!W5,$L$4:$T$310,5,0)&amp;". Lãi suất cho các kỳ tính lãi tiếp theo bằng lãi suất thRM chiếu cộng (+) biên độ "&amp;VLOOKUP('[1]N-B'!W5,$L$4:$T$310,6,0)</f>
        <v>Coupon: Lãi suất cho kỳ tính lãi đầu tiên là 10,00%/năm. Lãi suất cho các kỳ tính lãi tiếp theo bằng lãi suất thRM chiếu cộng (+) biên độ 2,0%/năm</v>
      </c>
      <c r="C107" s="51"/>
      <c r="D107" s="51"/>
      <c r="E107" s="51"/>
      <c r="F107" s="52"/>
      <c r="G107" s="57" t="s">
        <v>41</v>
      </c>
      <c r="H107" s="57"/>
      <c r="I107" s="57"/>
      <c r="J107" s="57"/>
      <c r="L107" s="29" t="s">
        <v>186</v>
      </c>
      <c r="M107" s="4" t="s">
        <v>180</v>
      </c>
      <c r="N107" s="1" t="s">
        <v>181</v>
      </c>
      <c r="O107" s="1" t="s">
        <v>182</v>
      </c>
      <c r="P107" s="1" t="s">
        <v>183</v>
      </c>
      <c r="Q107" s="1" t="s">
        <v>184</v>
      </c>
      <c r="R107" s="7" t="s">
        <v>185</v>
      </c>
      <c r="S107" s="8">
        <v>1000000</v>
      </c>
    </row>
    <row r="108" spans="1:19">
      <c r="L108" s="29" t="s">
        <v>187</v>
      </c>
      <c r="M108" s="4" t="s">
        <v>180</v>
      </c>
      <c r="N108" s="1" t="s">
        <v>181</v>
      </c>
      <c r="O108" s="1" t="s">
        <v>182</v>
      </c>
      <c r="P108" s="1" t="s">
        <v>183</v>
      </c>
      <c r="Q108" s="1" t="s">
        <v>184</v>
      </c>
      <c r="R108" s="7" t="s">
        <v>185</v>
      </c>
      <c r="S108" s="8">
        <v>1000000</v>
      </c>
    </row>
    <row r="109" spans="1:19">
      <c r="A109" s="11" t="s">
        <v>47</v>
      </c>
      <c r="L109" s="29" t="s">
        <v>188</v>
      </c>
      <c r="M109" s="4" t="s">
        <v>180</v>
      </c>
      <c r="N109" s="1" t="s">
        <v>181</v>
      </c>
      <c r="O109" s="1" t="s">
        <v>189</v>
      </c>
      <c r="P109" s="1" t="s">
        <v>183</v>
      </c>
      <c r="Q109" s="1" t="s">
        <v>184</v>
      </c>
      <c r="R109" s="7" t="s">
        <v>185</v>
      </c>
      <c r="S109" s="8">
        <v>1000000</v>
      </c>
    </row>
    <row r="110" spans="1:19">
      <c r="B110" s="1" t="str">
        <f>"Số quyết định: "&amp;VLOOKUP('[1]N-B'!W5,$L$4:$T$310,7,0)</f>
        <v>Số quyết định: 2809/2020/QĐ-TGĐ ngày 16/10/2020</v>
      </c>
      <c r="L110" s="29" t="s">
        <v>190</v>
      </c>
      <c r="M110" s="4" t="s">
        <v>180</v>
      </c>
      <c r="N110" s="1" t="s">
        <v>181</v>
      </c>
      <c r="O110" s="1" t="s">
        <v>189</v>
      </c>
      <c r="P110" s="1" t="s">
        <v>183</v>
      </c>
      <c r="Q110" s="1" t="s">
        <v>184</v>
      </c>
      <c r="R110" s="7" t="s">
        <v>185</v>
      </c>
      <c r="S110" s="8">
        <v>1000000</v>
      </c>
    </row>
    <row r="111" spans="1:19">
      <c r="A111" s="19"/>
      <c r="B111" s="48" t="str">
        <f>"Đối tác giao dịch: "&amp;'[1]N-B'!L5</f>
        <v>Đối tác giao dịch: Võ Hải Việt Anh</v>
      </c>
      <c r="C111" s="49"/>
      <c r="D111" s="49"/>
      <c r="E111" s="49"/>
      <c r="F111" s="49"/>
      <c r="G111" s="49"/>
      <c r="H111" s="49"/>
      <c r="I111" s="49"/>
      <c r="J111" s="49"/>
      <c r="L111" s="29" t="s">
        <v>191</v>
      </c>
      <c r="M111" s="4" t="s">
        <v>180</v>
      </c>
      <c r="N111" s="1" t="s">
        <v>181</v>
      </c>
      <c r="O111" s="1" t="s">
        <v>189</v>
      </c>
      <c r="P111" s="1" t="s">
        <v>183</v>
      </c>
      <c r="Q111" s="1" t="s">
        <v>184</v>
      </c>
      <c r="R111" s="7" t="s">
        <v>185</v>
      </c>
      <c r="S111" s="8">
        <v>1000000</v>
      </c>
    </row>
    <row r="112" spans="1:19">
      <c r="A112" s="19"/>
      <c r="B112" s="48" t="str">
        <f>"Hợp đồng số: "&amp;'[1]N-B'!K5</f>
        <v>Hợp đồng số: 111801.05298.08895.996D57.XTTB.2020.3YA/HDTP-B/SHB.</v>
      </c>
      <c r="C112" s="49"/>
      <c r="D112" s="49"/>
      <c r="E112" s="49"/>
      <c r="F112" s="49"/>
      <c r="G112" s="49"/>
      <c r="H112" s="49"/>
      <c r="I112" s="49"/>
      <c r="J112" s="49"/>
      <c r="L112" s="29" t="s">
        <v>192</v>
      </c>
      <c r="M112" s="4" t="s">
        <v>180</v>
      </c>
      <c r="N112" s="1" t="s">
        <v>181</v>
      </c>
      <c r="O112" s="1" t="s">
        <v>193</v>
      </c>
      <c r="P112" s="1" t="s">
        <v>183</v>
      </c>
      <c r="Q112" s="1" t="s">
        <v>184</v>
      </c>
      <c r="R112" s="7" t="s">
        <v>185</v>
      </c>
      <c r="S112" s="8">
        <v>1000000</v>
      </c>
    </row>
    <row r="113" spans="1:19">
      <c r="A113" s="19"/>
      <c r="B113" s="48" t="str">
        <f ca="1">"Ngày giao dịch: "&amp;TEXT($M$1,"dd/mm/yyyy")</f>
        <v>Ngày giao dịch: 24/01/2021</v>
      </c>
      <c r="C113" s="49"/>
      <c r="D113" s="49"/>
      <c r="E113" s="49"/>
      <c r="F113" s="49"/>
      <c r="G113" s="49"/>
      <c r="H113" s="49"/>
      <c r="I113" s="49"/>
      <c r="J113" s="49"/>
      <c r="L113" s="29" t="s">
        <v>194</v>
      </c>
      <c r="M113" s="4" t="s">
        <v>180</v>
      </c>
      <c r="N113" s="1" t="s">
        <v>181</v>
      </c>
      <c r="O113" s="1" t="s">
        <v>193</v>
      </c>
      <c r="P113" s="1" t="s">
        <v>183</v>
      </c>
      <c r="Q113" s="1" t="s">
        <v>184</v>
      </c>
      <c r="R113" s="7" t="s">
        <v>185</v>
      </c>
      <c r="S113" s="8">
        <v>1000000</v>
      </c>
    </row>
    <row r="114" spans="1:19">
      <c r="A114" s="19"/>
      <c r="B114" s="48" t="str">
        <f ca="1">"Ngày thanh toán: "&amp;TEXT($M$1,"dd/mm/yyyy")</f>
        <v>Ngày thanh toán: 24/01/2021</v>
      </c>
      <c r="C114" s="49"/>
      <c r="D114" s="49"/>
      <c r="E114" s="49"/>
      <c r="F114" s="49" t="str">
        <f>"  CIF KH: "&amp;'[1]N-B'!P5</f>
        <v xml:space="preserve">  CIF KH: '0112595102</v>
      </c>
      <c r="G114" s="49"/>
      <c r="H114" s="49"/>
      <c r="I114" s="49"/>
      <c r="J114" s="49"/>
      <c r="L114" s="29" t="s">
        <v>195</v>
      </c>
      <c r="M114" s="4" t="s">
        <v>180</v>
      </c>
      <c r="N114" s="1" t="s">
        <v>181</v>
      </c>
      <c r="O114" s="1" t="s">
        <v>193</v>
      </c>
      <c r="P114" s="1" t="s">
        <v>183</v>
      </c>
      <c r="Q114" s="1" t="s">
        <v>184</v>
      </c>
      <c r="R114" s="7" t="s">
        <v>185</v>
      </c>
      <c r="S114" s="8">
        <v>1000000</v>
      </c>
    </row>
    <row r="115" spans="1:19">
      <c r="A115" s="19"/>
      <c r="B115" s="48" t="str">
        <f>"Mã RM: "&amp;'[1]N-B'!B5</f>
        <v>Mã RM: 08895</v>
      </c>
      <c r="C115" s="49"/>
      <c r="D115" s="49"/>
      <c r="E115" s="49"/>
      <c r="F115" s="49" t="str">
        <f>"  Mã đơn vị: "&amp;'[1]N-B'!H5</f>
        <v xml:space="preserve">  Mã đơn vị: 111801</v>
      </c>
      <c r="G115" s="49"/>
      <c r="H115" s="49"/>
      <c r="I115" s="49"/>
      <c r="J115" s="49"/>
      <c r="L115" s="29" t="s">
        <v>196</v>
      </c>
      <c r="M115" s="4" t="s">
        <v>180</v>
      </c>
      <c r="N115" s="1" t="s">
        <v>181</v>
      </c>
      <c r="O115" s="1" t="s">
        <v>197</v>
      </c>
      <c r="P115" s="1" t="s">
        <v>183</v>
      </c>
      <c r="Q115" s="1" t="s">
        <v>184</v>
      </c>
      <c r="R115" s="7" t="s">
        <v>185</v>
      </c>
      <c r="S115" s="8">
        <v>1000000</v>
      </c>
    </row>
    <row r="116" spans="1:19">
      <c r="A116" s="19"/>
      <c r="B116" s="48" t="str">
        <f>"Số lượng TP: "&amp;'[1]N-B'!Y5&amp;" TP"</f>
        <v>Số lượng TP: 479 TP</v>
      </c>
      <c r="C116" s="49"/>
      <c r="D116" s="49"/>
      <c r="E116" s="49"/>
      <c r="F116" s="49" t="str">
        <f>"  Giá thực hiện: "&amp;TEXT('[1]N-B'!Z5,"##,#")&amp;" VNĐ/Trái phiếu"</f>
        <v xml:space="preserve">  Giá thực hiện: 1,055,910 VNĐ/Trái phiếu</v>
      </c>
      <c r="G116" s="49"/>
      <c r="H116" s="49"/>
      <c r="I116" s="49"/>
      <c r="J116" s="49"/>
      <c r="L116" s="29" t="s">
        <v>198</v>
      </c>
      <c r="M116" s="4" t="s">
        <v>180</v>
      </c>
      <c r="N116" s="1" t="s">
        <v>181</v>
      </c>
      <c r="O116" s="1" t="s">
        <v>197</v>
      </c>
      <c r="P116" s="1" t="s">
        <v>183</v>
      </c>
      <c r="Q116" s="1" t="s">
        <v>184</v>
      </c>
      <c r="R116" s="7" t="s">
        <v>185</v>
      </c>
      <c r="S116" s="8">
        <v>1000000</v>
      </c>
    </row>
    <row r="117" spans="1:19">
      <c r="A117" s="19"/>
      <c r="B117" s="48" t="str">
        <f>"Tổng mệnh giá: "&amp;TEXT('[1]N-B'!Y5*VLOOKUP('[1]N-B'!W5,'P-B'!$L$4:$S$310,8,0),"##,#")&amp;" VND"</f>
        <v>Tổng mệnh giá: 479,000,000 VND</v>
      </c>
      <c r="C117" s="49"/>
      <c r="D117" s="49"/>
      <c r="E117" s="49"/>
      <c r="F117" s="49" t="s">
        <v>67</v>
      </c>
      <c r="G117" s="49"/>
      <c r="H117" s="49"/>
      <c r="I117" s="49"/>
      <c r="J117" s="49"/>
      <c r="L117" s="29" t="s">
        <v>199</v>
      </c>
      <c r="M117" s="4" t="s">
        <v>180</v>
      </c>
      <c r="N117" s="1" t="s">
        <v>181</v>
      </c>
      <c r="O117" s="1" t="s">
        <v>197</v>
      </c>
      <c r="P117" s="1" t="s">
        <v>183</v>
      </c>
      <c r="Q117" s="1" t="s">
        <v>184</v>
      </c>
      <c r="R117" s="7" t="s">
        <v>185</v>
      </c>
      <c r="S117" s="8">
        <v>1000000</v>
      </c>
    </row>
    <row r="118" spans="1:19">
      <c r="A118" s="19"/>
      <c r="B118" s="48" t="str">
        <f>"Tổng giá trị giao dịch: "&amp;TEXT('[1]N-B'!AA5,"##,#")&amp;" VND"</f>
        <v>Tổng giá trị giao dịch: 505,780,890 VND</v>
      </c>
      <c r="C118" s="49"/>
      <c r="D118" s="49"/>
      <c r="E118" s="49"/>
      <c r="F118" s="49"/>
      <c r="G118" s="49"/>
      <c r="H118" s="49"/>
      <c r="I118" s="49"/>
      <c r="J118" s="49"/>
      <c r="L118" s="29" t="s">
        <v>200</v>
      </c>
      <c r="M118" s="4" t="s">
        <v>180</v>
      </c>
      <c r="N118" s="1" t="s">
        <v>181</v>
      </c>
      <c r="O118" s="1" t="s">
        <v>201</v>
      </c>
      <c r="P118" s="1" t="s">
        <v>183</v>
      </c>
      <c r="Q118" s="1" t="s">
        <v>184</v>
      </c>
      <c r="R118" s="7" t="s">
        <v>185</v>
      </c>
      <c r="S118" s="8">
        <v>1000000</v>
      </c>
    </row>
    <row r="119" spans="1:19">
      <c r="L119" s="29" t="s">
        <v>202</v>
      </c>
      <c r="M119" s="4" t="s">
        <v>180</v>
      </c>
      <c r="N119" s="1" t="s">
        <v>181</v>
      </c>
      <c r="O119" s="1" t="s">
        <v>201</v>
      </c>
      <c r="P119" s="1" t="s">
        <v>183</v>
      </c>
      <c r="Q119" s="1" t="s">
        <v>184</v>
      </c>
      <c r="R119" s="7" t="s">
        <v>185</v>
      </c>
      <c r="S119" s="8">
        <v>1000000</v>
      </c>
    </row>
    <row r="120" spans="1:19" ht="38.25" customHeight="1">
      <c r="F120" s="58" t="s">
        <v>74</v>
      </c>
      <c r="G120" s="46"/>
      <c r="H120" s="46"/>
      <c r="I120" s="46"/>
      <c r="J120" s="46"/>
      <c r="L120" s="29" t="s">
        <v>203</v>
      </c>
      <c r="M120" s="4" t="s">
        <v>180</v>
      </c>
      <c r="N120" s="1" t="s">
        <v>181</v>
      </c>
      <c r="O120" s="1" t="s">
        <v>201</v>
      </c>
      <c r="P120" s="1" t="s">
        <v>183</v>
      </c>
      <c r="Q120" s="1" t="s">
        <v>184</v>
      </c>
      <c r="R120" s="7" t="s">
        <v>185</v>
      </c>
      <c r="S120" s="8">
        <v>1000000</v>
      </c>
    </row>
    <row r="121" spans="1:19">
      <c r="L121" s="29" t="s">
        <v>204</v>
      </c>
      <c r="M121" s="4" t="s">
        <v>180</v>
      </c>
      <c r="N121" s="1" t="s">
        <v>181</v>
      </c>
      <c r="O121" s="1" t="s">
        <v>205</v>
      </c>
      <c r="P121" s="1" t="s">
        <v>183</v>
      </c>
      <c r="Q121" s="1" t="s">
        <v>184</v>
      </c>
      <c r="R121" s="7" t="s">
        <v>185</v>
      </c>
      <c r="S121" s="8">
        <v>1000000</v>
      </c>
    </row>
    <row r="122" spans="1:19">
      <c r="L122" s="29" t="s">
        <v>206</v>
      </c>
      <c r="M122" s="4" t="s">
        <v>180</v>
      </c>
      <c r="N122" s="1" t="s">
        <v>181</v>
      </c>
      <c r="O122" s="1" t="s">
        <v>205</v>
      </c>
      <c r="P122" s="1" t="s">
        <v>183</v>
      </c>
      <c r="Q122" s="1" t="s">
        <v>184</v>
      </c>
      <c r="R122" s="7" t="s">
        <v>185</v>
      </c>
      <c r="S122" s="8">
        <v>1000000</v>
      </c>
    </row>
    <row r="123" spans="1:19">
      <c r="L123" s="29" t="s">
        <v>207</v>
      </c>
      <c r="M123" s="4" t="s">
        <v>180</v>
      </c>
      <c r="N123" s="1" t="s">
        <v>181</v>
      </c>
      <c r="O123" s="1" t="s">
        <v>205</v>
      </c>
      <c r="P123" s="1" t="s">
        <v>183</v>
      </c>
      <c r="Q123" s="1" t="s">
        <v>184</v>
      </c>
      <c r="R123" s="7" t="s">
        <v>185</v>
      </c>
      <c r="S123" s="8">
        <v>1000000</v>
      </c>
    </row>
    <row r="124" spans="1:19">
      <c r="E124" s="1"/>
      <c r="F124" s="46" t="str">
        <f>F93</f>
        <v>Nguyễn Thế Dũng</v>
      </c>
      <c r="G124" s="46"/>
      <c r="H124" s="46"/>
      <c r="I124" s="46"/>
      <c r="J124" s="46"/>
      <c r="L124" s="29" t="s">
        <v>208</v>
      </c>
      <c r="M124" s="4" t="s">
        <v>180</v>
      </c>
      <c r="N124" s="1" t="s">
        <v>181</v>
      </c>
      <c r="O124" s="1" t="s">
        <v>209</v>
      </c>
      <c r="P124" s="1" t="s">
        <v>183</v>
      </c>
      <c r="Q124" s="1" t="s">
        <v>184</v>
      </c>
      <c r="R124" s="7" t="s">
        <v>185</v>
      </c>
      <c r="S124" s="8">
        <v>1000000</v>
      </c>
    </row>
    <row r="125" spans="1:19" ht="7.5" customHeight="1">
      <c r="L125" s="29" t="s">
        <v>210</v>
      </c>
      <c r="M125" s="4" t="s">
        <v>180</v>
      </c>
      <c r="N125" s="1" t="s">
        <v>181</v>
      </c>
      <c r="O125" s="1" t="s">
        <v>209</v>
      </c>
      <c r="P125" s="1" t="s">
        <v>183</v>
      </c>
      <c r="Q125" s="1" t="s">
        <v>184</v>
      </c>
      <c r="R125" s="7" t="s">
        <v>185</v>
      </c>
      <c r="S125" s="8">
        <v>1000000</v>
      </c>
    </row>
    <row r="126" spans="1:19">
      <c r="I126" s="44" t="s">
        <v>0</v>
      </c>
      <c r="J126" s="44"/>
      <c r="L126" s="29" t="s">
        <v>211</v>
      </c>
      <c r="M126" s="4" t="s">
        <v>180</v>
      </c>
      <c r="N126" s="1" t="s">
        <v>181</v>
      </c>
      <c r="O126" s="1" t="s">
        <v>209</v>
      </c>
      <c r="P126" s="1" t="s">
        <v>183</v>
      </c>
      <c r="Q126" s="1" t="s">
        <v>184</v>
      </c>
      <c r="R126" s="7" t="s">
        <v>185</v>
      </c>
      <c r="S126" s="8">
        <v>1000000</v>
      </c>
    </row>
    <row r="127" spans="1:19">
      <c r="E127" s="45" t="s">
        <v>2</v>
      </c>
      <c r="F127" s="45"/>
      <c r="G127" s="45"/>
      <c r="H127" s="45"/>
      <c r="I127" s="45"/>
      <c r="J127" s="45"/>
      <c r="L127" s="29" t="s">
        <v>212</v>
      </c>
      <c r="M127" s="4" t="s">
        <v>180</v>
      </c>
      <c r="N127" s="1" t="s">
        <v>181</v>
      </c>
      <c r="O127" s="1" t="s">
        <v>213</v>
      </c>
      <c r="P127" s="1" t="s">
        <v>183</v>
      </c>
      <c r="Q127" s="1" t="s">
        <v>184</v>
      </c>
      <c r="R127" s="7" t="s">
        <v>185</v>
      </c>
      <c r="S127" s="8">
        <v>1000000</v>
      </c>
    </row>
    <row r="128" spans="1:19">
      <c r="E128" s="45" t="s">
        <v>3</v>
      </c>
      <c r="F128" s="45"/>
      <c r="G128" s="45"/>
      <c r="H128" s="45"/>
      <c r="I128" s="45"/>
      <c r="J128" s="45"/>
      <c r="L128" s="29" t="s">
        <v>214</v>
      </c>
      <c r="M128" s="4" t="s">
        <v>180</v>
      </c>
      <c r="N128" s="1" t="s">
        <v>181</v>
      </c>
      <c r="O128" s="1" t="s">
        <v>213</v>
      </c>
      <c r="P128" s="1" t="s">
        <v>183</v>
      </c>
      <c r="Q128" s="1" t="s">
        <v>184</v>
      </c>
      <c r="R128" s="7" t="s">
        <v>185</v>
      </c>
      <c r="S128" s="8">
        <v>1000000</v>
      </c>
    </row>
    <row r="129" spans="1:19">
      <c r="E129" s="45"/>
      <c r="F129" s="45"/>
      <c r="G129" s="45"/>
      <c r="H129" s="45"/>
      <c r="I129" s="45"/>
      <c r="J129" s="45"/>
      <c r="L129" s="29" t="s">
        <v>215</v>
      </c>
      <c r="M129" s="4" t="s">
        <v>180</v>
      </c>
      <c r="N129" s="6" t="s">
        <v>181</v>
      </c>
      <c r="O129" s="6" t="s">
        <v>213</v>
      </c>
      <c r="P129" s="1" t="s">
        <v>183</v>
      </c>
      <c r="Q129" s="1" t="s">
        <v>184</v>
      </c>
      <c r="R129" s="7" t="s">
        <v>185</v>
      </c>
      <c r="S129" s="8">
        <v>1000000</v>
      </c>
    </row>
    <row r="130" spans="1:19">
      <c r="B130" s="46" t="s">
        <v>12</v>
      </c>
      <c r="C130" s="46"/>
      <c r="D130" s="46"/>
      <c r="L130" s="29" t="s">
        <v>216</v>
      </c>
      <c r="M130" s="4" t="s">
        <v>180</v>
      </c>
      <c r="N130" s="6" t="s">
        <v>181</v>
      </c>
      <c r="O130" s="6" t="s">
        <v>217</v>
      </c>
      <c r="P130" s="1" t="s">
        <v>183</v>
      </c>
      <c r="Q130" s="1" t="s">
        <v>184</v>
      </c>
      <c r="R130" s="7" t="s">
        <v>185</v>
      </c>
      <c r="S130" s="8">
        <v>1000000</v>
      </c>
    </row>
    <row r="131" spans="1:19" ht="25.5" customHeight="1">
      <c r="E131" s="47" t="str">
        <f ca="1">"SỐ: "&amp;TEXT($M$1,"DDMM")&amp;"."&amp;$M$3+4&amp;"/"&amp;YEAR($M$1)&amp;"/KDTPBL"</f>
        <v>SỐ: 2401.5/2021/KDTPBL</v>
      </c>
      <c r="F131" s="47"/>
      <c r="G131" s="47"/>
      <c r="H131" s="47"/>
      <c r="I131" s="47"/>
      <c r="J131" s="47"/>
      <c r="L131" s="29" t="s">
        <v>218</v>
      </c>
      <c r="M131" s="4" t="s">
        <v>180</v>
      </c>
      <c r="N131" s="1" t="s">
        <v>181</v>
      </c>
      <c r="O131" s="1" t="s">
        <v>217</v>
      </c>
      <c r="P131" s="1" t="s">
        <v>183</v>
      </c>
      <c r="Q131" s="1" t="s">
        <v>184</v>
      </c>
      <c r="R131" s="7" t="s">
        <v>185</v>
      </c>
      <c r="S131" s="8">
        <v>1000000</v>
      </c>
    </row>
    <row r="132" spans="1:19" ht="49.5" customHeight="1">
      <c r="B132" s="50" t="s">
        <v>17</v>
      </c>
      <c r="C132" s="50"/>
      <c r="D132" s="50"/>
      <c r="E132" s="50"/>
      <c r="F132" s="50"/>
      <c r="G132" s="50"/>
      <c r="H132" s="50"/>
      <c r="I132" s="50"/>
      <c r="J132" s="50"/>
      <c r="L132" s="29" t="s">
        <v>219</v>
      </c>
      <c r="M132" s="4" t="s">
        <v>180</v>
      </c>
      <c r="N132" s="1" t="s">
        <v>181</v>
      </c>
      <c r="O132" s="1" t="s">
        <v>217</v>
      </c>
      <c r="P132" s="1" t="s">
        <v>183</v>
      </c>
      <c r="Q132" s="1" t="s">
        <v>184</v>
      </c>
      <c r="R132" s="7" t="s">
        <v>185</v>
      </c>
      <c r="S132" s="8">
        <v>1000000</v>
      </c>
    </row>
    <row r="133" spans="1:19">
      <c r="B133" s="1" t="s">
        <v>25</v>
      </c>
      <c r="F133" s="1" t="s">
        <v>26</v>
      </c>
      <c r="H133" s="1" t="s">
        <v>27</v>
      </c>
      <c r="L133" s="29" t="s">
        <v>220</v>
      </c>
      <c r="M133" s="4" t="s">
        <v>180</v>
      </c>
      <c r="N133" s="1" t="s">
        <v>181</v>
      </c>
      <c r="O133" s="1" t="s">
        <v>182</v>
      </c>
      <c r="P133" s="1" t="s">
        <v>183</v>
      </c>
      <c r="Q133" s="1" t="s">
        <v>184</v>
      </c>
      <c r="R133" s="7" t="s">
        <v>185</v>
      </c>
      <c r="S133" s="8">
        <v>1000000</v>
      </c>
    </row>
    <row r="134" spans="1:19">
      <c r="B134" s="1" t="s">
        <v>29</v>
      </c>
      <c r="D134" s="10" t="str">
        <f>'[1]N-B'!K6</f>
        <v>110500.01196.00472.A02ED1.NSV02/HDTP-B/SHB.</v>
      </c>
      <c r="L134" s="29" t="s">
        <v>221</v>
      </c>
      <c r="M134" s="4" t="s">
        <v>180</v>
      </c>
      <c r="N134" s="1" t="s">
        <v>181</v>
      </c>
      <c r="O134" s="1" t="s">
        <v>182</v>
      </c>
      <c r="P134" s="1" t="s">
        <v>183</v>
      </c>
      <c r="Q134" s="1" t="s">
        <v>184</v>
      </c>
      <c r="R134" s="7" t="s">
        <v>185</v>
      </c>
      <c r="S134" s="8">
        <v>1000000</v>
      </c>
    </row>
    <row r="135" spans="1:19" ht="30" customHeight="1">
      <c r="A135" s="11" t="s">
        <v>31</v>
      </c>
      <c r="L135" s="29" t="s">
        <v>222</v>
      </c>
      <c r="M135" s="4" t="s">
        <v>180</v>
      </c>
      <c r="N135" s="1" t="s">
        <v>181</v>
      </c>
      <c r="O135" s="1" t="s">
        <v>182</v>
      </c>
      <c r="P135" s="1" t="s">
        <v>183</v>
      </c>
      <c r="Q135" s="1" t="s">
        <v>184</v>
      </c>
      <c r="R135" s="7" t="s">
        <v>185</v>
      </c>
      <c r="S135" s="8">
        <v>1000000</v>
      </c>
    </row>
    <row r="136" spans="1:19" ht="40" customHeight="1">
      <c r="A136" s="15"/>
      <c r="B136" s="51" t="str">
        <f>"Tổ chức phát hành: "&amp;VLOOKUP('[1]N-B'!W6,$L$4:$T$310,2,0)</f>
        <v>Tổ chức phát hành: Công ty TNHH Đầu tư Bất động sản Ngôi sao Việt</v>
      </c>
      <c r="C136" s="51"/>
      <c r="D136" s="51"/>
      <c r="E136" s="51"/>
      <c r="F136" s="52"/>
      <c r="G136" s="53" t="str">
        <f>"    Mã TP: "&amp;'[1]N-B'!W6</f>
        <v xml:space="preserve">    Mã TP: NSV.BOND2017-02</v>
      </c>
      <c r="H136" s="54"/>
      <c r="I136" s="54"/>
      <c r="J136" s="55"/>
      <c r="L136" s="29" t="s">
        <v>223</v>
      </c>
      <c r="M136" s="4" t="s">
        <v>180</v>
      </c>
      <c r="N136" s="1" t="s">
        <v>181</v>
      </c>
      <c r="O136" s="1" t="s">
        <v>189</v>
      </c>
      <c r="P136" s="1" t="s">
        <v>183</v>
      </c>
      <c r="Q136" s="1" t="s">
        <v>184</v>
      </c>
      <c r="R136" s="7" t="s">
        <v>185</v>
      </c>
      <c r="S136" s="8">
        <v>1000000</v>
      </c>
    </row>
    <row r="137" spans="1:19" ht="28.5" customHeight="1">
      <c r="A137" s="16"/>
      <c r="B137" s="56" t="str">
        <f>"Ngày phát hành: "&amp;VLOOKUP('[1]N-B'!W6,$L$4:$T$310,3,0)</f>
        <v>Ngày phát hành: 30/12/2017</v>
      </c>
      <c r="C137" s="56"/>
      <c r="D137" s="56"/>
      <c r="E137" s="56"/>
      <c r="F137" s="48"/>
      <c r="G137" s="57" t="str">
        <f>"    Ngày đáo hạn: "&amp;VLOOKUP('[1]N-B'!W6,$L$4:$T$310,4,0)</f>
        <v xml:space="preserve">    Ngày đáo hạn: 30/12/2020</v>
      </c>
      <c r="H137" s="57"/>
      <c r="I137" s="57"/>
      <c r="J137" s="57"/>
      <c r="L137" s="29" t="s">
        <v>224</v>
      </c>
      <c r="M137" s="4" t="s">
        <v>180</v>
      </c>
      <c r="N137" s="1" t="s">
        <v>181</v>
      </c>
      <c r="O137" s="1" t="s">
        <v>189</v>
      </c>
      <c r="P137" s="1" t="s">
        <v>183</v>
      </c>
      <c r="Q137" s="1" t="s">
        <v>184</v>
      </c>
      <c r="R137" s="7" t="s">
        <v>185</v>
      </c>
      <c r="S137" s="8">
        <v>1000000</v>
      </c>
    </row>
    <row r="138" spans="1:19" ht="62.5" customHeight="1">
      <c r="A138" s="15"/>
      <c r="B138" s="51" t="str">
        <f>"Coupon: Lãi suất cho kỳ tính lãi đầu tiên là "&amp;VLOOKUP('[1]N-B'!W6,$L$4:$T$310,5,0)&amp;". Lãi suất cho các kỳ tính lãi tiếp theo bằng lãi suất thRM chiếu cộng (+) biên độ "&amp;VLOOKUP('[1]N-B'!W6,$L$4:$T$310,6,0)</f>
        <v>Coupon: Lãi suất cho kỳ tính lãi đầu tiên là 10,825%/năm. Lãi suất cho các kỳ tính lãi tiếp theo bằng lãi suất thRM chiếu cộng (+) biên độ 4%/năm</v>
      </c>
      <c r="C138" s="51"/>
      <c r="D138" s="51"/>
      <c r="E138" s="51"/>
      <c r="F138" s="52"/>
      <c r="G138" s="57" t="s">
        <v>41</v>
      </c>
      <c r="H138" s="57"/>
      <c r="I138" s="57"/>
      <c r="J138" s="57"/>
      <c r="L138" s="29" t="s">
        <v>225</v>
      </c>
      <c r="M138" s="4" t="s">
        <v>180</v>
      </c>
      <c r="N138" s="1" t="s">
        <v>181</v>
      </c>
      <c r="O138" s="1" t="s">
        <v>189</v>
      </c>
      <c r="P138" s="1" t="s">
        <v>183</v>
      </c>
      <c r="Q138" s="1" t="s">
        <v>184</v>
      </c>
      <c r="R138" s="7" t="s">
        <v>185</v>
      </c>
      <c r="S138" s="8">
        <v>1000000</v>
      </c>
    </row>
    <row r="139" spans="1:19">
      <c r="L139" s="29" t="s">
        <v>226</v>
      </c>
      <c r="M139" s="4" t="s">
        <v>180</v>
      </c>
      <c r="N139" s="1" t="s">
        <v>181</v>
      </c>
      <c r="O139" s="1" t="s">
        <v>193</v>
      </c>
      <c r="P139" s="1" t="s">
        <v>183</v>
      </c>
      <c r="Q139" s="1" t="s">
        <v>184</v>
      </c>
      <c r="R139" s="7" t="s">
        <v>185</v>
      </c>
      <c r="S139" s="8">
        <v>1000000</v>
      </c>
    </row>
    <row r="140" spans="1:19">
      <c r="A140" s="11" t="s">
        <v>47</v>
      </c>
      <c r="L140" s="29" t="s">
        <v>227</v>
      </c>
      <c r="M140" s="4" t="s">
        <v>180</v>
      </c>
      <c r="N140" s="1" t="s">
        <v>181</v>
      </c>
      <c r="O140" s="1" t="s">
        <v>193</v>
      </c>
      <c r="P140" s="1" t="s">
        <v>183</v>
      </c>
      <c r="Q140" s="1" t="s">
        <v>184</v>
      </c>
      <c r="R140" s="7" t="s">
        <v>185</v>
      </c>
      <c r="S140" s="8">
        <v>1000000</v>
      </c>
    </row>
    <row r="141" spans="1:19">
      <c r="B141" s="1" t="str">
        <f>"Số quyết định: "&amp;VLOOKUP('[1]N-B'!W6,$L$4:$T$310,7,0)</f>
        <v>Số quyết định: 20/2020/QĐ-TGĐ ngày 10/01/2020</v>
      </c>
      <c r="L141" s="29" t="s">
        <v>228</v>
      </c>
      <c r="M141" s="4" t="s">
        <v>180</v>
      </c>
      <c r="N141" s="1" t="s">
        <v>181</v>
      </c>
      <c r="O141" s="1" t="s">
        <v>193</v>
      </c>
      <c r="P141" s="1" t="s">
        <v>183</v>
      </c>
      <c r="Q141" s="1" t="s">
        <v>184</v>
      </c>
      <c r="R141" s="7" t="s">
        <v>185</v>
      </c>
      <c r="S141" s="8">
        <v>1000000</v>
      </c>
    </row>
    <row r="142" spans="1:19">
      <c r="A142" s="19"/>
      <c r="B142" s="48" t="str">
        <f>"Đối tác giao dịch: "&amp;'[1]N-B'!L6</f>
        <v>Đối tác giao dịch: Nguyễn Thị Hậu</v>
      </c>
      <c r="C142" s="49"/>
      <c r="D142" s="49"/>
      <c r="E142" s="49"/>
      <c r="F142" s="49"/>
      <c r="G142" s="49"/>
      <c r="H142" s="49"/>
      <c r="I142" s="49"/>
      <c r="J142" s="49"/>
      <c r="L142" s="31" t="s">
        <v>229</v>
      </c>
      <c r="M142" s="4" t="s">
        <v>180</v>
      </c>
      <c r="N142" s="1" t="s">
        <v>181</v>
      </c>
      <c r="O142" s="1" t="s">
        <v>197</v>
      </c>
      <c r="P142" s="1" t="s">
        <v>183</v>
      </c>
      <c r="Q142" s="1" t="s">
        <v>184</v>
      </c>
      <c r="R142" s="7" t="s">
        <v>185</v>
      </c>
      <c r="S142" s="8">
        <v>1000000</v>
      </c>
    </row>
    <row r="143" spans="1:19">
      <c r="A143" s="19"/>
      <c r="B143" s="48" t="str">
        <f>"Hợp đồng số: "&amp;'[1]N-B'!K6</f>
        <v>Hợp đồng số: 110500.01196.00472.A02ED1.NSV02/HDTP-B/SHB.</v>
      </c>
      <c r="C143" s="49"/>
      <c r="D143" s="49"/>
      <c r="E143" s="49"/>
      <c r="F143" s="49"/>
      <c r="G143" s="49"/>
      <c r="H143" s="49"/>
      <c r="I143" s="49"/>
      <c r="J143" s="49"/>
      <c r="L143" s="31" t="s">
        <v>230</v>
      </c>
      <c r="M143" s="4" t="s">
        <v>180</v>
      </c>
      <c r="N143" s="1" t="s">
        <v>181</v>
      </c>
      <c r="O143" s="1" t="s">
        <v>197</v>
      </c>
      <c r="P143" s="1" t="s">
        <v>183</v>
      </c>
      <c r="Q143" s="1" t="s">
        <v>184</v>
      </c>
      <c r="R143" s="7" t="s">
        <v>185</v>
      </c>
      <c r="S143" s="8">
        <v>1000000</v>
      </c>
    </row>
    <row r="144" spans="1:19">
      <c r="A144" s="19"/>
      <c r="B144" s="48" t="str">
        <f ca="1">"Ngày giao dịch: "&amp;TEXT($M$1,"dd/mm/yyyy")</f>
        <v>Ngày giao dịch: 24/01/2021</v>
      </c>
      <c r="C144" s="49"/>
      <c r="D144" s="49"/>
      <c r="E144" s="49"/>
      <c r="F144" s="49"/>
      <c r="G144" s="49"/>
      <c r="H144" s="49"/>
      <c r="I144" s="49"/>
      <c r="J144" s="49"/>
      <c r="L144" s="31" t="s">
        <v>231</v>
      </c>
      <c r="M144" s="4" t="s">
        <v>180</v>
      </c>
      <c r="N144" s="1" t="s">
        <v>181</v>
      </c>
      <c r="O144" s="1" t="s">
        <v>197</v>
      </c>
      <c r="P144" s="1" t="s">
        <v>183</v>
      </c>
      <c r="Q144" s="1" t="s">
        <v>184</v>
      </c>
      <c r="R144" s="7" t="s">
        <v>185</v>
      </c>
      <c r="S144" s="8">
        <v>1000000</v>
      </c>
    </row>
    <row r="145" spans="1:19">
      <c r="A145" s="19"/>
      <c r="B145" s="48" t="str">
        <f ca="1">"Ngày thanh toán: "&amp;TEXT($M$1,"dd/mm/yyyy")</f>
        <v>Ngày thanh toán: 24/01/2021</v>
      </c>
      <c r="C145" s="49"/>
      <c r="D145" s="49"/>
      <c r="E145" s="49"/>
      <c r="F145" s="49" t="str">
        <f>"  CIF KH: "&amp;'[1]N-B'!P6</f>
        <v xml:space="preserve">  CIF KH: '0106251177</v>
      </c>
      <c r="G145" s="49"/>
      <c r="H145" s="49"/>
      <c r="I145" s="49"/>
      <c r="J145" s="49"/>
      <c r="L145" s="31" t="s">
        <v>232</v>
      </c>
      <c r="M145" s="4" t="s">
        <v>180</v>
      </c>
      <c r="N145" s="1" t="s">
        <v>181</v>
      </c>
      <c r="O145" s="1" t="s">
        <v>201</v>
      </c>
      <c r="P145" s="1" t="s">
        <v>183</v>
      </c>
      <c r="Q145" s="1" t="s">
        <v>184</v>
      </c>
      <c r="R145" s="7" t="s">
        <v>185</v>
      </c>
      <c r="S145" s="8">
        <v>1000000</v>
      </c>
    </row>
    <row r="146" spans="1:19">
      <c r="A146" s="19"/>
      <c r="B146" s="48" t="str">
        <f>"Mã RM: "&amp;'[1]N-B'!B6</f>
        <v>Mã RM: 00472</v>
      </c>
      <c r="C146" s="49"/>
      <c r="D146" s="49"/>
      <c r="E146" s="49"/>
      <c r="F146" s="49" t="str">
        <f>"  Mã đơn vị: "&amp;'[1]N-B'!H6</f>
        <v xml:space="preserve">  Mã đơn vị: 110500</v>
      </c>
      <c r="G146" s="49"/>
      <c r="H146" s="49"/>
      <c r="I146" s="49"/>
      <c r="J146" s="49"/>
      <c r="L146" s="31" t="s">
        <v>233</v>
      </c>
      <c r="M146" s="4" t="s">
        <v>180</v>
      </c>
      <c r="N146" s="1" t="s">
        <v>181</v>
      </c>
      <c r="O146" s="1" t="s">
        <v>201</v>
      </c>
      <c r="P146" s="1" t="s">
        <v>183</v>
      </c>
      <c r="Q146" s="1" t="s">
        <v>184</v>
      </c>
      <c r="R146" s="7" t="s">
        <v>185</v>
      </c>
      <c r="S146" s="8">
        <v>1000000</v>
      </c>
    </row>
    <row r="147" spans="1:19">
      <c r="A147" s="19"/>
      <c r="B147" s="48" t="str">
        <f>"Số lượng TP: "&amp;'[1]N-B'!Y6&amp;" TP"</f>
        <v>Số lượng TP: 184 TP</v>
      </c>
      <c r="C147" s="49"/>
      <c r="D147" s="49"/>
      <c r="E147" s="49"/>
      <c r="F147" s="49" t="str">
        <f>"  Giá thực hiện: "&amp;TEXT('[1]N-B'!Z6,"##,#")&amp;" VNĐ/Trái phiếu"</f>
        <v xml:space="preserve">  Giá thực hiện: 1,092,332 VNĐ/Trái phiếu</v>
      </c>
      <c r="G147" s="49"/>
      <c r="H147" s="49"/>
      <c r="I147" s="49"/>
      <c r="J147" s="49"/>
      <c r="L147" s="31" t="s">
        <v>234</v>
      </c>
      <c r="M147" s="4" t="s">
        <v>180</v>
      </c>
      <c r="N147" s="1" t="s">
        <v>181</v>
      </c>
      <c r="O147" s="1" t="s">
        <v>201</v>
      </c>
      <c r="P147" s="1" t="s">
        <v>183</v>
      </c>
      <c r="Q147" s="1" t="s">
        <v>184</v>
      </c>
      <c r="R147" s="7" t="s">
        <v>185</v>
      </c>
      <c r="S147" s="8">
        <v>1000000</v>
      </c>
    </row>
    <row r="148" spans="1:19">
      <c r="A148" s="19"/>
      <c r="B148" s="48" t="str">
        <f>"Tổng mệnh giá: "&amp;TEXT('[1]N-B'!Y6*VLOOKUP('[1]N-B'!W6,'P-B'!$L$4:$S$310,8,0),"##,#")&amp;" VND"</f>
        <v>Tổng mệnh giá: 184,000,000 VND</v>
      </c>
      <c r="C148" s="49"/>
      <c r="D148" s="49"/>
      <c r="E148" s="49"/>
      <c r="F148" s="49" t="s">
        <v>67</v>
      </c>
      <c r="G148" s="49"/>
      <c r="H148" s="49"/>
      <c r="I148" s="49"/>
      <c r="J148" s="49"/>
      <c r="L148" s="31" t="s">
        <v>235</v>
      </c>
      <c r="M148" s="4" t="s">
        <v>180</v>
      </c>
      <c r="N148" s="1" t="s">
        <v>181</v>
      </c>
      <c r="O148" s="1" t="s">
        <v>205</v>
      </c>
      <c r="P148" s="1" t="s">
        <v>183</v>
      </c>
      <c r="Q148" s="1" t="s">
        <v>184</v>
      </c>
      <c r="R148" s="7" t="s">
        <v>185</v>
      </c>
      <c r="S148" s="8">
        <v>1000000</v>
      </c>
    </row>
    <row r="149" spans="1:19">
      <c r="A149" s="19"/>
      <c r="B149" s="48" t="str">
        <f>"Tổng giá trị giao dịch: "&amp;TEXT('[1]N-B'!AA6,"##,#")&amp;" VND"</f>
        <v>Tổng giá trị giao dịch: 200,989,088 VND</v>
      </c>
      <c r="C149" s="49"/>
      <c r="D149" s="49"/>
      <c r="E149" s="49"/>
      <c r="F149" s="49"/>
      <c r="G149" s="49"/>
      <c r="H149" s="49"/>
      <c r="I149" s="49"/>
      <c r="J149" s="49"/>
      <c r="L149" s="31" t="s">
        <v>236</v>
      </c>
      <c r="M149" s="4" t="s">
        <v>180</v>
      </c>
      <c r="N149" s="1" t="s">
        <v>181</v>
      </c>
      <c r="O149" s="1" t="s">
        <v>205</v>
      </c>
      <c r="P149" s="1" t="s">
        <v>183</v>
      </c>
      <c r="Q149" s="1" t="s">
        <v>184</v>
      </c>
      <c r="R149" s="7" t="s">
        <v>185</v>
      </c>
      <c r="S149" s="8">
        <v>1000000</v>
      </c>
    </row>
    <row r="150" spans="1:19">
      <c r="L150" s="31" t="s">
        <v>237</v>
      </c>
      <c r="M150" s="4" t="s">
        <v>180</v>
      </c>
      <c r="N150" s="1" t="s">
        <v>181</v>
      </c>
      <c r="O150" s="1" t="s">
        <v>205</v>
      </c>
      <c r="P150" s="1" t="s">
        <v>183</v>
      </c>
      <c r="Q150" s="1" t="s">
        <v>184</v>
      </c>
      <c r="R150" s="7" t="s">
        <v>185</v>
      </c>
      <c r="S150" s="8">
        <v>1000000</v>
      </c>
    </row>
    <row r="151" spans="1:19" ht="38.25" customHeight="1">
      <c r="F151" s="58" t="s">
        <v>74</v>
      </c>
      <c r="G151" s="46"/>
      <c r="H151" s="46"/>
      <c r="I151" s="46"/>
      <c r="J151" s="46"/>
      <c r="L151" s="31" t="s">
        <v>238</v>
      </c>
      <c r="M151" s="4" t="s">
        <v>180</v>
      </c>
      <c r="N151" s="1" t="s">
        <v>181</v>
      </c>
      <c r="O151" s="1" t="s">
        <v>209</v>
      </c>
      <c r="P151" s="1" t="s">
        <v>183</v>
      </c>
      <c r="Q151" s="1" t="s">
        <v>184</v>
      </c>
      <c r="R151" s="7" t="s">
        <v>185</v>
      </c>
      <c r="S151" s="8">
        <v>1000000</v>
      </c>
    </row>
    <row r="152" spans="1:19">
      <c r="L152" s="31" t="s">
        <v>239</v>
      </c>
      <c r="M152" s="4" t="s">
        <v>180</v>
      </c>
      <c r="N152" s="1" t="s">
        <v>181</v>
      </c>
      <c r="O152" s="1" t="s">
        <v>209</v>
      </c>
      <c r="P152" s="1" t="s">
        <v>183</v>
      </c>
      <c r="Q152" s="1" t="s">
        <v>184</v>
      </c>
      <c r="R152" s="7" t="s">
        <v>185</v>
      </c>
      <c r="S152" s="8">
        <v>1000000</v>
      </c>
    </row>
    <row r="153" spans="1:19">
      <c r="L153" s="31" t="s">
        <v>240</v>
      </c>
      <c r="M153" s="4" t="s">
        <v>180</v>
      </c>
      <c r="N153" s="1" t="s">
        <v>181</v>
      </c>
      <c r="O153" s="1" t="s">
        <v>209</v>
      </c>
      <c r="P153" s="1" t="s">
        <v>183</v>
      </c>
      <c r="Q153" s="1" t="s">
        <v>184</v>
      </c>
      <c r="R153" s="7" t="s">
        <v>185</v>
      </c>
      <c r="S153" s="8">
        <v>1000000</v>
      </c>
    </row>
    <row r="154" spans="1:19">
      <c r="L154" s="31" t="s">
        <v>241</v>
      </c>
      <c r="M154" s="4" t="s">
        <v>180</v>
      </c>
      <c r="N154" s="1" t="s">
        <v>181</v>
      </c>
      <c r="O154" s="1" t="s">
        <v>213</v>
      </c>
      <c r="P154" s="1" t="s">
        <v>183</v>
      </c>
      <c r="Q154" s="1" t="s">
        <v>184</v>
      </c>
      <c r="R154" s="7" t="s">
        <v>185</v>
      </c>
      <c r="S154" s="8">
        <v>1000000</v>
      </c>
    </row>
    <row r="155" spans="1:19" ht="24" customHeight="1">
      <c r="E155" s="1"/>
      <c r="F155" s="46" t="str">
        <f>F124</f>
        <v>Nguyễn Thế Dũng</v>
      </c>
      <c r="G155" s="46"/>
      <c r="H155" s="46"/>
      <c r="I155" s="46"/>
      <c r="J155" s="46"/>
      <c r="L155" s="31" t="s">
        <v>242</v>
      </c>
      <c r="M155" s="4" t="s">
        <v>180</v>
      </c>
      <c r="N155" s="1" t="s">
        <v>181</v>
      </c>
      <c r="O155" s="1" t="s">
        <v>213</v>
      </c>
      <c r="P155" s="1" t="s">
        <v>183</v>
      </c>
      <c r="Q155" s="1" t="s">
        <v>184</v>
      </c>
      <c r="R155" s="7" t="s">
        <v>185</v>
      </c>
      <c r="S155" s="8">
        <v>1000000</v>
      </c>
    </row>
    <row r="156" spans="1:19" ht="12.75" hidden="1" customHeight="1">
      <c r="E156" s="1"/>
      <c r="F156" s="21"/>
      <c r="G156" s="21"/>
      <c r="H156" s="21"/>
      <c r="I156" s="21"/>
      <c r="J156" s="21"/>
      <c r="L156" s="31" t="s">
        <v>243</v>
      </c>
      <c r="M156" s="4" t="s">
        <v>180</v>
      </c>
      <c r="N156" s="1" t="s">
        <v>181</v>
      </c>
      <c r="O156" s="1" t="s">
        <v>213</v>
      </c>
      <c r="P156" s="1" t="s">
        <v>183</v>
      </c>
      <c r="Q156" s="1" t="s">
        <v>184</v>
      </c>
      <c r="R156" s="7" t="s">
        <v>185</v>
      </c>
      <c r="S156" s="8">
        <v>1000000</v>
      </c>
    </row>
    <row r="157" spans="1:19">
      <c r="I157" s="44" t="s">
        <v>0</v>
      </c>
      <c r="J157" s="44"/>
      <c r="L157" s="31" t="s">
        <v>244</v>
      </c>
      <c r="M157" s="4" t="s">
        <v>180</v>
      </c>
      <c r="N157" s="1" t="s">
        <v>181</v>
      </c>
      <c r="O157" s="1" t="s">
        <v>217</v>
      </c>
      <c r="P157" s="1" t="s">
        <v>183</v>
      </c>
      <c r="Q157" s="1" t="s">
        <v>184</v>
      </c>
      <c r="R157" s="7" t="s">
        <v>185</v>
      </c>
      <c r="S157" s="8">
        <v>1000000</v>
      </c>
    </row>
    <row r="158" spans="1:19">
      <c r="E158" s="45" t="s">
        <v>2</v>
      </c>
      <c r="F158" s="45"/>
      <c r="G158" s="45"/>
      <c r="H158" s="45"/>
      <c r="I158" s="45"/>
      <c r="J158" s="45"/>
      <c r="L158" s="31" t="s">
        <v>245</v>
      </c>
      <c r="M158" s="4" t="s">
        <v>180</v>
      </c>
      <c r="N158" s="1" t="s">
        <v>181</v>
      </c>
      <c r="O158" s="1" t="s">
        <v>217</v>
      </c>
      <c r="P158" s="1" t="s">
        <v>183</v>
      </c>
      <c r="Q158" s="1" t="s">
        <v>184</v>
      </c>
      <c r="R158" s="7" t="s">
        <v>185</v>
      </c>
      <c r="S158" s="8">
        <v>1000000</v>
      </c>
    </row>
    <row r="159" spans="1:19">
      <c r="E159" s="45" t="s">
        <v>3</v>
      </c>
      <c r="F159" s="45"/>
      <c r="G159" s="45"/>
      <c r="H159" s="45"/>
      <c r="I159" s="45"/>
      <c r="J159" s="45"/>
      <c r="L159" s="31" t="s">
        <v>246</v>
      </c>
      <c r="M159" s="4" t="s">
        <v>180</v>
      </c>
      <c r="N159" s="1" t="s">
        <v>181</v>
      </c>
      <c r="O159" s="1" t="s">
        <v>217</v>
      </c>
      <c r="P159" s="1" t="s">
        <v>183</v>
      </c>
      <c r="Q159" s="1" t="s">
        <v>184</v>
      </c>
      <c r="R159" s="7" t="s">
        <v>185</v>
      </c>
      <c r="S159" s="8">
        <v>1000000</v>
      </c>
    </row>
    <row r="160" spans="1:19">
      <c r="E160" s="45"/>
      <c r="F160" s="45"/>
      <c r="G160" s="45"/>
      <c r="H160" s="45"/>
      <c r="I160" s="45"/>
      <c r="J160" s="45"/>
      <c r="L160" s="31" t="s">
        <v>247</v>
      </c>
      <c r="M160" s="4" t="s">
        <v>180</v>
      </c>
      <c r="N160" s="6" t="s">
        <v>181</v>
      </c>
      <c r="O160" s="6" t="s">
        <v>182</v>
      </c>
      <c r="P160" s="1" t="s">
        <v>183</v>
      </c>
      <c r="Q160" s="1" t="s">
        <v>184</v>
      </c>
      <c r="R160" s="7" t="s">
        <v>185</v>
      </c>
      <c r="S160" s="8">
        <v>1000000</v>
      </c>
    </row>
    <row r="161" spans="1:19">
      <c r="B161" s="46" t="s">
        <v>12</v>
      </c>
      <c r="C161" s="46"/>
      <c r="D161" s="46"/>
      <c r="L161" s="31" t="s">
        <v>248</v>
      </c>
      <c r="M161" s="4" t="s">
        <v>180</v>
      </c>
      <c r="N161" s="6" t="s">
        <v>181</v>
      </c>
      <c r="O161" s="6" t="s">
        <v>182</v>
      </c>
      <c r="P161" s="1" t="s">
        <v>183</v>
      </c>
      <c r="Q161" s="1" t="s">
        <v>184</v>
      </c>
      <c r="R161" s="7" t="s">
        <v>185</v>
      </c>
      <c r="S161" s="8">
        <v>1000000</v>
      </c>
    </row>
    <row r="162" spans="1:19" ht="25.5" customHeight="1">
      <c r="E162" s="47" t="str">
        <f ca="1">"SỐ: "&amp;TEXT($M$1,"DDMM")&amp;"."&amp;$M$3+5&amp;"/"&amp;YEAR($M$1)&amp;"/KDTPBL"</f>
        <v>SỐ: 2401.6/2021/KDTPBL</v>
      </c>
      <c r="F162" s="47"/>
      <c r="G162" s="47"/>
      <c r="H162" s="47"/>
      <c r="I162" s="47"/>
      <c r="J162" s="47"/>
      <c r="L162" s="31" t="s">
        <v>249</v>
      </c>
      <c r="M162" s="4" t="s">
        <v>180</v>
      </c>
      <c r="N162" s="1" t="s">
        <v>181</v>
      </c>
      <c r="O162" s="1" t="s">
        <v>182</v>
      </c>
      <c r="P162" s="1" t="s">
        <v>183</v>
      </c>
      <c r="Q162" s="1" t="s">
        <v>184</v>
      </c>
      <c r="R162" s="7" t="s">
        <v>185</v>
      </c>
      <c r="S162" s="8">
        <v>1000000</v>
      </c>
    </row>
    <row r="163" spans="1:19" ht="49.5" customHeight="1">
      <c r="B163" s="50" t="s">
        <v>17</v>
      </c>
      <c r="C163" s="50"/>
      <c r="D163" s="50"/>
      <c r="E163" s="50"/>
      <c r="F163" s="50"/>
      <c r="G163" s="50"/>
      <c r="H163" s="50"/>
      <c r="I163" s="50"/>
      <c r="J163" s="50"/>
      <c r="L163" s="31" t="s">
        <v>250</v>
      </c>
      <c r="M163" s="4" t="s">
        <v>180</v>
      </c>
      <c r="N163" s="1" t="s">
        <v>181</v>
      </c>
      <c r="O163" s="1" t="s">
        <v>189</v>
      </c>
      <c r="P163" s="1" t="s">
        <v>183</v>
      </c>
      <c r="Q163" s="1" t="s">
        <v>184</v>
      </c>
      <c r="R163" s="7" t="s">
        <v>185</v>
      </c>
      <c r="S163" s="8">
        <v>1000000</v>
      </c>
    </row>
    <row r="164" spans="1:19">
      <c r="B164" s="1" t="s">
        <v>25</v>
      </c>
      <c r="F164" s="1" t="s">
        <v>26</v>
      </c>
      <c r="H164" s="1" t="s">
        <v>27</v>
      </c>
      <c r="L164" s="31" t="s">
        <v>251</v>
      </c>
      <c r="M164" s="4" t="s">
        <v>180</v>
      </c>
      <c r="N164" s="1" t="s">
        <v>181</v>
      </c>
      <c r="O164" s="1" t="s">
        <v>189</v>
      </c>
      <c r="P164" s="1" t="s">
        <v>183</v>
      </c>
      <c r="Q164" s="1" t="s">
        <v>184</v>
      </c>
      <c r="R164" s="7" t="s">
        <v>185</v>
      </c>
      <c r="S164" s="8">
        <v>1000000</v>
      </c>
    </row>
    <row r="165" spans="1:19">
      <c r="B165" s="1" t="s">
        <v>29</v>
      </c>
      <c r="D165" s="10" t="str">
        <f>'[1]N-B'!K7</f>
        <v>110502.08107.02101.2BA948.XTTB.2020.3YA/HDTP-B/SHB.</v>
      </c>
      <c r="L165" s="31" t="s">
        <v>252</v>
      </c>
      <c r="M165" s="4" t="s">
        <v>180</v>
      </c>
      <c r="N165" s="1" t="s">
        <v>181</v>
      </c>
      <c r="O165" s="1" t="s">
        <v>189</v>
      </c>
      <c r="P165" s="1" t="s">
        <v>183</v>
      </c>
      <c r="Q165" s="1" t="s">
        <v>184</v>
      </c>
      <c r="R165" s="7" t="s">
        <v>185</v>
      </c>
      <c r="S165" s="8">
        <v>1000000</v>
      </c>
    </row>
    <row r="166" spans="1:19" ht="30" customHeight="1">
      <c r="A166" s="11" t="s">
        <v>31</v>
      </c>
      <c r="L166" s="31" t="s">
        <v>253</v>
      </c>
      <c r="M166" s="4" t="s">
        <v>180</v>
      </c>
      <c r="N166" s="1" t="s">
        <v>181</v>
      </c>
      <c r="O166" s="1" t="s">
        <v>193</v>
      </c>
      <c r="P166" s="1" t="s">
        <v>183</v>
      </c>
      <c r="Q166" s="1" t="s">
        <v>184</v>
      </c>
      <c r="R166" s="7" t="s">
        <v>185</v>
      </c>
      <c r="S166" s="8">
        <v>1000000</v>
      </c>
    </row>
    <row r="167" spans="1:19" ht="40" customHeight="1">
      <c r="A167" s="15"/>
      <c r="B167" s="51" t="str">
        <f>"Tổ chức phát hành: "&amp;VLOOKUP('[1]N-B'!W7,$L$4:$T$310,2,0)</f>
        <v>Tổ chức phát hành: Công ty cổ phần Xuân Thiện Thuận Bắc</v>
      </c>
      <c r="C167" s="51"/>
      <c r="D167" s="51"/>
      <c r="E167" s="51"/>
      <c r="F167" s="52"/>
      <c r="G167" s="53" t="str">
        <f>"    Mã TP: "&amp;'[1]N-B'!W7</f>
        <v xml:space="preserve">    Mã TP: XTTB.2020.3YA</v>
      </c>
      <c r="H167" s="54"/>
      <c r="I167" s="54"/>
      <c r="J167" s="55"/>
      <c r="L167" s="31" t="s">
        <v>254</v>
      </c>
      <c r="M167" s="4" t="s">
        <v>180</v>
      </c>
      <c r="N167" s="1" t="s">
        <v>181</v>
      </c>
      <c r="O167" s="1" t="s">
        <v>193</v>
      </c>
      <c r="P167" s="1" t="s">
        <v>183</v>
      </c>
      <c r="Q167" s="1" t="s">
        <v>184</v>
      </c>
      <c r="R167" s="7" t="s">
        <v>185</v>
      </c>
      <c r="S167" s="8">
        <v>1000000</v>
      </c>
    </row>
    <row r="168" spans="1:19" ht="28.5" customHeight="1">
      <c r="A168" s="16"/>
      <c r="B168" s="56" t="str">
        <f>"Ngày phát hành: "&amp;VLOOKUP('[1]N-B'!W7,$L$4:$T$310,3,0)</f>
        <v>Ngày phát hành: 28/08/2020</v>
      </c>
      <c r="C168" s="56"/>
      <c r="D168" s="56"/>
      <c r="E168" s="56"/>
      <c r="F168" s="48"/>
      <c r="G168" s="57" t="str">
        <f>"    Ngày đáo hạn: "&amp;VLOOKUP('[1]N-B'!W7,$L$4:$T$310,4,0)</f>
        <v xml:space="preserve">    Ngày đáo hạn: 28/08/2023</v>
      </c>
      <c r="H168" s="57"/>
      <c r="I168" s="57"/>
      <c r="J168" s="57"/>
      <c r="L168" s="31" t="s">
        <v>255</v>
      </c>
      <c r="M168" s="4" t="s">
        <v>180</v>
      </c>
      <c r="N168" s="1" t="s">
        <v>181</v>
      </c>
      <c r="O168" s="1" t="s">
        <v>193</v>
      </c>
      <c r="P168" s="1" t="s">
        <v>183</v>
      </c>
      <c r="Q168" s="1" t="s">
        <v>184</v>
      </c>
      <c r="R168" s="7" t="s">
        <v>185</v>
      </c>
      <c r="S168" s="8">
        <v>1000000</v>
      </c>
    </row>
    <row r="169" spans="1:19" ht="62.5" customHeight="1">
      <c r="A169" s="15"/>
      <c r="B169" s="51" t="str">
        <f>"Coupon: Lãi suất cho kỳ tính lãi đầu tiên là "&amp;VLOOKUP('[1]N-B'!W7,$L$4:$T$310,5,0)&amp;". Lãi suất cho các kỳ tính lãi tiếp theo bằng lãi suất thRM chiếu cộng (+) biên độ "&amp;VLOOKUP('[1]N-B'!W7,$L$4:$T$310,6,0)</f>
        <v>Coupon: Lãi suất cho kỳ tính lãi đầu tiên là 10,00%/năm. Lãi suất cho các kỳ tính lãi tiếp theo bằng lãi suất thRM chiếu cộng (+) biên độ 2,0%/năm</v>
      </c>
      <c r="C169" s="51"/>
      <c r="D169" s="51"/>
      <c r="E169" s="51"/>
      <c r="F169" s="52"/>
      <c r="G169" s="57" t="s">
        <v>41</v>
      </c>
      <c r="H169" s="57"/>
      <c r="I169" s="57"/>
      <c r="J169" s="57"/>
      <c r="L169" s="31" t="s">
        <v>256</v>
      </c>
      <c r="M169" s="4" t="s">
        <v>180</v>
      </c>
      <c r="N169" s="1" t="s">
        <v>181</v>
      </c>
      <c r="O169" s="1" t="s">
        <v>197</v>
      </c>
      <c r="P169" s="1" t="s">
        <v>183</v>
      </c>
      <c r="Q169" s="1" t="s">
        <v>184</v>
      </c>
      <c r="R169" s="7" t="s">
        <v>185</v>
      </c>
      <c r="S169" s="8">
        <v>1000000</v>
      </c>
    </row>
    <row r="170" spans="1:19">
      <c r="L170" s="31" t="s">
        <v>257</v>
      </c>
      <c r="M170" s="4" t="s">
        <v>180</v>
      </c>
      <c r="N170" s="1" t="s">
        <v>181</v>
      </c>
      <c r="O170" s="1" t="s">
        <v>197</v>
      </c>
      <c r="P170" s="1" t="s">
        <v>183</v>
      </c>
      <c r="Q170" s="1" t="s">
        <v>184</v>
      </c>
      <c r="R170" s="7" t="s">
        <v>185</v>
      </c>
      <c r="S170" s="8">
        <v>1000000</v>
      </c>
    </row>
    <row r="171" spans="1:19">
      <c r="A171" s="11" t="s">
        <v>47</v>
      </c>
      <c r="L171" s="31" t="s">
        <v>258</v>
      </c>
      <c r="M171" s="4" t="s">
        <v>180</v>
      </c>
      <c r="N171" s="1" t="s">
        <v>181</v>
      </c>
      <c r="O171" s="1" t="s">
        <v>197</v>
      </c>
      <c r="P171" s="1" t="s">
        <v>183</v>
      </c>
      <c r="Q171" s="1" t="s">
        <v>184</v>
      </c>
      <c r="R171" s="7" t="s">
        <v>185</v>
      </c>
      <c r="S171" s="8">
        <v>1000000</v>
      </c>
    </row>
    <row r="172" spans="1:19">
      <c r="B172" s="1" t="str">
        <f>"Số quyết định: "&amp;VLOOKUP('[1]N-B'!W7,$L$4:$T$310,7,0)</f>
        <v>Số quyết định: 2809/2020/QĐ-TGĐ ngày 16/10/2020</v>
      </c>
      <c r="L172" s="31" t="s">
        <v>259</v>
      </c>
      <c r="M172" s="4" t="s">
        <v>180</v>
      </c>
      <c r="N172" s="1" t="s">
        <v>181</v>
      </c>
      <c r="O172" s="1" t="s">
        <v>201</v>
      </c>
      <c r="P172" s="1" t="s">
        <v>183</v>
      </c>
      <c r="Q172" s="1" t="s">
        <v>184</v>
      </c>
      <c r="R172" s="7" t="s">
        <v>185</v>
      </c>
      <c r="S172" s="8">
        <v>1000000</v>
      </c>
    </row>
    <row r="173" spans="1:19">
      <c r="A173" s="19"/>
      <c r="B173" s="48" t="str">
        <f>"Đối tác giao dịch: "&amp;'[1]N-B'!L7</f>
        <v>Đối tác giao dịch: Nguyễn Thị Bến</v>
      </c>
      <c r="C173" s="49"/>
      <c r="D173" s="49"/>
      <c r="E173" s="49"/>
      <c r="F173" s="49"/>
      <c r="G173" s="49"/>
      <c r="H173" s="49"/>
      <c r="I173" s="49"/>
      <c r="J173" s="49"/>
      <c r="L173" s="31" t="s">
        <v>260</v>
      </c>
      <c r="M173" s="4" t="s">
        <v>180</v>
      </c>
      <c r="N173" s="1" t="s">
        <v>181</v>
      </c>
      <c r="O173" s="1" t="s">
        <v>201</v>
      </c>
      <c r="P173" s="1" t="s">
        <v>183</v>
      </c>
      <c r="Q173" s="1" t="s">
        <v>184</v>
      </c>
      <c r="R173" s="7" t="s">
        <v>185</v>
      </c>
      <c r="S173" s="8">
        <v>1000000</v>
      </c>
    </row>
    <row r="174" spans="1:19">
      <c r="A174" s="19"/>
      <c r="B174" s="48" t="str">
        <f>"Hợp đồng số: "&amp;'[1]N-B'!K7</f>
        <v>Hợp đồng số: 110502.08107.02101.2BA948.XTTB.2020.3YA/HDTP-B/SHB.</v>
      </c>
      <c r="C174" s="49"/>
      <c r="D174" s="49"/>
      <c r="E174" s="49"/>
      <c r="F174" s="49"/>
      <c r="G174" s="49"/>
      <c r="H174" s="49"/>
      <c r="I174" s="49"/>
      <c r="J174" s="49"/>
      <c r="L174" s="31" t="s">
        <v>261</v>
      </c>
      <c r="M174" s="4" t="s">
        <v>180</v>
      </c>
      <c r="N174" s="1" t="s">
        <v>181</v>
      </c>
      <c r="O174" s="1" t="s">
        <v>201</v>
      </c>
      <c r="P174" s="1" t="s">
        <v>183</v>
      </c>
      <c r="Q174" s="1" t="s">
        <v>184</v>
      </c>
      <c r="R174" s="7" t="s">
        <v>185</v>
      </c>
      <c r="S174" s="8">
        <v>1000000</v>
      </c>
    </row>
    <row r="175" spans="1:19">
      <c r="A175" s="19"/>
      <c r="B175" s="48" t="str">
        <f ca="1">"Ngày giao dịch: "&amp;TEXT($M$1,"dd/mm/yyyy")</f>
        <v>Ngày giao dịch: 24/01/2021</v>
      </c>
      <c r="C175" s="49"/>
      <c r="D175" s="49"/>
      <c r="E175" s="49"/>
      <c r="F175" s="49"/>
      <c r="G175" s="49"/>
      <c r="H175" s="49"/>
      <c r="I175" s="49"/>
      <c r="J175" s="49"/>
      <c r="L175" s="31" t="s">
        <v>262</v>
      </c>
      <c r="M175" s="4" t="s">
        <v>180</v>
      </c>
      <c r="N175" s="1" t="s">
        <v>181</v>
      </c>
      <c r="O175" s="1" t="s">
        <v>205</v>
      </c>
      <c r="P175" s="1" t="s">
        <v>183</v>
      </c>
      <c r="Q175" s="1" t="s">
        <v>184</v>
      </c>
      <c r="R175" s="7" t="s">
        <v>185</v>
      </c>
      <c r="S175" s="8">
        <v>1000000</v>
      </c>
    </row>
    <row r="176" spans="1:19">
      <c r="A176" s="19"/>
      <c r="B176" s="48" t="str">
        <f ca="1">"Ngày thanh toán: "&amp;TEXT($M$1,"dd/mm/yyyy")</f>
        <v>Ngày thanh toán: 24/01/2021</v>
      </c>
      <c r="C176" s="49"/>
      <c r="D176" s="49"/>
      <c r="E176" s="49"/>
      <c r="F176" s="49" t="str">
        <f>"  CIF KH: "&amp;'[1]N-B'!P7</f>
        <v xml:space="preserve">  CIF KH: '0115840278</v>
      </c>
      <c r="G176" s="49"/>
      <c r="H176" s="49"/>
      <c r="I176" s="49"/>
      <c r="J176" s="49"/>
      <c r="L176" s="31" t="s">
        <v>263</v>
      </c>
      <c r="M176" s="4" t="s">
        <v>180</v>
      </c>
      <c r="N176" s="1" t="s">
        <v>181</v>
      </c>
      <c r="O176" s="1" t="s">
        <v>205</v>
      </c>
      <c r="P176" s="1" t="s">
        <v>183</v>
      </c>
      <c r="Q176" s="1" t="s">
        <v>184</v>
      </c>
      <c r="R176" s="7" t="s">
        <v>185</v>
      </c>
      <c r="S176" s="8">
        <v>1000000</v>
      </c>
    </row>
    <row r="177" spans="1:19">
      <c r="A177" s="19"/>
      <c r="B177" s="48" t="str">
        <f>"Mã RM: "&amp;'[1]N-B'!B7</f>
        <v>Mã RM: 02101</v>
      </c>
      <c r="C177" s="49"/>
      <c r="D177" s="49"/>
      <c r="E177" s="49"/>
      <c r="F177" s="49" t="str">
        <f>"  Mã đơn vị: "&amp;'[1]N-B'!H7</f>
        <v xml:space="preserve">  Mã đơn vị: 110502</v>
      </c>
      <c r="G177" s="49"/>
      <c r="H177" s="49"/>
      <c r="I177" s="49"/>
      <c r="J177" s="49"/>
      <c r="L177" s="31" t="s">
        <v>264</v>
      </c>
      <c r="M177" s="4" t="s">
        <v>180</v>
      </c>
      <c r="N177" s="1" t="s">
        <v>181</v>
      </c>
      <c r="O177" s="1" t="s">
        <v>205</v>
      </c>
      <c r="P177" s="1" t="s">
        <v>183</v>
      </c>
      <c r="Q177" s="1" t="s">
        <v>184</v>
      </c>
      <c r="R177" s="7" t="s">
        <v>185</v>
      </c>
      <c r="S177" s="8">
        <v>1000000</v>
      </c>
    </row>
    <row r="178" spans="1:19">
      <c r="A178" s="19"/>
      <c r="B178" s="48" t="str">
        <f>"Số lượng TP: "&amp;'[1]N-B'!Y7&amp;" TP"</f>
        <v>Số lượng TP: 475 TP</v>
      </c>
      <c r="C178" s="49"/>
      <c r="D178" s="49"/>
      <c r="E178" s="49"/>
      <c r="F178" s="49" t="str">
        <f>"  Giá thực hiện: "&amp;TEXT('[1]N-B'!Z7,"##,#")&amp;" VNĐ/Trái phiếu"</f>
        <v xml:space="preserve">  Giá thực hiện: 1,055,910 VNĐ/Trái phiếu</v>
      </c>
      <c r="G178" s="49"/>
      <c r="H178" s="49"/>
      <c r="I178" s="49"/>
      <c r="J178" s="49"/>
      <c r="L178" s="31" t="s">
        <v>265</v>
      </c>
      <c r="M178" s="4" t="s">
        <v>180</v>
      </c>
      <c r="N178" s="1" t="s">
        <v>181</v>
      </c>
      <c r="O178" s="1" t="s">
        <v>209</v>
      </c>
      <c r="P178" s="1" t="s">
        <v>183</v>
      </c>
      <c r="Q178" s="1" t="s">
        <v>184</v>
      </c>
      <c r="R178" s="7" t="s">
        <v>185</v>
      </c>
      <c r="S178" s="8">
        <v>1000000</v>
      </c>
    </row>
    <row r="179" spans="1:19">
      <c r="A179" s="19"/>
      <c r="B179" s="48" t="str">
        <f>"Tổng mệnh giá: "&amp;TEXT('[1]N-B'!Y7*VLOOKUP('[1]N-B'!W7,'P-B'!$L$4:$S$310,8,0),"##,#")&amp;" VND"</f>
        <v>Tổng mệnh giá: 475,000,000 VND</v>
      </c>
      <c r="C179" s="49"/>
      <c r="D179" s="49"/>
      <c r="E179" s="49"/>
      <c r="F179" s="49" t="s">
        <v>67</v>
      </c>
      <c r="G179" s="49"/>
      <c r="H179" s="49"/>
      <c r="I179" s="49"/>
      <c r="J179" s="49"/>
      <c r="L179" s="31" t="s">
        <v>266</v>
      </c>
      <c r="M179" s="4" t="s">
        <v>180</v>
      </c>
      <c r="N179" s="1" t="s">
        <v>181</v>
      </c>
      <c r="O179" s="1" t="s">
        <v>209</v>
      </c>
      <c r="P179" s="1" t="s">
        <v>183</v>
      </c>
      <c r="Q179" s="1" t="s">
        <v>184</v>
      </c>
      <c r="R179" s="7" t="s">
        <v>185</v>
      </c>
      <c r="S179" s="8">
        <v>1000000</v>
      </c>
    </row>
    <row r="180" spans="1:19">
      <c r="A180" s="19"/>
      <c r="B180" s="48" t="str">
        <f>"Tổng giá trị giao dịch: "&amp;TEXT('[1]N-B'!AA7,"##,#")&amp;" VND"</f>
        <v>Tổng giá trị giao dịch: 501,557,250 VND</v>
      </c>
      <c r="C180" s="49"/>
      <c r="D180" s="49"/>
      <c r="E180" s="49"/>
      <c r="F180" s="49"/>
      <c r="G180" s="49"/>
      <c r="H180" s="49"/>
      <c r="I180" s="49"/>
      <c r="J180" s="49"/>
      <c r="L180" s="31" t="s">
        <v>267</v>
      </c>
      <c r="M180" s="4" t="s">
        <v>180</v>
      </c>
      <c r="N180" s="1" t="s">
        <v>181</v>
      </c>
      <c r="O180" s="1" t="s">
        <v>209</v>
      </c>
      <c r="P180" s="1" t="s">
        <v>183</v>
      </c>
      <c r="Q180" s="1" t="s">
        <v>184</v>
      </c>
      <c r="R180" s="7" t="s">
        <v>185</v>
      </c>
      <c r="S180" s="8">
        <v>1000000</v>
      </c>
    </row>
    <row r="181" spans="1:19">
      <c r="L181" s="31" t="s">
        <v>268</v>
      </c>
      <c r="M181" s="4" t="s">
        <v>180</v>
      </c>
      <c r="N181" s="1" t="s">
        <v>181</v>
      </c>
      <c r="O181" s="1" t="s">
        <v>213</v>
      </c>
      <c r="P181" s="1" t="s">
        <v>183</v>
      </c>
      <c r="Q181" s="1" t="s">
        <v>184</v>
      </c>
      <c r="R181" s="7" t="s">
        <v>185</v>
      </c>
      <c r="S181" s="8">
        <v>1000000</v>
      </c>
    </row>
    <row r="182" spans="1:19" ht="38.25" customHeight="1">
      <c r="F182" s="58" t="s">
        <v>74</v>
      </c>
      <c r="G182" s="46"/>
      <c r="H182" s="46"/>
      <c r="I182" s="46"/>
      <c r="J182" s="46"/>
      <c r="L182" s="31" t="s">
        <v>269</v>
      </c>
      <c r="M182" s="4" t="s">
        <v>180</v>
      </c>
      <c r="N182" s="1" t="s">
        <v>181</v>
      </c>
      <c r="O182" s="1" t="s">
        <v>213</v>
      </c>
      <c r="P182" s="1" t="s">
        <v>183</v>
      </c>
      <c r="Q182" s="1" t="s">
        <v>184</v>
      </c>
      <c r="R182" s="7" t="s">
        <v>185</v>
      </c>
      <c r="S182" s="8">
        <v>1000000</v>
      </c>
    </row>
    <row r="183" spans="1:19">
      <c r="L183" s="31" t="s">
        <v>270</v>
      </c>
      <c r="M183" s="4" t="s">
        <v>180</v>
      </c>
      <c r="N183" s="1" t="s">
        <v>181</v>
      </c>
      <c r="O183" s="1" t="s">
        <v>213</v>
      </c>
      <c r="P183" s="1" t="s">
        <v>183</v>
      </c>
      <c r="Q183" s="1" t="s">
        <v>184</v>
      </c>
      <c r="R183" s="7" t="s">
        <v>185</v>
      </c>
      <c r="S183" s="8">
        <v>1000000</v>
      </c>
    </row>
    <row r="184" spans="1:19">
      <c r="L184" s="31" t="s">
        <v>271</v>
      </c>
      <c r="M184" s="4" t="s">
        <v>180</v>
      </c>
      <c r="N184" s="1" t="s">
        <v>181</v>
      </c>
      <c r="O184" s="1" t="s">
        <v>217</v>
      </c>
      <c r="P184" s="1" t="s">
        <v>183</v>
      </c>
      <c r="Q184" s="1" t="s">
        <v>184</v>
      </c>
      <c r="R184" s="7" t="s">
        <v>185</v>
      </c>
      <c r="S184" s="8">
        <v>1000000</v>
      </c>
    </row>
    <row r="185" spans="1:19">
      <c r="L185" s="31" t="s">
        <v>272</v>
      </c>
      <c r="M185" s="4" t="s">
        <v>180</v>
      </c>
      <c r="N185" s="1" t="s">
        <v>181</v>
      </c>
      <c r="O185" s="1" t="s">
        <v>217</v>
      </c>
      <c r="P185" s="1" t="s">
        <v>183</v>
      </c>
      <c r="Q185" s="1" t="s">
        <v>184</v>
      </c>
      <c r="R185" s="7" t="s">
        <v>185</v>
      </c>
      <c r="S185" s="8">
        <v>1000000</v>
      </c>
    </row>
    <row r="186" spans="1:19">
      <c r="E186" s="1"/>
      <c r="F186" s="46" t="str">
        <f>F155</f>
        <v>Nguyễn Thế Dũng</v>
      </c>
      <c r="G186" s="46"/>
      <c r="H186" s="46"/>
      <c r="I186" s="46"/>
      <c r="J186" s="46"/>
      <c r="L186" s="31" t="s">
        <v>273</v>
      </c>
      <c r="M186" s="4" t="s">
        <v>180</v>
      </c>
      <c r="N186" s="1" t="s">
        <v>181</v>
      </c>
      <c r="O186" s="1" t="s">
        <v>217</v>
      </c>
      <c r="P186" s="1" t="s">
        <v>183</v>
      </c>
      <c r="Q186" s="1" t="s">
        <v>184</v>
      </c>
      <c r="R186" s="7" t="s">
        <v>185</v>
      </c>
      <c r="S186" s="8">
        <v>1000000</v>
      </c>
    </row>
    <row r="187" spans="1:19">
      <c r="I187" s="44" t="s">
        <v>0</v>
      </c>
      <c r="J187" s="44"/>
      <c r="L187" s="32" t="s">
        <v>274</v>
      </c>
      <c r="M187" s="4" t="s">
        <v>275</v>
      </c>
      <c r="N187" s="30" t="s">
        <v>181</v>
      </c>
      <c r="O187" s="1" t="s">
        <v>182</v>
      </c>
      <c r="P187" s="1" t="s">
        <v>276</v>
      </c>
      <c r="Q187" s="1" t="s">
        <v>277</v>
      </c>
      <c r="R187" s="7" t="s">
        <v>278</v>
      </c>
      <c r="S187" s="8">
        <v>1000000</v>
      </c>
    </row>
    <row r="188" spans="1:19">
      <c r="E188" s="45" t="s">
        <v>2</v>
      </c>
      <c r="F188" s="45"/>
      <c r="G188" s="45"/>
      <c r="H188" s="45"/>
      <c r="I188" s="45"/>
      <c r="J188" s="45"/>
      <c r="L188" s="32" t="s">
        <v>279</v>
      </c>
      <c r="M188" s="4" t="s">
        <v>275</v>
      </c>
      <c r="N188" s="1" t="s">
        <v>181</v>
      </c>
      <c r="O188" s="1" t="s">
        <v>182</v>
      </c>
      <c r="P188" s="1" t="s">
        <v>276</v>
      </c>
      <c r="Q188" s="1" t="s">
        <v>277</v>
      </c>
      <c r="R188" s="7" t="s">
        <v>278</v>
      </c>
      <c r="S188" s="8">
        <v>1000000</v>
      </c>
    </row>
    <row r="189" spans="1:19">
      <c r="E189" s="45" t="s">
        <v>3</v>
      </c>
      <c r="F189" s="45"/>
      <c r="G189" s="45"/>
      <c r="H189" s="45"/>
      <c r="I189" s="45"/>
      <c r="J189" s="45"/>
      <c r="L189" s="32" t="s">
        <v>280</v>
      </c>
      <c r="M189" s="4" t="s">
        <v>275</v>
      </c>
      <c r="N189" s="1" t="s">
        <v>181</v>
      </c>
      <c r="O189" s="1" t="s">
        <v>182</v>
      </c>
      <c r="P189" s="1" t="s">
        <v>276</v>
      </c>
      <c r="Q189" s="1" t="s">
        <v>277</v>
      </c>
      <c r="R189" s="7" t="s">
        <v>278</v>
      </c>
      <c r="S189" s="8">
        <v>1000000</v>
      </c>
    </row>
    <row r="190" spans="1:19">
      <c r="E190" s="45"/>
      <c r="F190" s="45"/>
      <c r="G190" s="45"/>
      <c r="H190" s="45"/>
      <c r="I190" s="45"/>
      <c r="J190" s="45"/>
      <c r="L190" s="32" t="s">
        <v>281</v>
      </c>
      <c r="M190" s="4" t="s">
        <v>275</v>
      </c>
      <c r="N190" s="1" t="s">
        <v>181</v>
      </c>
      <c r="O190" s="1" t="s">
        <v>189</v>
      </c>
      <c r="P190" s="1" t="s">
        <v>276</v>
      </c>
      <c r="Q190" s="1" t="s">
        <v>277</v>
      </c>
      <c r="R190" s="7" t="s">
        <v>278</v>
      </c>
      <c r="S190" s="8">
        <v>1000000</v>
      </c>
    </row>
    <row r="191" spans="1:19">
      <c r="B191" s="46" t="s">
        <v>12</v>
      </c>
      <c r="C191" s="46"/>
      <c r="D191" s="46"/>
      <c r="L191" s="32" t="s">
        <v>282</v>
      </c>
      <c r="M191" s="4" t="s">
        <v>275</v>
      </c>
      <c r="N191" s="1" t="s">
        <v>181</v>
      </c>
      <c r="O191" s="1" t="s">
        <v>189</v>
      </c>
      <c r="P191" s="1" t="s">
        <v>276</v>
      </c>
      <c r="Q191" s="1" t="s">
        <v>277</v>
      </c>
      <c r="R191" s="7" t="s">
        <v>278</v>
      </c>
      <c r="S191" s="8">
        <v>1000000</v>
      </c>
    </row>
    <row r="192" spans="1:19" ht="25.5" customHeight="1">
      <c r="E192" s="47" t="str">
        <f ca="1">"SỐ: "&amp;TEXT($M$1,"DDMM")&amp;"."&amp;$M$3+6&amp;"/"&amp;YEAR($M$1)&amp;"/KDTPBL"</f>
        <v>SỐ: 2401.7/2021/KDTPBL</v>
      </c>
      <c r="F192" s="47"/>
      <c r="G192" s="47"/>
      <c r="H192" s="47"/>
      <c r="I192" s="47"/>
      <c r="J192" s="47"/>
      <c r="L192" s="32" t="s">
        <v>283</v>
      </c>
      <c r="M192" s="4" t="s">
        <v>275</v>
      </c>
      <c r="N192" s="1" t="s">
        <v>181</v>
      </c>
      <c r="O192" s="1" t="s">
        <v>189</v>
      </c>
      <c r="P192" s="1" t="s">
        <v>276</v>
      </c>
      <c r="Q192" s="1" t="s">
        <v>277</v>
      </c>
      <c r="R192" s="7" t="s">
        <v>278</v>
      </c>
      <c r="S192" s="8">
        <v>1000000</v>
      </c>
    </row>
    <row r="193" spans="1:19" ht="49.5" customHeight="1">
      <c r="B193" s="50" t="s">
        <v>17</v>
      </c>
      <c r="C193" s="50"/>
      <c r="D193" s="50"/>
      <c r="E193" s="50"/>
      <c r="F193" s="50"/>
      <c r="G193" s="50"/>
      <c r="H193" s="50"/>
      <c r="I193" s="50"/>
      <c r="J193" s="50"/>
      <c r="L193" s="32" t="s">
        <v>284</v>
      </c>
      <c r="M193" s="4" t="s">
        <v>275</v>
      </c>
      <c r="N193" s="1" t="s">
        <v>181</v>
      </c>
      <c r="O193" s="1" t="s">
        <v>193</v>
      </c>
      <c r="P193" s="1" t="s">
        <v>276</v>
      </c>
      <c r="Q193" s="1" t="s">
        <v>277</v>
      </c>
      <c r="R193" s="7" t="s">
        <v>278</v>
      </c>
      <c r="S193" s="8">
        <v>1000000</v>
      </c>
    </row>
    <row r="194" spans="1:19">
      <c r="B194" s="1" t="s">
        <v>25</v>
      </c>
      <c r="F194" s="1" t="s">
        <v>26</v>
      </c>
      <c r="H194" s="1" t="s">
        <v>27</v>
      </c>
      <c r="L194" s="32" t="s">
        <v>285</v>
      </c>
      <c r="M194" s="4" t="s">
        <v>275</v>
      </c>
      <c r="N194" s="1" t="s">
        <v>181</v>
      </c>
      <c r="O194" s="1" t="s">
        <v>193</v>
      </c>
      <c r="P194" s="1" t="s">
        <v>276</v>
      </c>
      <c r="Q194" s="1" t="s">
        <v>277</v>
      </c>
      <c r="R194" s="7" t="s">
        <v>278</v>
      </c>
      <c r="S194" s="8">
        <v>1000000</v>
      </c>
    </row>
    <row r="195" spans="1:19">
      <c r="B195" s="1" t="s">
        <v>29</v>
      </c>
      <c r="D195" s="10" t="str">
        <f>'[1]N-B'!K8</f>
        <v>110406.02390.00738.77C845.XTTB.2020.6YA/HDTP-B/SHB.</v>
      </c>
      <c r="L195" s="32" t="s">
        <v>286</v>
      </c>
      <c r="M195" s="4" t="s">
        <v>275</v>
      </c>
      <c r="N195" s="1" t="s">
        <v>181</v>
      </c>
      <c r="O195" s="1" t="s">
        <v>193</v>
      </c>
      <c r="P195" s="1" t="s">
        <v>276</v>
      </c>
      <c r="Q195" s="1" t="s">
        <v>277</v>
      </c>
      <c r="R195" s="7" t="s">
        <v>278</v>
      </c>
      <c r="S195" s="8">
        <v>1000000</v>
      </c>
    </row>
    <row r="196" spans="1:19" ht="30" customHeight="1">
      <c r="A196" s="11" t="s">
        <v>31</v>
      </c>
      <c r="L196" s="32" t="s">
        <v>287</v>
      </c>
      <c r="M196" s="4" t="s">
        <v>275</v>
      </c>
      <c r="N196" s="1" t="s">
        <v>181</v>
      </c>
      <c r="O196" s="1" t="s">
        <v>197</v>
      </c>
      <c r="P196" s="1" t="s">
        <v>276</v>
      </c>
      <c r="Q196" s="1" t="s">
        <v>277</v>
      </c>
      <c r="R196" s="7" t="s">
        <v>278</v>
      </c>
      <c r="S196" s="8">
        <v>1000000</v>
      </c>
    </row>
    <row r="197" spans="1:19" ht="40" customHeight="1">
      <c r="A197" s="15"/>
      <c r="B197" s="51" t="str">
        <f>"Tổ chức phát hành: "&amp;VLOOKUP('[1]N-B'!W8,$L$4:$T$310,2,0)</f>
        <v>Tổ chức phát hành: Công ty cổ phần Xuân Thiện Thuận Bắc</v>
      </c>
      <c r="C197" s="51"/>
      <c r="D197" s="51"/>
      <c r="E197" s="51"/>
      <c r="F197" s="52"/>
      <c r="G197" s="53" t="str">
        <f>"    Mã TP: "&amp;'[1]N-B'!W8</f>
        <v xml:space="preserve">    Mã TP: XTTB.2020.6YA</v>
      </c>
      <c r="H197" s="54"/>
      <c r="I197" s="54"/>
      <c r="J197" s="55"/>
      <c r="L197" s="32" t="s">
        <v>288</v>
      </c>
      <c r="M197" s="4" t="s">
        <v>275</v>
      </c>
      <c r="N197" s="1" t="s">
        <v>181</v>
      </c>
      <c r="O197" s="1" t="s">
        <v>197</v>
      </c>
      <c r="P197" s="1" t="s">
        <v>276</v>
      </c>
      <c r="Q197" s="1" t="s">
        <v>277</v>
      </c>
      <c r="R197" s="7" t="s">
        <v>278</v>
      </c>
      <c r="S197" s="8">
        <v>1000000</v>
      </c>
    </row>
    <row r="198" spans="1:19" ht="28.5" customHeight="1">
      <c r="A198" s="16"/>
      <c r="B198" s="56" t="str">
        <f>"Ngày phát hành: "&amp;VLOOKUP('[1]N-B'!W8,$L$4:$T$310,3,0)</f>
        <v>Ngày phát hành: 28/08/2020</v>
      </c>
      <c r="C198" s="56"/>
      <c r="D198" s="56"/>
      <c r="E198" s="56"/>
      <c r="F198" s="48"/>
      <c r="G198" s="57" t="str">
        <f>"    Ngày đáo hạn: "&amp;VLOOKUP('[1]N-B'!W8,$L$4:$T$310,4,0)</f>
        <v xml:space="preserve">    Ngày đáo hạn: 28/08/2026</v>
      </c>
      <c r="H198" s="57"/>
      <c r="I198" s="57"/>
      <c r="J198" s="57"/>
      <c r="L198" s="33" t="s">
        <v>289</v>
      </c>
      <c r="M198" s="4" t="s">
        <v>275</v>
      </c>
      <c r="N198" s="1" t="s">
        <v>181</v>
      </c>
      <c r="O198" s="1" t="s">
        <v>197</v>
      </c>
      <c r="P198" s="1" t="s">
        <v>276</v>
      </c>
      <c r="Q198" s="1" t="s">
        <v>277</v>
      </c>
      <c r="R198" s="7" t="s">
        <v>278</v>
      </c>
      <c r="S198" s="8">
        <v>1000000</v>
      </c>
    </row>
    <row r="199" spans="1:19" ht="62.5" customHeight="1">
      <c r="A199" s="15"/>
      <c r="B199" s="51" t="str">
        <f>"Coupon: Lãi suất cho kỳ tính lãi đầu tiên là "&amp;VLOOKUP('[1]N-B'!W8,$L$4:$T$310,5,0)&amp;". Lãi suất cho các kỳ tính lãi tiếp theo bằng lãi suất thRM chiếu cộng (+) biên độ "&amp;VLOOKUP('[1]N-B'!W8,$L$4:$T$310,6,0)</f>
        <v>Coupon: Lãi suất cho kỳ tính lãi đầu tiên là 10,00%/năm. Lãi suất cho các kỳ tính lãi tiếp theo bằng lãi suất thRM chiếu cộng (+) biên độ 2,0%/năm</v>
      </c>
      <c r="C199" s="51"/>
      <c r="D199" s="51"/>
      <c r="E199" s="51"/>
      <c r="F199" s="52"/>
      <c r="G199" s="57" t="s">
        <v>41</v>
      </c>
      <c r="H199" s="57"/>
      <c r="I199" s="57"/>
      <c r="J199" s="57"/>
      <c r="L199" s="32" t="s">
        <v>290</v>
      </c>
      <c r="M199" s="4" t="s">
        <v>275</v>
      </c>
      <c r="N199" s="1" t="s">
        <v>181</v>
      </c>
      <c r="O199" s="1" t="s">
        <v>201</v>
      </c>
      <c r="P199" s="1" t="s">
        <v>276</v>
      </c>
      <c r="Q199" s="1" t="s">
        <v>277</v>
      </c>
      <c r="R199" s="7" t="s">
        <v>278</v>
      </c>
      <c r="S199" s="8">
        <v>1000000</v>
      </c>
    </row>
    <row r="200" spans="1:19">
      <c r="L200" s="32" t="s">
        <v>291</v>
      </c>
      <c r="M200" s="4" t="s">
        <v>275</v>
      </c>
      <c r="N200" s="1" t="s">
        <v>181</v>
      </c>
      <c r="O200" s="1" t="s">
        <v>201</v>
      </c>
      <c r="P200" s="1" t="s">
        <v>276</v>
      </c>
      <c r="Q200" s="1" t="s">
        <v>277</v>
      </c>
      <c r="R200" s="7" t="s">
        <v>278</v>
      </c>
      <c r="S200" s="8">
        <v>1000000</v>
      </c>
    </row>
    <row r="201" spans="1:19">
      <c r="A201" s="11" t="s">
        <v>47</v>
      </c>
      <c r="L201" s="32" t="s">
        <v>292</v>
      </c>
      <c r="M201" s="4" t="s">
        <v>275</v>
      </c>
      <c r="N201" s="1" t="s">
        <v>181</v>
      </c>
      <c r="O201" s="1" t="s">
        <v>201</v>
      </c>
      <c r="P201" s="1" t="s">
        <v>276</v>
      </c>
      <c r="Q201" s="1" t="s">
        <v>277</v>
      </c>
      <c r="R201" s="7" t="s">
        <v>278</v>
      </c>
      <c r="S201" s="8">
        <v>1000000</v>
      </c>
    </row>
    <row r="202" spans="1:19">
      <c r="B202" s="1" t="str">
        <f>"Số quyết định: "&amp;VLOOKUP('[1]N-B'!W8,$L$4:$T$310,7,0)</f>
        <v>Số quyết định: 2809/2020/QĐ-TGĐ ngày 16/10/2020</v>
      </c>
      <c r="L202" s="34" t="s">
        <v>293</v>
      </c>
      <c r="M202" s="4" t="s">
        <v>275</v>
      </c>
      <c r="N202" s="30" t="s">
        <v>181</v>
      </c>
      <c r="O202" s="1" t="s">
        <v>182</v>
      </c>
      <c r="P202" s="1" t="s">
        <v>276</v>
      </c>
      <c r="Q202" s="1" t="s">
        <v>277</v>
      </c>
      <c r="R202" s="7" t="s">
        <v>278</v>
      </c>
      <c r="S202" s="8">
        <v>1000000</v>
      </c>
    </row>
    <row r="203" spans="1:19">
      <c r="A203" s="19"/>
      <c r="B203" s="48" t="str">
        <f>"Đối tác giao dịch: "&amp;'[1]N-B'!L8</f>
        <v>Đối tác giao dịch: Vũ Thị May</v>
      </c>
      <c r="C203" s="49"/>
      <c r="D203" s="49"/>
      <c r="E203" s="49"/>
      <c r="F203" s="49"/>
      <c r="G203" s="49"/>
      <c r="H203" s="49"/>
      <c r="I203" s="49"/>
      <c r="J203" s="49"/>
      <c r="L203" s="34" t="s">
        <v>294</v>
      </c>
      <c r="M203" s="4" t="s">
        <v>275</v>
      </c>
      <c r="N203" s="1" t="s">
        <v>181</v>
      </c>
      <c r="O203" s="1" t="s">
        <v>182</v>
      </c>
      <c r="P203" s="1" t="s">
        <v>276</v>
      </c>
      <c r="Q203" s="1" t="s">
        <v>277</v>
      </c>
      <c r="R203" s="7" t="s">
        <v>278</v>
      </c>
      <c r="S203" s="8">
        <v>1000000</v>
      </c>
    </row>
    <row r="204" spans="1:19">
      <c r="A204" s="19"/>
      <c r="B204" s="48" t="str">
        <f>"Hợp đồng số: "&amp;'[1]N-B'!K8</f>
        <v>Hợp đồng số: 110406.02390.00738.77C845.XTTB.2020.6YA/HDTP-B/SHB.</v>
      </c>
      <c r="C204" s="49"/>
      <c r="D204" s="49"/>
      <c r="E204" s="49"/>
      <c r="F204" s="49"/>
      <c r="G204" s="49"/>
      <c r="H204" s="49"/>
      <c r="I204" s="49"/>
      <c r="J204" s="49"/>
      <c r="L204" s="34" t="s">
        <v>295</v>
      </c>
      <c r="M204" s="4" t="s">
        <v>275</v>
      </c>
      <c r="N204" s="1" t="s">
        <v>181</v>
      </c>
      <c r="O204" s="1" t="s">
        <v>182</v>
      </c>
      <c r="P204" s="1" t="s">
        <v>276</v>
      </c>
      <c r="Q204" s="1" t="s">
        <v>277</v>
      </c>
      <c r="R204" s="7" t="s">
        <v>278</v>
      </c>
      <c r="S204" s="8">
        <v>1000000</v>
      </c>
    </row>
    <row r="205" spans="1:19">
      <c r="A205" s="19"/>
      <c r="B205" s="48" t="str">
        <f ca="1">"Ngày giao dịch: "&amp;TEXT($M$1,"dd/mm/yyyy")</f>
        <v>Ngày giao dịch: 24/01/2021</v>
      </c>
      <c r="C205" s="49"/>
      <c r="D205" s="49"/>
      <c r="E205" s="49"/>
      <c r="F205" s="49"/>
      <c r="G205" s="49"/>
      <c r="H205" s="49"/>
      <c r="I205" s="49"/>
      <c r="J205" s="49"/>
      <c r="L205" s="34" t="s">
        <v>296</v>
      </c>
      <c r="M205" s="4" t="s">
        <v>275</v>
      </c>
      <c r="N205" s="1" t="s">
        <v>181</v>
      </c>
      <c r="O205" s="1" t="s">
        <v>189</v>
      </c>
      <c r="P205" s="1" t="s">
        <v>276</v>
      </c>
      <c r="Q205" s="1" t="s">
        <v>277</v>
      </c>
      <c r="R205" s="7" t="s">
        <v>278</v>
      </c>
      <c r="S205" s="8">
        <v>1000000</v>
      </c>
    </row>
    <row r="206" spans="1:19">
      <c r="A206" s="19"/>
      <c r="B206" s="48" t="str">
        <f ca="1">"Ngày thanh toán: "&amp;TEXT($M$1,"dd/mm/yyyy")</f>
        <v>Ngày thanh toán: 24/01/2021</v>
      </c>
      <c r="C206" s="49"/>
      <c r="D206" s="49"/>
      <c r="E206" s="49"/>
      <c r="F206" s="49" t="str">
        <f>"  CIF KH: "&amp;'[1]N-B'!P8</f>
        <v xml:space="preserve">  CIF KH: '0100425239</v>
      </c>
      <c r="G206" s="49"/>
      <c r="H206" s="49"/>
      <c r="I206" s="49"/>
      <c r="J206" s="49"/>
      <c r="L206" s="34" t="s">
        <v>297</v>
      </c>
      <c r="M206" s="4" t="s">
        <v>275</v>
      </c>
      <c r="N206" s="1" t="s">
        <v>181</v>
      </c>
      <c r="O206" s="1" t="s">
        <v>189</v>
      </c>
      <c r="P206" s="1" t="s">
        <v>276</v>
      </c>
      <c r="Q206" s="1" t="s">
        <v>277</v>
      </c>
      <c r="R206" s="7" t="s">
        <v>278</v>
      </c>
      <c r="S206" s="8">
        <v>1000000</v>
      </c>
    </row>
    <row r="207" spans="1:19">
      <c r="A207" s="19"/>
      <c r="B207" s="48" t="str">
        <f>"Mã RM: "&amp;'[1]N-B'!B8</f>
        <v>Mã RM: 00738</v>
      </c>
      <c r="C207" s="49"/>
      <c r="D207" s="49"/>
      <c r="E207" s="49"/>
      <c r="F207" s="49" t="str">
        <f>"  Mã đơn vị: "&amp;'[1]N-B'!H8</f>
        <v xml:space="preserve">  Mã đơn vị: 110406</v>
      </c>
      <c r="G207" s="49"/>
      <c r="H207" s="49"/>
      <c r="I207" s="49"/>
      <c r="J207" s="49"/>
      <c r="L207" s="34" t="s">
        <v>298</v>
      </c>
      <c r="M207" s="4" t="s">
        <v>275</v>
      </c>
      <c r="N207" s="1" t="s">
        <v>181</v>
      </c>
      <c r="O207" s="1" t="s">
        <v>189</v>
      </c>
      <c r="P207" s="1" t="s">
        <v>276</v>
      </c>
      <c r="Q207" s="1" t="s">
        <v>277</v>
      </c>
      <c r="R207" s="7" t="s">
        <v>278</v>
      </c>
      <c r="S207" s="8">
        <v>1000000</v>
      </c>
    </row>
    <row r="208" spans="1:19">
      <c r="A208" s="19"/>
      <c r="B208" s="48" t="str">
        <f>"Số lượng TP: "&amp;'[1]N-B'!Y8&amp;" TP"</f>
        <v>Số lượng TP: 730 TP</v>
      </c>
      <c r="C208" s="49"/>
      <c r="D208" s="49"/>
      <c r="E208" s="49"/>
      <c r="F208" s="49" t="str">
        <f>"  Giá thực hiện: "&amp;TEXT('[1]N-B'!Z8,"##,#")&amp;" VNĐ/Trái phiếu"</f>
        <v xml:space="preserve">  Giá thực hiện: 1,096,885 VNĐ/Trái phiếu</v>
      </c>
      <c r="G208" s="49"/>
      <c r="H208" s="49"/>
      <c r="I208" s="49"/>
      <c r="J208" s="49"/>
      <c r="L208" s="34" t="s">
        <v>299</v>
      </c>
      <c r="M208" s="4" t="s">
        <v>275</v>
      </c>
      <c r="N208" s="1" t="s">
        <v>181</v>
      </c>
      <c r="O208" s="1" t="s">
        <v>193</v>
      </c>
      <c r="P208" s="1" t="s">
        <v>276</v>
      </c>
      <c r="Q208" s="1" t="s">
        <v>277</v>
      </c>
      <c r="R208" s="7" t="s">
        <v>278</v>
      </c>
      <c r="S208" s="8">
        <v>1000000</v>
      </c>
    </row>
    <row r="209" spans="1:19">
      <c r="A209" s="19"/>
      <c r="B209" s="48" t="str">
        <f>"Tổng mệnh giá: "&amp;TEXT('[1]N-B'!Y8*VLOOKUP('[1]N-B'!W8,'P-B'!$L$4:$S$310,8,0),"##,#")&amp;" VND"</f>
        <v>Tổng mệnh giá: 730,000,000 VND</v>
      </c>
      <c r="C209" s="49"/>
      <c r="D209" s="49"/>
      <c r="E209" s="49"/>
      <c r="F209" s="49" t="s">
        <v>67</v>
      </c>
      <c r="G209" s="49"/>
      <c r="H209" s="49"/>
      <c r="I209" s="49"/>
      <c r="J209" s="49"/>
      <c r="L209" s="34" t="s">
        <v>300</v>
      </c>
      <c r="M209" s="4" t="s">
        <v>275</v>
      </c>
      <c r="N209" s="1" t="s">
        <v>181</v>
      </c>
      <c r="O209" s="1" t="s">
        <v>193</v>
      </c>
      <c r="P209" s="1" t="s">
        <v>276</v>
      </c>
      <c r="Q209" s="1" t="s">
        <v>277</v>
      </c>
      <c r="R209" s="7" t="s">
        <v>278</v>
      </c>
      <c r="S209" s="8">
        <v>1000000</v>
      </c>
    </row>
    <row r="210" spans="1:19">
      <c r="A210" s="19"/>
      <c r="B210" s="48" t="str">
        <f>"Tổng giá trị giao dịch: "&amp;TEXT('[1]N-B'!AA8,"##,#")&amp;" VND"</f>
        <v>Tổng giá trị giao dịch: 800,726,050 VND</v>
      </c>
      <c r="C210" s="49"/>
      <c r="D210" s="49"/>
      <c r="E210" s="49"/>
      <c r="F210" s="49"/>
      <c r="G210" s="49"/>
      <c r="H210" s="49"/>
      <c r="I210" s="49"/>
      <c r="J210" s="49"/>
      <c r="L210" s="34" t="s">
        <v>301</v>
      </c>
      <c r="M210" s="4" t="s">
        <v>275</v>
      </c>
      <c r="N210" s="1" t="s">
        <v>181</v>
      </c>
      <c r="O210" s="1" t="s">
        <v>193</v>
      </c>
      <c r="P210" s="1" t="s">
        <v>276</v>
      </c>
      <c r="Q210" s="1" t="s">
        <v>277</v>
      </c>
      <c r="R210" s="7" t="s">
        <v>278</v>
      </c>
      <c r="S210" s="8">
        <v>1000000</v>
      </c>
    </row>
    <row r="211" spans="1:19">
      <c r="L211" s="34" t="s">
        <v>302</v>
      </c>
      <c r="M211" s="4" t="s">
        <v>275</v>
      </c>
      <c r="N211" s="1" t="s">
        <v>181</v>
      </c>
      <c r="O211" s="1" t="s">
        <v>197</v>
      </c>
      <c r="P211" s="1" t="s">
        <v>276</v>
      </c>
      <c r="Q211" s="1" t="s">
        <v>277</v>
      </c>
      <c r="R211" s="7" t="s">
        <v>278</v>
      </c>
      <c r="S211" s="8">
        <v>1000000</v>
      </c>
    </row>
    <row r="212" spans="1:19" ht="38.25" customHeight="1">
      <c r="F212" s="58" t="s">
        <v>74</v>
      </c>
      <c r="G212" s="46"/>
      <c r="H212" s="46"/>
      <c r="I212" s="46"/>
      <c r="J212" s="46"/>
      <c r="L212" s="34" t="s">
        <v>303</v>
      </c>
      <c r="M212" s="4" t="s">
        <v>275</v>
      </c>
      <c r="N212" s="1" t="s">
        <v>181</v>
      </c>
      <c r="O212" s="1" t="s">
        <v>197</v>
      </c>
      <c r="P212" s="1" t="s">
        <v>276</v>
      </c>
      <c r="Q212" s="1" t="s">
        <v>277</v>
      </c>
      <c r="R212" s="7" t="s">
        <v>278</v>
      </c>
      <c r="S212" s="8">
        <v>1000000</v>
      </c>
    </row>
    <row r="213" spans="1:19">
      <c r="L213" s="34" t="s">
        <v>304</v>
      </c>
      <c r="M213" s="4" t="s">
        <v>275</v>
      </c>
      <c r="N213" s="1" t="s">
        <v>181</v>
      </c>
      <c r="O213" s="1" t="s">
        <v>197</v>
      </c>
      <c r="P213" s="1" t="s">
        <v>276</v>
      </c>
      <c r="Q213" s="1" t="s">
        <v>277</v>
      </c>
      <c r="R213" s="7" t="s">
        <v>278</v>
      </c>
      <c r="S213" s="8">
        <v>1000000</v>
      </c>
    </row>
    <row r="214" spans="1:19">
      <c r="L214" s="34" t="s">
        <v>305</v>
      </c>
      <c r="M214" s="4" t="s">
        <v>275</v>
      </c>
      <c r="N214" s="1" t="s">
        <v>181</v>
      </c>
      <c r="O214" s="1" t="s">
        <v>201</v>
      </c>
      <c r="P214" s="1" t="s">
        <v>276</v>
      </c>
      <c r="Q214" s="1" t="s">
        <v>277</v>
      </c>
      <c r="R214" s="7" t="s">
        <v>278</v>
      </c>
      <c r="S214" s="8">
        <v>1000000</v>
      </c>
    </row>
    <row r="215" spans="1:19">
      <c r="L215" s="34" t="s">
        <v>306</v>
      </c>
      <c r="M215" s="4" t="s">
        <v>275</v>
      </c>
      <c r="N215" s="1" t="s">
        <v>181</v>
      </c>
      <c r="O215" s="1" t="s">
        <v>201</v>
      </c>
      <c r="P215" s="1" t="s">
        <v>276</v>
      </c>
      <c r="Q215" s="1" t="s">
        <v>277</v>
      </c>
      <c r="R215" s="7" t="s">
        <v>278</v>
      </c>
      <c r="S215" s="8">
        <v>1000000</v>
      </c>
    </row>
    <row r="216" spans="1:19">
      <c r="E216" s="1"/>
      <c r="F216" s="46" t="str">
        <f>F186</f>
        <v>Nguyễn Thế Dũng</v>
      </c>
      <c r="G216" s="46"/>
      <c r="H216" s="46"/>
      <c r="I216" s="46"/>
      <c r="J216" s="46"/>
      <c r="L216" s="34" t="s">
        <v>307</v>
      </c>
      <c r="M216" s="4" t="s">
        <v>275</v>
      </c>
      <c r="N216" s="1" t="s">
        <v>181</v>
      </c>
      <c r="O216" s="1" t="s">
        <v>201</v>
      </c>
      <c r="P216" s="1" t="s">
        <v>276</v>
      </c>
      <c r="Q216" s="1" t="s">
        <v>277</v>
      </c>
      <c r="R216" s="7" t="s">
        <v>278</v>
      </c>
      <c r="S216" s="8">
        <v>1000000</v>
      </c>
    </row>
    <row r="217" spans="1:19" ht="7.5" customHeight="1">
      <c r="L217" s="34" t="s">
        <v>308</v>
      </c>
      <c r="M217" s="4" t="s">
        <v>275</v>
      </c>
      <c r="N217" s="30" t="s">
        <v>181</v>
      </c>
      <c r="O217" s="1" t="s">
        <v>182</v>
      </c>
      <c r="P217" s="1" t="s">
        <v>276</v>
      </c>
      <c r="Q217" s="1" t="s">
        <v>277</v>
      </c>
      <c r="R217" s="7" t="s">
        <v>278</v>
      </c>
      <c r="S217" s="8">
        <v>1000000</v>
      </c>
    </row>
    <row r="218" spans="1:19">
      <c r="I218" s="44" t="s">
        <v>0</v>
      </c>
      <c r="J218" s="44"/>
      <c r="L218" s="34" t="s">
        <v>309</v>
      </c>
      <c r="M218" s="4" t="s">
        <v>275</v>
      </c>
      <c r="N218" s="1" t="s">
        <v>181</v>
      </c>
      <c r="O218" s="1" t="s">
        <v>182</v>
      </c>
      <c r="P218" s="1" t="s">
        <v>276</v>
      </c>
      <c r="Q218" s="1" t="s">
        <v>277</v>
      </c>
      <c r="R218" s="7" t="s">
        <v>278</v>
      </c>
      <c r="S218" s="8">
        <v>1000000</v>
      </c>
    </row>
    <row r="219" spans="1:19">
      <c r="E219" s="45" t="s">
        <v>2</v>
      </c>
      <c r="F219" s="45"/>
      <c r="G219" s="45"/>
      <c r="H219" s="45"/>
      <c r="I219" s="45"/>
      <c r="J219" s="45"/>
      <c r="L219" s="34" t="s">
        <v>310</v>
      </c>
      <c r="M219" s="4" t="s">
        <v>275</v>
      </c>
      <c r="N219" s="1" t="s">
        <v>181</v>
      </c>
      <c r="O219" s="1" t="s">
        <v>182</v>
      </c>
      <c r="P219" s="1" t="s">
        <v>276</v>
      </c>
      <c r="Q219" s="1" t="s">
        <v>277</v>
      </c>
      <c r="R219" s="7" t="s">
        <v>278</v>
      </c>
      <c r="S219" s="8">
        <v>1000000</v>
      </c>
    </row>
    <row r="220" spans="1:19">
      <c r="E220" s="45" t="s">
        <v>3</v>
      </c>
      <c r="F220" s="45"/>
      <c r="G220" s="45"/>
      <c r="H220" s="45"/>
      <c r="I220" s="45"/>
      <c r="J220" s="45"/>
      <c r="L220" s="34" t="s">
        <v>311</v>
      </c>
      <c r="M220" s="4" t="s">
        <v>275</v>
      </c>
      <c r="N220" s="1" t="s">
        <v>181</v>
      </c>
      <c r="O220" s="1" t="s">
        <v>189</v>
      </c>
      <c r="P220" s="1" t="s">
        <v>276</v>
      </c>
      <c r="Q220" s="1" t="s">
        <v>277</v>
      </c>
      <c r="R220" s="7" t="s">
        <v>278</v>
      </c>
      <c r="S220" s="8">
        <v>1000000</v>
      </c>
    </row>
    <row r="221" spans="1:19">
      <c r="E221" s="45"/>
      <c r="F221" s="45"/>
      <c r="G221" s="45"/>
      <c r="H221" s="45"/>
      <c r="I221" s="45"/>
      <c r="J221" s="45"/>
      <c r="L221" s="34" t="s">
        <v>312</v>
      </c>
      <c r="M221" s="4" t="s">
        <v>275</v>
      </c>
      <c r="N221" s="1" t="s">
        <v>181</v>
      </c>
      <c r="O221" s="1" t="s">
        <v>189</v>
      </c>
      <c r="P221" s="1" t="s">
        <v>276</v>
      </c>
      <c r="Q221" s="1" t="s">
        <v>277</v>
      </c>
      <c r="R221" s="7" t="s">
        <v>278</v>
      </c>
      <c r="S221" s="8">
        <v>1000000</v>
      </c>
    </row>
    <row r="222" spans="1:19">
      <c r="B222" s="46" t="s">
        <v>12</v>
      </c>
      <c r="C222" s="46"/>
      <c r="D222" s="46"/>
      <c r="L222" s="34" t="s">
        <v>313</v>
      </c>
      <c r="M222" s="4" t="s">
        <v>275</v>
      </c>
      <c r="N222" s="1" t="s">
        <v>181</v>
      </c>
      <c r="O222" s="1" t="s">
        <v>189</v>
      </c>
      <c r="P222" s="1" t="s">
        <v>276</v>
      </c>
      <c r="Q222" s="1" t="s">
        <v>277</v>
      </c>
      <c r="R222" s="7" t="s">
        <v>278</v>
      </c>
      <c r="S222" s="8">
        <v>1000000</v>
      </c>
    </row>
    <row r="223" spans="1:19" ht="25.5" customHeight="1">
      <c r="E223" s="47" t="str">
        <f ca="1">"SỐ: "&amp;TEXT($M$1,"DDMM")&amp;".8"&amp;"/"&amp;YEAR($M$1)&amp;"/KDTPBL"</f>
        <v>SỐ: 2401.8/2021/KDTPBL</v>
      </c>
      <c r="F223" s="47"/>
      <c r="G223" s="47"/>
      <c r="H223" s="47"/>
      <c r="I223" s="47"/>
      <c r="J223" s="47"/>
      <c r="L223" s="34" t="s">
        <v>314</v>
      </c>
      <c r="M223" s="4" t="s">
        <v>275</v>
      </c>
      <c r="N223" s="1" t="s">
        <v>181</v>
      </c>
      <c r="O223" s="1" t="s">
        <v>193</v>
      </c>
      <c r="P223" s="1" t="s">
        <v>276</v>
      </c>
      <c r="Q223" s="1" t="s">
        <v>277</v>
      </c>
      <c r="R223" s="7" t="s">
        <v>278</v>
      </c>
      <c r="S223" s="8">
        <v>1000000</v>
      </c>
    </row>
    <row r="224" spans="1:19" ht="49.5" customHeight="1">
      <c r="B224" s="50" t="s">
        <v>17</v>
      </c>
      <c r="C224" s="50"/>
      <c r="D224" s="50"/>
      <c r="E224" s="50"/>
      <c r="F224" s="50"/>
      <c r="G224" s="50"/>
      <c r="H224" s="50"/>
      <c r="I224" s="50"/>
      <c r="J224" s="50"/>
      <c r="L224" s="34" t="s">
        <v>315</v>
      </c>
      <c r="M224" s="4" t="s">
        <v>275</v>
      </c>
      <c r="N224" s="1" t="s">
        <v>181</v>
      </c>
      <c r="O224" s="1" t="s">
        <v>193</v>
      </c>
      <c r="P224" s="1" t="s">
        <v>276</v>
      </c>
      <c r="Q224" s="1" t="s">
        <v>277</v>
      </c>
      <c r="R224" s="7" t="s">
        <v>278</v>
      </c>
      <c r="S224" s="8">
        <v>1000000</v>
      </c>
    </row>
    <row r="225" spans="1:19">
      <c r="B225" s="1" t="s">
        <v>25</v>
      </c>
      <c r="F225" s="1" t="s">
        <v>26</v>
      </c>
      <c r="H225" s="1" t="s">
        <v>27</v>
      </c>
      <c r="L225" s="34" t="s">
        <v>316</v>
      </c>
      <c r="M225" s="4" t="s">
        <v>275</v>
      </c>
      <c r="N225" s="1" t="s">
        <v>181</v>
      </c>
      <c r="O225" s="1" t="s">
        <v>193</v>
      </c>
      <c r="P225" s="1" t="s">
        <v>276</v>
      </c>
      <c r="Q225" s="1" t="s">
        <v>277</v>
      </c>
      <c r="R225" s="7" t="s">
        <v>278</v>
      </c>
      <c r="S225" s="8">
        <v>1000000</v>
      </c>
    </row>
    <row r="226" spans="1:19">
      <c r="B226" s="1" t="s">
        <v>29</v>
      </c>
      <c r="D226" s="10" t="str">
        <f>'[1]N-B'!K9</f>
        <v>110100.01425.08922.9A5623.XTTB.2020.46A/HDTP-B/SHB.</v>
      </c>
      <c r="L226" s="34" t="s">
        <v>317</v>
      </c>
      <c r="M226" s="4" t="s">
        <v>275</v>
      </c>
      <c r="N226" s="1" t="s">
        <v>181</v>
      </c>
      <c r="O226" s="1" t="s">
        <v>197</v>
      </c>
      <c r="P226" s="1" t="s">
        <v>276</v>
      </c>
      <c r="Q226" s="1" t="s">
        <v>277</v>
      </c>
      <c r="R226" s="7" t="s">
        <v>278</v>
      </c>
      <c r="S226" s="8">
        <v>1000000</v>
      </c>
    </row>
    <row r="227" spans="1:19" ht="30" customHeight="1">
      <c r="A227" s="11" t="s">
        <v>31</v>
      </c>
      <c r="L227" s="34" t="s">
        <v>318</v>
      </c>
      <c r="M227" s="4" t="s">
        <v>275</v>
      </c>
      <c r="N227" s="1" t="s">
        <v>181</v>
      </c>
      <c r="O227" s="1" t="s">
        <v>197</v>
      </c>
      <c r="P227" s="1" t="s">
        <v>276</v>
      </c>
      <c r="Q227" s="1" t="s">
        <v>277</v>
      </c>
      <c r="R227" s="7" t="s">
        <v>278</v>
      </c>
      <c r="S227" s="8">
        <v>1000000</v>
      </c>
    </row>
    <row r="228" spans="1:19" ht="40" customHeight="1">
      <c r="A228" s="15"/>
      <c r="B228" s="51" t="str">
        <f>"Tổ chức phát hành: "&amp;VLOOKUP('[1]N-B'!W9,$L$4:$T$310,2,0)</f>
        <v>Tổ chức phát hành: Công ty cổ phần Xuân Thiện Thuận Bắc</v>
      </c>
      <c r="C228" s="51"/>
      <c r="D228" s="51"/>
      <c r="E228" s="51"/>
      <c r="F228" s="52"/>
      <c r="G228" s="53" t="str">
        <f>"    Mã TP: "&amp;'[1]N-B'!W9</f>
        <v xml:space="preserve">    Mã TP: XTTB.2020.46A</v>
      </c>
      <c r="H228" s="54"/>
      <c r="I228" s="54"/>
      <c r="J228" s="55"/>
      <c r="L228" s="34" t="s">
        <v>319</v>
      </c>
      <c r="M228" s="4" t="s">
        <v>275</v>
      </c>
      <c r="N228" s="1" t="s">
        <v>181</v>
      </c>
      <c r="O228" s="1" t="s">
        <v>197</v>
      </c>
      <c r="P228" s="1" t="s">
        <v>276</v>
      </c>
      <c r="Q228" s="1" t="s">
        <v>277</v>
      </c>
      <c r="R228" s="7" t="s">
        <v>278</v>
      </c>
      <c r="S228" s="8">
        <v>1000000</v>
      </c>
    </row>
    <row r="229" spans="1:19" ht="28.5" customHeight="1">
      <c r="A229" s="16"/>
      <c r="B229" s="56" t="str">
        <f>"Ngày phát hành: "&amp;VLOOKUP('[1]N-B'!W9,$L$4:$T$310,3,0)</f>
        <v>Ngày phát hành: 28/08/2020</v>
      </c>
      <c r="C229" s="56"/>
      <c r="D229" s="56"/>
      <c r="E229" s="56"/>
      <c r="F229" s="48"/>
      <c r="G229" s="57" t="str">
        <f>"    Ngày đáo hạn: "&amp;VLOOKUP('[1]N-B'!W9,$L$4:$T$310,4,0)</f>
        <v xml:space="preserve">    Ngày đáo hạn: 28/08/2024</v>
      </c>
      <c r="H229" s="57"/>
      <c r="I229" s="57"/>
      <c r="J229" s="57"/>
      <c r="L229" s="34" t="s">
        <v>320</v>
      </c>
      <c r="M229" s="4" t="s">
        <v>275</v>
      </c>
      <c r="N229" s="1" t="s">
        <v>181</v>
      </c>
      <c r="O229" s="1" t="s">
        <v>201</v>
      </c>
      <c r="P229" s="1" t="s">
        <v>276</v>
      </c>
      <c r="Q229" s="1" t="s">
        <v>277</v>
      </c>
      <c r="R229" s="7" t="s">
        <v>278</v>
      </c>
      <c r="S229" s="8">
        <v>1000000</v>
      </c>
    </row>
    <row r="230" spans="1:19" ht="62.5" customHeight="1">
      <c r="A230" s="15"/>
      <c r="B230" s="51" t="str">
        <f>"Coupon: Lãi suất cho kỳ tính lãi đầu tiên là "&amp;VLOOKUP('[1]N-B'!W9,$L$4:$T$310,5,0)&amp;". Lãi suất cho các kỳ tính lãi tiếp theo bằng lãi suất thRM chiếu cộng (+) biên độ "&amp;VLOOKUP('[1]N-B'!W9,$L$4:$T$310,6,0)</f>
        <v>Coupon: Lãi suất cho kỳ tính lãi đầu tiên là 10,00%/năm. Lãi suất cho các kỳ tính lãi tiếp theo bằng lãi suất thRM chiếu cộng (+) biên độ 2,0%/năm</v>
      </c>
      <c r="C230" s="51"/>
      <c r="D230" s="51"/>
      <c r="E230" s="51"/>
      <c r="F230" s="52"/>
      <c r="G230" s="57" t="s">
        <v>41</v>
      </c>
      <c r="H230" s="57"/>
      <c r="I230" s="57"/>
      <c r="J230" s="57"/>
      <c r="L230" s="34" t="s">
        <v>321</v>
      </c>
      <c r="M230" s="4" t="s">
        <v>275</v>
      </c>
      <c r="N230" s="1" t="s">
        <v>181</v>
      </c>
      <c r="O230" s="1" t="s">
        <v>201</v>
      </c>
      <c r="P230" s="1" t="s">
        <v>276</v>
      </c>
      <c r="Q230" s="1" t="s">
        <v>277</v>
      </c>
      <c r="R230" s="7" t="s">
        <v>278</v>
      </c>
      <c r="S230" s="8">
        <v>1000000</v>
      </c>
    </row>
    <row r="231" spans="1:19">
      <c r="L231" s="34" t="s">
        <v>322</v>
      </c>
      <c r="M231" s="4" t="s">
        <v>275</v>
      </c>
      <c r="N231" s="1" t="s">
        <v>181</v>
      </c>
      <c r="O231" s="1" t="s">
        <v>201</v>
      </c>
      <c r="P231" s="1" t="s">
        <v>276</v>
      </c>
      <c r="Q231" s="1" t="s">
        <v>277</v>
      </c>
      <c r="R231" s="7" t="s">
        <v>278</v>
      </c>
      <c r="S231" s="8">
        <v>1000000</v>
      </c>
    </row>
    <row r="232" spans="1:19">
      <c r="A232" s="11" t="s">
        <v>47</v>
      </c>
      <c r="L232" s="34" t="s">
        <v>323</v>
      </c>
      <c r="M232" s="4" t="s">
        <v>275</v>
      </c>
      <c r="N232" s="30" t="s">
        <v>181</v>
      </c>
      <c r="O232" s="1" t="s">
        <v>182</v>
      </c>
      <c r="P232" s="1" t="s">
        <v>276</v>
      </c>
      <c r="Q232" s="1" t="s">
        <v>277</v>
      </c>
      <c r="R232" s="7" t="s">
        <v>278</v>
      </c>
      <c r="S232" s="8">
        <v>1000000</v>
      </c>
    </row>
    <row r="233" spans="1:19">
      <c r="B233" s="1" t="str">
        <f>"Số quyết định: "&amp;VLOOKUP('[1]N-B'!W9,$L$4:$T$310,7,0)</f>
        <v>Số quyết định: 2809/2020/QĐ-TGĐ ngày 16/10/2020</v>
      </c>
      <c r="L233" s="34" t="s">
        <v>324</v>
      </c>
      <c r="M233" s="4" t="s">
        <v>275</v>
      </c>
      <c r="N233" s="1" t="s">
        <v>181</v>
      </c>
      <c r="O233" s="1" t="s">
        <v>182</v>
      </c>
      <c r="P233" s="1" t="s">
        <v>276</v>
      </c>
      <c r="Q233" s="1" t="s">
        <v>277</v>
      </c>
      <c r="R233" s="7" t="s">
        <v>278</v>
      </c>
      <c r="S233" s="8">
        <v>1000000</v>
      </c>
    </row>
    <row r="234" spans="1:19">
      <c r="A234" s="19"/>
      <c r="B234" s="48" t="str">
        <f>"Đối tác giao dịch: "&amp;'[1]N-B'!L9</f>
        <v>Đối tác giao dịch: Bùi Thị Kim Quyên</v>
      </c>
      <c r="C234" s="49"/>
      <c r="D234" s="49"/>
      <c r="E234" s="49"/>
      <c r="F234" s="49"/>
      <c r="G234" s="49"/>
      <c r="H234" s="49"/>
      <c r="I234" s="49"/>
      <c r="J234" s="49"/>
      <c r="L234" s="34" t="s">
        <v>325</v>
      </c>
      <c r="M234" s="4" t="s">
        <v>275</v>
      </c>
      <c r="N234" s="1" t="s">
        <v>181</v>
      </c>
      <c r="O234" s="1" t="s">
        <v>182</v>
      </c>
      <c r="P234" s="1" t="s">
        <v>276</v>
      </c>
      <c r="Q234" s="1" t="s">
        <v>277</v>
      </c>
      <c r="R234" s="7" t="s">
        <v>278</v>
      </c>
      <c r="S234" s="8">
        <v>1000000</v>
      </c>
    </row>
    <row r="235" spans="1:19">
      <c r="A235" s="19"/>
      <c r="B235" s="48" t="str">
        <f>"Hợp đồng số: "&amp;'[1]N-B'!K9</f>
        <v>Hợp đồng số: 110100.01425.08922.9A5623.XTTB.2020.46A/HDTP-B/SHB.</v>
      </c>
      <c r="C235" s="49"/>
      <c r="D235" s="49"/>
      <c r="E235" s="49"/>
      <c r="F235" s="49"/>
      <c r="G235" s="49"/>
      <c r="H235" s="49"/>
      <c r="I235" s="49"/>
      <c r="J235" s="49"/>
      <c r="L235" s="34" t="s">
        <v>326</v>
      </c>
      <c r="M235" s="4" t="s">
        <v>275</v>
      </c>
      <c r="N235" s="1" t="s">
        <v>181</v>
      </c>
      <c r="O235" s="1" t="s">
        <v>189</v>
      </c>
      <c r="P235" s="1" t="s">
        <v>276</v>
      </c>
      <c r="Q235" s="1" t="s">
        <v>277</v>
      </c>
      <c r="R235" s="7" t="s">
        <v>278</v>
      </c>
      <c r="S235" s="8">
        <v>1000000</v>
      </c>
    </row>
    <row r="236" spans="1:19">
      <c r="A236" s="19"/>
      <c r="B236" s="48" t="str">
        <f ca="1">"Ngày giao dịch: "&amp;TEXT($M$1,"dd/mm/yyyy")</f>
        <v>Ngày giao dịch: 24/01/2021</v>
      </c>
      <c r="C236" s="49"/>
      <c r="D236" s="49"/>
      <c r="E236" s="49"/>
      <c r="F236" s="49"/>
      <c r="G236" s="49"/>
      <c r="H236" s="49"/>
      <c r="I236" s="49"/>
      <c r="J236" s="49"/>
      <c r="L236" s="34" t="s">
        <v>327</v>
      </c>
      <c r="M236" s="4" t="s">
        <v>275</v>
      </c>
      <c r="N236" s="1" t="s">
        <v>181</v>
      </c>
      <c r="O236" s="1" t="s">
        <v>189</v>
      </c>
      <c r="P236" s="1" t="s">
        <v>276</v>
      </c>
      <c r="Q236" s="1" t="s">
        <v>277</v>
      </c>
      <c r="R236" s="7" t="s">
        <v>278</v>
      </c>
      <c r="S236" s="8">
        <v>1000000</v>
      </c>
    </row>
    <row r="237" spans="1:19">
      <c r="A237" s="19"/>
      <c r="B237" s="48" t="str">
        <f ca="1">"Ngày thanh toán: "&amp;TEXT($M$1,"dd/mm/yyyy")</f>
        <v>Ngày thanh toán: 24/01/2021</v>
      </c>
      <c r="C237" s="49"/>
      <c r="D237" s="49"/>
      <c r="E237" s="49"/>
      <c r="F237" s="49" t="str">
        <f>"  CIF KH: "&amp;'[1]N-B'!P9</f>
        <v xml:space="preserve">  CIF KH: '0300048373</v>
      </c>
      <c r="G237" s="49"/>
      <c r="H237" s="49"/>
      <c r="I237" s="49"/>
      <c r="J237" s="49"/>
      <c r="L237" s="34" t="s">
        <v>328</v>
      </c>
      <c r="M237" s="4" t="s">
        <v>275</v>
      </c>
      <c r="N237" s="1" t="s">
        <v>181</v>
      </c>
      <c r="O237" s="1" t="s">
        <v>189</v>
      </c>
      <c r="P237" s="1" t="s">
        <v>276</v>
      </c>
      <c r="Q237" s="1" t="s">
        <v>277</v>
      </c>
      <c r="R237" s="7" t="s">
        <v>278</v>
      </c>
      <c r="S237" s="8">
        <v>1000000</v>
      </c>
    </row>
    <row r="238" spans="1:19">
      <c r="A238" s="19"/>
      <c r="B238" s="48" t="str">
        <f>"Mã RM: "&amp;'[1]N-B'!B9</f>
        <v>Mã RM: 08922</v>
      </c>
      <c r="C238" s="49"/>
      <c r="D238" s="49"/>
      <c r="E238" s="49"/>
      <c r="F238" s="49" t="str">
        <f>"  Mã đơn vị: "&amp;'[1]N-B'!H9</f>
        <v xml:space="preserve">  Mã đơn vị: 110100</v>
      </c>
      <c r="G238" s="49"/>
      <c r="H238" s="49"/>
      <c r="I238" s="49"/>
      <c r="J238" s="49"/>
      <c r="L238" s="34" t="s">
        <v>329</v>
      </c>
      <c r="M238" s="4" t="s">
        <v>275</v>
      </c>
      <c r="N238" s="1" t="s">
        <v>181</v>
      </c>
      <c r="O238" s="1" t="s">
        <v>193</v>
      </c>
      <c r="P238" s="1" t="s">
        <v>276</v>
      </c>
      <c r="Q238" s="1" t="s">
        <v>277</v>
      </c>
      <c r="R238" s="7" t="s">
        <v>278</v>
      </c>
      <c r="S238" s="8">
        <v>1000000</v>
      </c>
    </row>
    <row r="239" spans="1:19">
      <c r="A239" s="19"/>
      <c r="B239" s="48" t="str">
        <f>"Số lượng TP: "&amp;'[1]N-B'!Y9&amp;" TP"</f>
        <v>Số lượng TP: 1020 TP</v>
      </c>
      <c r="C239" s="49"/>
      <c r="D239" s="49"/>
      <c r="E239" s="49"/>
      <c r="F239" s="49" t="str">
        <f>"  Giá thực hiện: "&amp;TEXT('[1]N-B'!Z9,"##,#")&amp;" VNĐ/Trái phiếu"</f>
        <v xml:space="preserve">  Giá thực hiện: 1,085,832 VNĐ/Trái phiếu</v>
      </c>
      <c r="G239" s="49"/>
      <c r="H239" s="49"/>
      <c r="I239" s="49"/>
      <c r="J239" s="49"/>
      <c r="L239" s="34" t="s">
        <v>330</v>
      </c>
      <c r="M239" s="4" t="s">
        <v>275</v>
      </c>
      <c r="N239" s="1" t="s">
        <v>181</v>
      </c>
      <c r="O239" s="1" t="s">
        <v>193</v>
      </c>
      <c r="P239" s="1" t="s">
        <v>276</v>
      </c>
      <c r="Q239" s="1" t="s">
        <v>277</v>
      </c>
      <c r="R239" s="7" t="s">
        <v>278</v>
      </c>
      <c r="S239" s="8">
        <v>1000000</v>
      </c>
    </row>
    <row r="240" spans="1:19">
      <c r="A240" s="19"/>
      <c r="B240" s="48" t="str">
        <f>"Tổng mệnh giá: "&amp;TEXT('[1]N-B'!Y9*VLOOKUP('[1]N-B'!W9,'P-B'!$L$4:$S$310,8,0),"##,#")&amp;" VND"</f>
        <v>Tổng mệnh giá: 1,020,000,000 VND</v>
      </c>
      <c r="C240" s="49"/>
      <c r="D240" s="49"/>
      <c r="E240" s="49"/>
      <c r="F240" s="49" t="s">
        <v>67</v>
      </c>
      <c r="G240" s="49"/>
      <c r="H240" s="49"/>
      <c r="I240" s="49"/>
      <c r="J240" s="49"/>
      <c r="L240" s="34" t="s">
        <v>331</v>
      </c>
      <c r="M240" s="4" t="s">
        <v>275</v>
      </c>
      <c r="N240" s="1" t="s">
        <v>181</v>
      </c>
      <c r="O240" s="1" t="s">
        <v>193</v>
      </c>
      <c r="P240" s="1" t="s">
        <v>276</v>
      </c>
      <c r="Q240" s="1" t="s">
        <v>277</v>
      </c>
      <c r="R240" s="7" t="s">
        <v>278</v>
      </c>
      <c r="S240" s="8">
        <v>1000000</v>
      </c>
    </row>
    <row r="241" spans="1:19">
      <c r="A241" s="19"/>
      <c r="B241" s="48" t="str">
        <f>"Tổng giá trị giao dịch: "&amp;TEXT('[1]N-B'!AA9,"##,#")&amp;" VND"</f>
        <v>Tổng giá trị giao dịch: 1,107,548,640 VND</v>
      </c>
      <c r="C241" s="49"/>
      <c r="D241" s="49"/>
      <c r="E241" s="49"/>
      <c r="F241" s="49"/>
      <c r="G241" s="49"/>
      <c r="H241" s="49"/>
      <c r="I241" s="49"/>
      <c r="J241" s="49"/>
      <c r="L241" s="34" t="s">
        <v>332</v>
      </c>
      <c r="M241" s="4" t="s">
        <v>275</v>
      </c>
      <c r="N241" s="1" t="s">
        <v>181</v>
      </c>
      <c r="O241" s="1" t="s">
        <v>197</v>
      </c>
      <c r="P241" s="1" t="s">
        <v>276</v>
      </c>
      <c r="Q241" s="1" t="s">
        <v>277</v>
      </c>
      <c r="R241" s="7" t="s">
        <v>278</v>
      </c>
      <c r="S241" s="8">
        <v>1000000</v>
      </c>
    </row>
    <row r="242" spans="1:19">
      <c r="L242" s="34" t="s">
        <v>333</v>
      </c>
      <c r="M242" s="4" t="s">
        <v>275</v>
      </c>
      <c r="N242" s="1" t="s">
        <v>181</v>
      </c>
      <c r="O242" s="1" t="s">
        <v>197</v>
      </c>
      <c r="P242" s="1" t="s">
        <v>276</v>
      </c>
      <c r="Q242" s="1" t="s">
        <v>277</v>
      </c>
      <c r="R242" s="7" t="s">
        <v>278</v>
      </c>
      <c r="S242" s="8">
        <v>1000000</v>
      </c>
    </row>
    <row r="243" spans="1:19" ht="38.25" customHeight="1">
      <c r="F243" s="58" t="s">
        <v>74</v>
      </c>
      <c r="G243" s="46"/>
      <c r="H243" s="46"/>
      <c r="I243" s="46"/>
      <c r="J243" s="46"/>
      <c r="L243" s="34" t="s">
        <v>334</v>
      </c>
      <c r="M243" s="4" t="s">
        <v>275</v>
      </c>
      <c r="N243" s="1" t="s">
        <v>181</v>
      </c>
      <c r="O243" s="1" t="s">
        <v>197</v>
      </c>
      <c r="P243" s="1" t="s">
        <v>276</v>
      </c>
      <c r="Q243" s="1" t="s">
        <v>277</v>
      </c>
      <c r="R243" s="7" t="s">
        <v>278</v>
      </c>
      <c r="S243" s="8">
        <v>1000000</v>
      </c>
    </row>
    <row r="244" spans="1:19">
      <c r="L244" s="34" t="s">
        <v>335</v>
      </c>
      <c r="M244" s="4" t="s">
        <v>275</v>
      </c>
      <c r="N244" s="1" t="s">
        <v>181</v>
      </c>
      <c r="O244" s="1" t="s">
        <v>201</v>
      </c>
      <c r="P244" s="1" t="s">
        <v>276</v>
      </c>
      <c r="Q244" s="1" t="s">
        <v>277</v>
      </c>
      <c r="R244" s="7" t="s">
        <v>278</v>
      </c>
      <c r="S244" s="8">
        <v>1000000</v>
      </c>
    </row>
    <row r="245" spans="1:19" hidden="1">
      <c r="L245" s="34" t="s">
        <v>336</v>
      </c>
      <c r="M245" s="4" t="s">
        <v>275</v>
      </c>
      <c r="N245" s="1" t="s">
        <v>181</v>
      </c>
      <c r="O245" s="1" t="s">
        <v>201</v>
      </c>
      <c r="P245" s="1" t="s">
        <v>276</v>
      </c>
      <c r="Q245" s="1" t="s">
        <v>277</v>
      </c>
      <c r="R245" s="7" t="s">
        <v>278</v>
      </c>
      <c r="S245" s="8">
        <v>1000000</v>
      </c>
    </row>
    <row r="246" spans="1:19">
      <c r="L246" s="34" t="s">
        <v>337</v>
      </c>
      <c r="M246" s="4" t="s">
        <v>275</v>
      </c>
      <c r="N246" s="1" t="s">
        <v>181</v>
      </c>
      <c r="O246" s="1" t="s">
        <v>201</v>
      </c>
      <c r="P246" s="1" t="s">
        <v>276</v>
      </c>
      <c r="Q246" s="1" t="s">
        <v>277</v>
      </c>
      <c r="R246" s="7" t="s">
        <v>278</v>
      </c>
      <c r="S246" s="8">
        <v>1000000</v>
      </c>
    </row>
    <row r="247" spans="1:19">
      <c r="E247" s="1"/>
      <c r="F247" s="46" t="str">
        <f>F216</f>
        <v>Nguyễn Thế Dũng</v>
      </c>
      <c r="G247" s="46"/>
      <c r="H247" s="46"/>
      <c r="I247" s="46"/>
      <c r="J247" s="46"/>
      <c r="L247" s="29" t="s">
        <v>338</v>
      </c>
      <c r="M247" s="4" t="s">
        <v>339</v>
      </c>
      <c r="N247" s="30" t="s">
        <v>181</v>
      </c>
      <c r="O247" s="1" t="s">
        <v>182</v>
      </c>
      <c r="P247" s="1" t="s">
        <v>183</v>
      </c>
      <c r="Q247" s="1" t="s">
        <v>340</v>
      </c>
      <c r="R247" s="7" t="s">
        <v>341</v>
      </c>
      <c r="S247" s="8">
        <v>1000000</v>
      </c>
    </row>
    <row r="248" spans="1:19" ht="14.25" customHeight="1">
      <c r="E248" s="1"/>
      <c r="F248" s="21"/>
      <c r="G248" s="21"/>
      <c r="H248" s="21"/>
      <c r="I248" s="21"/>
      <c r="J248" s="21"/>
      <c r="L248" s="29" t="s">
        <v>342</v>
      </c>
      <c r="M248" s="4" t="s">
        <v>339</v>
      </c>
      <c r="N248" s="1" t="s">
        <v>181</v>
      </c>
      <c r="O248" s="1" t="s">
        <v>182</v>
      </c>
      <c r="P248" s="1" t="s">
        <v>183</v>
      </c>
      <c r="Q248" s="1" t="s">
        <v>340</v>
      </c>
      <c r="R248" s="7" t="s">
        <v>341</v>
      </c>
      <c r="S248" s="8">
        <v>1000000</v>
      </c>
    </row>
    <row r="249" spans="1:19">
      <c r="I249" s="44" t="s">
        <v>0</v>
      </c>
      <c r="J249" s="44"/>
      <c r="L249" s="29" t="s">
        <v>343</v>
      </c>
      <c r="M249" s="4" t="s">
        <v>339</v>
      </c>
      <c r="N249" s="1" t="s">
        <v>181</v>
      </c>
      <c r="O249" s="1" t="s">
        <v>182</v>
      </c>
      <c r="P249" s="1" t="s">
        <v>183</v>
      </c>
      <c r="Q249" s="1" t="s">
        <v>340</v>
      </c>
      <c r="R249" s="7" t="s">
        <v>341</v>
      </c>
      <c r="S249" s="8">
        <v>1000000</v>
      </c>
    </row>
    <row r="250" spans="1:19">
      <c r="E250" s="45" t="s">
        <v>2</v>
      </c>
      <c r="F250" s="45"/>
      <c r="G250" s="45"/>
      <c r="H250" s="45"/>
      <c r="I250" s="45"/>
      <c r="J250" s="45"/>
      <c r="L250" s="29" t="s">
        <v>344</v>
      </c>
      <c r="M250" s="4" t="s">
        <v>339</v>
      </c>
      <c r="N250" s="1" t="s">
        <v>181</v>
      </c>
      <c r="O250" s="1" t="s">
        <v>189</v>
      </c>
      <c r="P250" s="1" t="s">
        <v>183</v>
      </c>
      <c r="Q250" s="1" t="s">
        <v>340</v>
      </c>
      <c r="R250" s="7" t="s">
        <v>341</v>
      </c>
      <c r="S250" s="8">
        <v>1000000</v>
      </c>
    </row>
    <row r="251" spans="1:19">
      <c r="E251" s="45" t="s">
        <v>3</v>
      </c>
      <c r="F251" s="45"/>
      <c r="G251" s="45"/>
      <c r="H251" s="45"/>
      <c r="I251" s="45"/>
      <c r="J251" s="45"/>
      <c r="L251" s="29" t="s">
        <v>345</v>
      </c>
      <c r="M251" s="4" t="s">
        <v>339</v>
      </c>
      <c r="N251" s="1" t="s">
        <v>181</v>
      </c>
      <c r="O251" s="1" t="s">
        <v>189</v>
      </c>
      <c r="P251" s="1" t="s">
        <v>183</v>
      </c>
      <c r="Q251" s="1" t="s">
        <v>340</v>
      </c>
      <c r="R251" s="7" t="s">
        <v>341</v>
      </c>
      <c r="S251" s="8">
        <v>1000000</v>
      </c>
    </row>
    <row r="252" spans="1:19">
      <c r="E252" s="45"/>
      <c r="F252" s="45"/>
      <c r="G252" s="45"/>
      <c r="H252" s="45"/>
      <c r="I252" s="45"/>
      <c r="J252" s="45"/>
      <c r="L252" s="29" t="s">
        <v>346</v>
      </c>
      <c r="M252" s="4" t="s">
        <v>339</v>
      </c>
      <c r="N252" s="1" t="s">
        <v>181</v>
      </c>
      <c r="O252" s="1" t="s">
        <v>189</v>
      </c>
      <c r="P252" s="1" t="s">
        <v>183</v>
      </c>
      <c r="Q252" s="1" t="s">
        <v>340</v>
      </c>
      <c r="R252" s="7" t="s">
        <v>341</v>
      </c>
      <c r="S252" s="8">
        <v>1000000</v>
      </c>
    </row>
    <row r="253" spans="1:19">
      <c r="B253" s="46" t="s">
        <v>12</v>
      </c>
      <c r="C253" s="46"/>
      <c r="D253" s="46"/>
      <c r="L253" s="29" t="s">
        <v>347</v>
      </c>
      <c r="M253" s="4" t="s">
        <v>339</v>
      </c>
      <c r="N253" s="1" t="s">
        <v>181</v>
      </c>
      <c r="O253" s="1" t="s">
        <v>193</v>
      </c>
      <c r="P253" s="1" t="s">
        <v>183</v>
      </c>
      <c r="Q253" s="1" t="s">
        <v>340</v>
      </c>
      <c r="R253" s="7" t="s">
        <v>341</v>
      </c>
      <c r="S253" s="8">
        <v>1000000</v>
      </c>
    </row>
    <row r="254" spans="1:19" ht="25.5" customHeight="1">
      <c r="E254" s="47" t="str">
        <f ca="1">"SỐ: "&amp;TEXT($M$1,"DDMM")&amp;".09/"&amp;YEAR($M$1)&amp;"/KDTPBL"</f>
        <v>SỐ: 2401.09/2021/KDTPBL</v>
      </c>
      <c r="F254" s="47"/>
      <c r="G254" s="47"/>
      <c r="H254" s="47"/>
      <c r="I254" s="47"/>
      <c r="J254" s="47"/>
      <c r="L254" s="29" t="s">
        <v>348</v>
      </c>
      <c r="M254" s="4" t="s">
        <v>339</v>
      </c>
      <c r="N254" s="1" t="s">
        <v>181</v>
      </c>
      <c r="O254" s="1" t="s">
        <v>193</v>
      </c>
      <c r="P254" s="1" t="s">
        <v>183</v>
      </c>
      <c r="Q254" s="1" t="s">
        <v>340</v>
      </c>
      <c r="R254" s="7" t="s">
        <v>341</v>
      </c>
      <c r="S254" s="8">
        <v>1000000</v>
      </c>
    </row>
    <row r="255" spans="1:19" ht="49.5" customHeight="1">
      <c r="B255" s="50" t="s">
        <v>17</v>
      </c>
      <c r="C255" s="50"/>
      <c r="D255" s="50"/>
      <c r="E255" s="50"/>
      <c r="F255" s="50"/>
      <c r="G255" s="50"/>
      <c r="H255" s="50"/>
      <c r="I255" s="50"/>
      <c r="J255" s="50"/>
      <c r="L255" s="29" t="s">
        <v>349</v>
      </c>
      <c r="M255" s="4" t="s">
        <v>339</v>
      </c>
      <c r="N255" s="1" t="s">
        <v>181</v>
      </c>
      <c r="O255" s="1" t="s">
        <v>193</v>
      </c>
      <c r="P255" s="1" t="s">
        <v>183</v>
      </c>
      <c r="Q255" s="1" t="s">
        <v>340</v>
      </c>
      <c r="R255" s="7" t="s">
        <v>341</v>
      </c>
      <c r="S255" s="8">
        <v>1000000</v>
      </c>
    </row>
    <row r="256" spans="1:19">
      <c r="B256" s="1" t="s">
        <v>25</v>
      </c>
      <c r="F256" s="1" t="s">
        <v>26</v>
      </c>
      <c r="H256" s="1" t="s">
        <v>27</v>
      </c>
      <c r="L256" s="29" t="s">
        <v>350</v>
      </c>
      <c r="M256" s="4" t="s">
        <v>339</v>
      </c>
      <c r="N256" s="1" t="s">
        <v>181</v>
      </c>
      <c r="O256" s="1" t="s">
        <v>205</v>
      </c>
      <c r="P256" s="1" t="s">
        <v>183</v>
      </c>
      <c r="Q256" s="1" t="s">
        <v>340</v>
      </c>
      <c r="R256" s="7" t="s">
        <v>341</v>
      </c>
      <c r="S256" s="8">
        <v>1000000</v>
      </c>
    </row>
    <row r="257" spans="1:19">
      <c r="B257" s="1" t="s">
        <v>29</v>
      </c>
      <c r="D257" s="10" t="str">
        <f>'[1]N-B'!K10</f>
        <v>111903.05484.S10285.BE8E7C.XTTB.2020.36A/HDTP-B/SHB.</v>
      </c>
      <c r="L257" s="29" t="s">
        <v>351</v>
      </c>
      <c r="M257" s="4" t="s">
        <v>339</v>
      </c>
      <c r="N257" s="1" t="s">
        <v>181</v>
      </c>
      <c r="O257" s="1" t="s">
        <v>205</v>
      </c>
      <c r="P257" s="1" t="s">
        <v>183</v>
      </c>
      <c r="Q257" s="1" t="s">
        <v>340</v>
      </c>
      <c r="R257" s="7" t="s">
        <v>341</v>
      </c>
      <c r="S257" s="8">
        <v>1000000</v>
      </c>
    </row>
    <row r="258" spans="1:19" ht="30" customHeight="1">
      <c r="A258" s="11" t="s">
        <v>31</v>
      </c>
      <c r="L258" s="29" t="s">
        <v>352</v>
      </c>
      <c r="M258" s="4" t="s">
        <v>339</v>
      </c>
      <c r="N258" s="1" t="s">
        <v>181</v>
      </c>
      <c r="O258" s="1" t="s">
        <v>205</v>
      </c>
      <c r="P258" s="1" t="s">
        <v>183</v>
      </c>
      <c r="Q258" s="1" t="s">
        <v>340</v>
      </c>
      <c r="R258" s="7" t="s">
        <v>341</v>
      </c>
      <c r="S258" s="8">
        <v>1000000</v>
      </c>
    </row>
    <row r="259" spans="1:19" ht="40" customHeight="1">
      <c r="A259" s="15"/>
      <c r="B259" s="51" t="str">
        <f>"Tổ chức phát hành: "&amp;VLOOKUP('[1]N-B'!W10,$L$4:$T$310,2,0)</f>
        <v>Tổ chức phát hành: Công ty cổ phần Xuân Thiện Thuận Bắc</v>
      </c>
      <c r="C259" s="51"/>
      <c r="D259" s="51"/>
      <c r="E259" s="51"/>
      <c r="F259" s="52"/>
      <c r="G259" s="53" t="str">
        <f>"    Mã TP: "&amp;'[1]N-B'!W10</f>
        <v xml:space="preserve">    Mã TP: XTTB.2020.36A</v>
      </c>
      <c r="H259" s="54"/>
      <c r="I259" s="54"/>
      <c r="J259" s="55"/>
      <c r="L259" s="29" t="s">
        <v>353</v>
      </c>
      <c r="M259" s="4" t="s">
        <v>339</v>
      </c>
      <c r="N259" s="1" t="s">
        <v>181</v>
      </c>
      <c r="O259" s="1" t="s">
        <v>209</v>
      </c>
      <c r="P259" s="1" t="s">
        <v>183</v>
      </c>
      <c r="Q259" s="1" t="s">
        <v>340</v>
      </c>
      <c r="R259" s="7" t="s">
        <v>341</v>
      </c>
      <c r="S259" s="8">
        <v>1000000</v>
      </c>
    </row>
    <row r="260" spans="1:19" ht="28.5" customHeight="1">
      <c r="A260" s="16"/>
      <c r="B260" s="56" t="str">
        <f>"Ngày phát hành: "&amp;VLOOKUP('[1]N-B'!W10,$L$4:$T$310,3,0)</f>
        <v>Ngày phát hành: 28/08/2020</v>
      </c>
      <c r="C260" s="56"/>
      <c r="D260" s="56"/>
      <c r="E260" s="56"/>
      <c r="F260" s="48"/>
      <c r="G260" s="57" t="str">
        <f>"    Ngày đáo hạn: "&amp;VLOOKUP('[1]N-B'!W10,$L$4:$T$310,4,0)</f>
        <v xml:space="preserve">    Ngày đáo hạn: 28/08/2023</v>
      </c>
      <c r="H260" s="57"/>
      <c r="I260" s="57"/>
      <c r="J260" s="57"/>
      <c r="L260" s="29" t="s">
        <v>354</v>
      </c>
      <c r="M260" s="4" t="s">
        <v>339</v>
      </c>
      <c r="N260" s="1" t="s">
        <v>181</v>
      </c>
      <c r="O260" s="1" t="s">
        <v>209</v>
      </c>
      <c r="P260" s="1" t="s">
        <v>183</v>
      </c>
      <c r="Q260" s="1" t="s">
        <v>340</v>
      </c>
      <c r="R260" s="7" t="s">
        <v>341</v>
      </c>
      <c r="S260" s="8">
        <v>1000000</v>
      </c>
    </row>
    <row r="261" spans="1:19" ht="62.5" customHeight="1">
      <c r="A261" s="15"/>
      <c r="B261" s="51" t="str">
        <f>"Coupon: Lãi suất cho kỳ tính lãi đầu tiên là "&amp;VLOOKUP('[1]N-B'!W10,$L$4:$T$310,5,0)&amp;". Lãi suất cho các kỳ tính lãi tiếp theo bằng lãi suất thRM chiếu cộng (+) biên độ "&amp;VLOOKUP('[1]N-B'!W10,$L$4:$T$310,6,0)</f>
        <v>Coupon: Lãi suất cho kỳ tính lãi đầu tiên là 10,00%/năm. Lãi suất cho các kỳ tính lãi tiếp theo bằng lãi suất thRM chiếu cộng (+) biên độ 2,0%/năm</v>
      </c>
      <c r="C261" s="51"/>
      <c r="D261" s="51"/>
      <c r="E261" s="51"/>
      <c r="F261" s="52"/>
      <c r="G261" s="57" t="s">
        <v>41</v>
      </c>
      <c r="H261" s="57"/>
      <c r="I261" s="57"/>
      <c r="J261" s="57"/>
      <c r="L261" s="29" t="s">
        <v>355</v>
      </c>
      <c r="M261" s="4" t="s">
        <v>339</v>
      </c>
      <c r="N261" s="1" t="s">
        <v>181</v>
      </c>
      <c r="O261" s="1" t="s">
        <v>209</v>
      </c>
      <c r="P261" s="1" t="s">
        <v>183</v>
      </c>
      <c r="Q261" s="1" t="s">
        <v>340</v>
      </c>
      <c r="R261" s="7" t="s">
        <v>341</v>
      </c>
      <c r="S261" s="8">
        <v>1000000</v>
      </c>
    </row>
    <row r="262" spans="1:19">
      <c r="L262" s="29" t="s">
        <v>356</v>
      </c>
      <c r="M262" s="4" t="s">
        <v>339</v>
      </c>
      <c r="N262" s="1" t="s">
        <v>181</v>
      </c>
      <c r="O262" s="1" t="s">
        <v>213</v>
      </c>
      <c r="P262" s="1" t="s">
        <v>183</v>
      </c>
      <c r="Q262" s="1" t="s">
        <v>340</v>
      </c>
      <c r="R262" s="7" t="s">
        <v>341</v>
      </c>
      <c r="S262" s="8">
        <v>1000000</v>
      </c>
    </row>
    <row r="263" spans="1:19">
      <c r="A263" s="11" t="s">
        <v>47</v>
      </c>
      <c r="L263" s="29" t="s">
        <v>357</v>
      </c>
      <c r="M263" s="4" t="s">
        <v>339</v>
      </c>
      <c r="N263" s="1" t="s">
        <v>181</v>
      </c>
      <c r="O263" s="1" t="s">
        <v>213</v>
      </c>
      <c r="P263" s="1" t="s">
        <v>183</v>
      </c>
      <c r="Q263" s="1" t="s">
        <v>340</v>
      </c>
      <c r="R263" s="7" t="s">
        <v>341</v>
      </c>
      <c r="S263" s="8">
        <v>1000000</v>
      </c>
    </row>
    <row r="264" spans="1:19">
      <c r="B264" s="1" t="str">
        <f>"Số quyết định: "&amp;VLOOKUP('[1]N-B'!W10,$L$4:$T$310,7,0)</f>
        <v>Số quyết định: 2809/2020/QĐ-TGĐ ngày 16/10/2020</v>
      </c>
      <c r="L264" s="29" t="s">
        <v>358</v>
      </c>
      <c r="M264" s="4" t="s">
        <v>339</v>
      </c>
      <c r="N264" s="1" t="s">
        <v>181</v>
      </c>
      <c r="O264" s="1" t="s">
        <v>213</v>
      </c>
      <c r="P264" s="1" t="s">
        <v>183</v>
      </c>
      <c r="Q264" s="1" t="s">
        <v>340</v>
      </c>
      <c r="R264" s="7" t="s">
        <v>341</v>
      </c>
      <c r="S264" s="8">
        <v>1000000</v>
      </c>
    </row>
    <row r="265" spans="1:19">
      <c r="A265" s="19"/>
      <c r="B265" s="48" t="str">
        <f>"Đối tác giao dịch: "&amp;'[1]N-B'!L10</f>
        <v>Đối tác giao dịch: Nguyễn Thị Ngọc Mai</v>
      </c>
      <c r="C265" s="49"/>
      <c r="D265" s="49"/>
      <c r="E265" s="49"/>
      <c r="F265" s="49"/>
      <c r="G265" s="49"/>
      <c r="H265" s="49"/>
      <c r="I265" s="49"/>
      <c r="J265" s="49"/>
      <c r="L265" s="29" t="s">
        <v>359</v>
      </c>
      <c r="M265" s="4" t="s">
        <v>339</v>
      </c>
      <c r="N265" s="30" t="s">
        <v>181</v>
      </c>
      <c r="O265" s="1" t="s">
        <v>182</v>
      </c>
      <c r="P265" s="1" t="s">
        <v>183</v>
      </c>
      <c r="Q265" s="1" t="s">
        <v>340</v>
      </c>
      <c r="R265" s="7" t="s">
        <v>341</v>
      </c>
      <c r="S265" s="8">
        <v>1000000</v>
      </c>
    </row>
    <row r="266" spans="1:19">
      <c r="A266" s="19"/>
      <c r="B266" s="48" t="str">
        <f>"Hợp đồng số: "&amp;'[1]N-B'!K10</f>
        <v>Hợp đồng số: 111903.05484.S10285.BE8E7C.XTTB.2020.36A/HDTP-B/SHB.</v>
      </c>
      <c r="C266" s="49"/>
      <c r="D266" s="49"/>
      <c r="E266" s="49"/>
      <c r="F266" s="49"/>
      <c r="G266" s="49"/>
      <c r="H266" s="49"/>
      <c r="I266" s="49"/>
      <c r="J266" s="49"/>
      <c r="L266" s="29" t="s">
        <v>360</v>
      </c>
      <c r="M266" s="4" t="s">
        <v>339</v>
      </c>
      <c r="N266" s="1" t="s">
        <v>181</v>
      </c>
      <c r="O266" s="1" t="s">
        <v>182</v>
      </c>
      <c r="P266" s="1" t="s">
        <v>183</v>
      </c>
      <c r="Q266" s="1" t="s">
        <v>340</v>
      </c>
      <c r="R266" s="7" t="s">
        <v>341</v>
      </c>
      <c r="S266" s="8">
        <v>1000000</v>
      </c>
    </row>
    <row r="267" spans="1:19">
      <c r="A267" s="19"/>
      <c r="B267" s="48" t="str">
        <f ca="1">"Ngày giao dịch: "&amp;TEXT($M$1,"dd/mm/yyyy")</f>
        <v>Ngày giao dịch: 24/01/2021</v>
      </c>
      <c r="C267" s="49"/>
      <c r="D267" s="49"/>
      <c r="E267" s="49"/>
      <c r="F267" s="49"/>
      <c r="G267" s="49"/>
      <c r="H267" s="49"/>
      <c r="I267" s="49"/>
      <c r="J267" s="49"/>
      <c r="L267" s="29" t="s">
        <v>361</v>
      </c>
      <c r="M267" s="4" t="s">
        <v>339</v>
      </c>
      <c r="N267" s="1" t="s">
        <v>181</v>
      </c>
      <c r="O267" s="1" t="s">
        <v>182</v>
      </c>
      <c r="P267" s="1" t="s">
        <v>183</v>
      </c>
      <c r="Q267" s="1" t="s">
        <v>340</v>
      </c>
      <c r="R267" s="7" t="s">
        <v>341</v>
      </c>
      <c r="S267" s="8">
        <v>1000000</v>
      </c>
    </row>
    <row r="268" spans="1:19">
      <c r="A268" s="19"/>
      <c r="B268" s="48" t="str">
        <f ca="1">"Ngày thanh toán: "&amp;TEXT($M$1,"dd/mm/yyyy")</f>
        <v>Ngày thanh toán: 24/01/2021</v>
      </c>
      <c r="C268" s="49"/>
      <c r="D268" s="49"/>
      <c r="E268" s="49"/>
      <c r="F268" s="49" t="str">
        <f>"  CIF KH: "&amp;'[1]N-B'!P10</f>
        <v xml:space="preserve">  CIF KH: '0113289077</v>
      </c>
      <c r="G268" s="49"/>
      <c r="H268" s="49"/>
      <c r="I268" s="49"/>
      <c r="J268" s="49"/>
      <c r="L268" s="29" t="s">
        <v>362</v>
      </c>
      <c r="M268" s="4" t="s">
        <v>339</v>
      </c>
      <c r="N268" s="1" t="s">
        <v>181</v>
      </c>
      <c r="O268" s="1" t="s">
        <v>189</v>
      </c>
      <c r="P268" s="1" t="s">
        <v>183</v>
      </c>
      <c r="Q268" s="1" t="s">
        <v>340</v>
      </c>
      <c r="R268" s="7" t="s">
        <v>341</v>
      </c>
      <c r="S268" s="8">
        <v>1000000</v>
      </c>
    </row>
    <row r="269" spans="1:19">
      <c r="A269" s="19"/>
      <c r="B269" s="48" t="str">
        <f>"Mã RM: "&amp;'[1]N-B'!B10</f>
        <v>Mã RM: S10285</v>
      </c>
      <c r="C269" s="49"/>
      <c r="D269" s="49"/>
      <c r="E269" s="49"/>
      <c r="F269" s="49" t="str">
        <f>"  Mã đơn vị: "&amp;'[1]N-B'!H10</f>
        <v xml:space="preserve">  Mã đơn vị: 111903</v>
      </c>
      <c r="G269" s="49"/>
      <c r="H269" s="49"/>
      <c r="I269" s="49"/>
      <c r="J269" s="49"/>
      <c r="L269" s="29" t="s">
        <v>363</v>
      </c>
      <c r="M269" s="4" t="s">
        <v>339</v>
      </c>
      <c r="N269" s="1" t="s">
        <v>181</v>
      </c>
      <c r="O269" s="1" t="s">
        <v>189</v>
      </c>
      <c r="P269" s="1" t="s">
        <v>183</v>
      </c>
      <c r="Q269" s="1" t="s">
        <v>340</v>
      </c>
      <c r="R269" s="7" t="s">
        <v>341</v>
      </c>
      <c r="S269" s="8">
        <v>1000000</v>
      </c>
    </row>
    <row r="270" spans="1:19">
      <c r="A270" s="19"/>
      <c r="B270" s="48" t="str">
        <f>"Số lượng TP: "&amp;'[1]N-B'!Y10&amp;" TP"</f>
        <v>Số lượng TP: 562 TP</v>
      </c>
      <c r="C270" s="49"/>
      <c r="D270" s="49"/>
      <c r="E270" s="49"/>
      <c r="F270" s="49" t="str">
        <f>"  Giá thực hiện: "&amp;TEXT('[1]N-B'!Z10,"##,#")&amp;" VNĐ/Trái phiếu"</f>
        <v xml:space="preserve">  Giá thực hiện: 1,066,686 VNĐ/Trái phiếu</v>
      </c>
      <c r="G270" s="49"/>
      <c r="H270" s="49"/>
      <c r="I270" s="49"/>
      <c r="J270" s="49"/>
      <c r="L270" s="29" t="s">
        <v>364</v>
      </c>
      <c r="M270" s="4" t="s">
        <v>339</v>
      </c>
      <c r="N270" s="1" t="s">
        <v>181</v>
      </c>
      <c r="O270" s="1" t="s">
        <v>189</v>
      </c>
      <c r="P270" s="1" t="s">
        <v>183</v>
      </c>
      <c r="Q270" s="1" t="s">
        <v>340</v>
      </c>
      <c r="R270" s="7" t="s">
        <v>341</v>
      </c>
      <c r="S270" s="8">
        <v>1000000</v>
      </c>
    </row>
    <row r="271" spans="1:19">
      <c r="A271" s="19"/>
      <c r="B271" s="48" t="str">
        <f>"Tổng mệnh giá: "&amp;TEXT('[1]N-B'!Y10*VLOOKUP('[1]N-B'!W10,'P-B'!$L$4:$S$310,8,0),"##,#")&amp;" VND"</f>
        <v>Tổng mệnh giá: 562,000,000 VND</v>
      </c>
      <c r="C271" s="49"/>
      <c r="D271" s="49"/>
      <c r="E271" s="49"/>
      <c r="F271" s="49" t="s">
        <v>67</v>
      </c>
      <c r="G271" s="49"/>
      <c r="H271" s="49"/>
      <c r="I271" s="49"/>
      <c r="J271" s="49"/>
      <c r="L271" s="29" t="s">
        <v>365</v>
      </c>
      <c r="M271" s="4" t="s">
        <v>339</v>
      </c>
      <c r="N271" s="1" t="s">
        <v>181</v>
      </c>
      <c r="O271" s="1" t="s">
        <v>193</v>
      </c>
      <c r="P271" s="1" t="s">
        <v>183</v>
      </c>
      <c r="Q271" s="1" t="s">
        <v>340</v>
      </c>
      <c r="R271" s="7" t="s">
        <v>341</v>
      </c>
      <c r="S271" s="8">
        <v>1000000</v>
      </c>
    </row>
    <row r="272" spans="1:19">
      <c r="A272" s="19"/>
      <c r="B272" s="48" t="str">
        <f>"Tổng giá trị giao dịch: "&amp;TEXT('[1]N-B'!AA10,"##,#")&amp;" VND"</f>
        <v>Tổng giá trị giao dịch: 599,477,532 VND</v>
      </c>
      <c r="C272" s="49"/>
      <c r="D272" s="49"/>
      <c r="E272" s="49"/>
      <c r="F272" s="49"/>
      <c r="G272" s="49"/>
      <c r="H272" s="49"/>
      <c r="I272" s="49"/>
      <c r="J272" s="49"/>
      <c r="L272" s="29" t="s">
        <v>366</v>
      </c>
      <c r="M272" s="4" t="s">
        <v>339</v>
      </c>
      <c r="N272" s="1" t="s">
        <v>181</v>
      </c>
      <c r="O272" s="1" t="s">
        <v>193</v>
      </c>
      <c r="P272" s="1" t="s">
        <v>183</v>
      </c>
      <c r="Q272" s="1" t="s">
        <v>340</v>
      </c>
      <c r="R272" s="7" t="s">
        <v>341</v>
      </c>
      <c r="S272" s="8">
        <v>1000000</v>
      </c>
    </row>
    <row r="273" spans="2:19">
      <c r="L273" s="29" t="s">
        <v>367</v>
      </c>
      <c r="M273" s="4" t="s">
        <v>339</v>
      </c>
      <c r="N273" s="1" t="s">
        <v>181</v>
      </c>
      <c r="O273" s="1" t="s">
        <v>193</v>
      </c>
      <c r="P273" s="1" t="s">
        <v>183</v>
      </c>
      <c r="Q273" s="1" t="s">
        <v>340</v>
      </c>
      <c r="R273" s="7" t="s">
        <v>341</v>
      </c>
      <c r="S273" s="8">
        <v>1000000</v>
      </c>
    </row>
    <row r="274" spans="2:19" ht="38.25" customHeight="1">
      <c r="F274" s="58" t="s">
        <v>368</v>
      </c>
      <c r="G274" s="46"/>
      <c r="H274" s="46"/>
      <c r="I274" s="46"/>
      <c r="J274" s="46"/>
      <c r="L274" s="31" t="s">
        <v>369</v>
      </c>
      <c r="M274" s="4" t="s">
        <v>339</v>
      </c>
      <c r="N274" s="1" t="s">
        <v>181</v>
      </c>
      <c r="O274" s="1" t="s">
        <v>205</v>
      </c>
      <c r="P274" s="1" t="s">
        <v>183</v>
      </c>
      <c r="Q274" s="1" t="s">
        <v>340</v>
      </c>
      <c r="R274" s="7" t="s">
        <v>341</v>
      </c>
      <c r="S274" s="8">
        <v>1000000</v>
      </c>
    </row>
    <row r="275" spans="2:19">
      <c r="L275" s="31" t="s">
        <v>370</v>
      </c>
      <c r="M275" s="4" t="s">
        <v>339</v>
      </c>
      <c r="N275" s="1" t="s">
        <v>181</v>
      </c>
      <c r="O275" s="1" t="s">
        <v>205</v>
      </c>
      <c r="P275" s="1" t="s">
        <v>183</v>
      </c>
      <c r="Q275" s="1" t="s">
        <v>340</v>
      </c>
      <c r="R275" s="7" t="s">
        <v>341</v>
      </c>
      <c r="S275" s="8">
        <v>1000000</v>
      </c>
    </row>
    <row r="276" spans="2:19">
      <c r="L276" s="31" t="s">
        <v>371</v>
      </c>
      <c r="M276" s="4" t="s">
        <v>339</v>
      </c>
      <c r="N276" s="1" t="s">
        <v>181</v>
      </c>
      <c r="O276" s="1" t="s">
        <v>205</v>
      </c>
      <c r="P276" s="1" t="s">
        <v>183</v>
      </c>
      <c r="Q276" s="1" t="s">
        <v>340</v>
      </c>
      <c r="R276" s="7" t="s">
        <v>341</v>
      </c>
      <c r="S276" s="8">
        <v>1000000</v>
      </c>
    </row>
    <row r="277" spans="2:19">
      <c r="L277" s="31" t="s">
        <v>372</v>
      </c>
      <c r="M277" s="4" t="s">
        <v>339</v>
      </c>
      <c r="N277" s="1" t="s">
        <v>181</v>
      </c>
      <c r="O277" s="1" t="s">
        <v>209</v>
      </c>
      <c r="P277" s="1" t="s">
        <v>183</v>
      </c>
      <c r="Q277" s="1" t="s">
        <v>340</v>
      </c>
      <c r="R277" s="7" t="s">
        <v>341</v>
      </c>
      <c r="S277" s="8">
        <v>1000000</v>
      </c>
    </row>
    <row r="278" spans="2:19">
      <c r="E278" s="1"/>
      <c r="F278" s="46" t="str">
        <f>F247</f>
        <v>Nguyễn Thế Dũng</v>
      </c>
      <c r="G278" s="46"/>
      <c r="H278" s="46"/>
      <c r="I278" s="46"/>
      <c r="J278" s="46"/>
      <c r="L278" s="31" t="s">
        <v>373</v>
      </c>
      <c r="M278" s="4" t="s">
        <v>339</v>
      </c>
      <c r="N278" s="1" t="s">
        <v>181</v>
      </c>
      <c r="O278" s="1" t="s">
        <v>209</v>
      </c>
      <c r="P278" s="1" t="s">
        <v>183</v>
      </c>
      <c r="Q278" s="1" t="s">
        <v>340</v>
      </c>
      <c r="R278" s="7" t="s">
        <v>341</v>
      </c>
      <c r="S278" s="8">
        <v>1000000</v>
      </c>
    </row>
    <row r="279" spans="2:19" ht="4.5" customHeight="1">
      <c r="E279" s="1"/>
      <c r="F279" s="21"/>
      <c r="G279" s="21"/>
      <c r="H279" s="21"/>
      <c r="I279" s="21"/>
      <c r="J279" s="21"/>
      <c r="L279" s="31" t="s">
        <v>374</v>
      </c>
      <c r="M279" s="4" t="s">
        <v>339</v>
      </c>
      <c r="N279" s="1" t="s">
        <v>181</v>
      </c>
      <c r="O279" s="1" t="s">
        <v>209</v>
      </c>
      <c r="P279" s="1" t="s">
        <v>183</v>
      </c>
      <c r="Q279" s="1" t="s">
        <v>340</v>
      </c>
      <c r="R279" s="7" t="s">
        <v>341</v>
      </c>
      <c r="S279" s="8">
        <v>1000000</v>
      </c>
    </row>
    <row r="280" spans="2:19">
      <c r="I280" s="44" t="s">
        <v>0</v>
      </c>
      <c r="J280" s="44"/>
      <c r="L280" s="31" t="s">
        <v>375</v>
      </c>
      <c r="M280" s="4" t="s">
        <v>339</v>
      </c>
      <c r="N280" s="1" t="s">
        <v>181</v>
      </c>
      <c r="O280" s="1" t="s">
        <v>213</v>
      </c>
      <c r="P280" s="1" t="s">
        <v>183</v>
      </c>
      <c r="Q280" s="1" t="s">
        <v>340</v>
      </c>
      <c r="R280" s="7" t="s">
        <v>341</v>
      </c>
      <c r="S280" s="8">
        <v>1000000</v>
      </c>
    </row>
    <row r="281" spans="2:19">
      <c r="E281" s="45" t="s">
        <v>2</v>
      </c>
      <c r="F281" s="45"/>
      <c r="G281" s="45"/>
      <c r="H281" s="45"/>
      <c r="I281" s="45"/>
      <c r="J281" s="45"/>
      <c r="L281" s="31" t="s">
        <v>376</v>
      </c>
      <c r="M281" s="4" t="s">
        <v>339</v>
      </c>
      <c r="N281" s="1" t="s">
        <v>181</v>
      </c>
      <c r="O281" s="1" t="s">
        <v>213</v>
      </c>
      <c r="P281" s="1" t="s">
        <v>183</v>
      </c>
      <c r="Q281" s="1" t="s">
        <v>340</v>
      </c>
      <c r="R281" s="7" t="s">
        <v>341</v>
      </c>
      <c r="S281" s="8">
        <v>1000000</v>
      </c>
    </row>
    <row r="282" spans="2:19">
      <c r="E282" s="45" t="s">
        <v>3</v>
      </c>
      <c r="F282" s="45"/>
      <c r="G282" s="45"/>
      <c r="H282" s="45"/>
      <c r="I282" s="45"/>
      <c r="J282" s="45"/>
      <c r="L282" s="31" t="s">
        <v>377</v>
      </c>
      <c r="M282" s="4" t="s">
        <v>339</v>
      </c>
      <c r="N282" s="1" t="s">
        <v>181</v>
      </c>
      <c r="O282" s="1" t="s">
        <v>213</v>
      </c>
      <c r="P282" s="1" t="s">
        <v>183</v>
      </c>
      <c r="Q282" s="1" t="s">
        <v>340</v>
      </c>
      <c r="R282" s="7" t="s">
        <v>341</v>
      </c>
      <c r="S282" s="8">
        <v>1000000</v>
      </c>
    </row>
    <row r="283" spans="2:19">
      <c r="E283" s="45"/>
      <c r="F283" s="45"/>
      <c r="G283" s="45"/>
      <c r="H283" s="45"/>
      <c r="I283" s="45"/>
      <c r="J283" s="45"/>
      <c r="L283" s="31" t="s">
        <v>378</v>
      </c>
      <c r="M283" s="4" t="s">
        <v>339</v>
      </c>
      <c r="N283" s="30" t="s">
        <v>181</v>
      </c>
      <c r="O283" s="1" t="s">
        <v>182</v>
      </c>
      <c r="P283" s="1" t="s">
        <v>183</v>
      </c>
      <c r="Q283" s="1" t="s">
        <v>340</v>
      </c>
      <c r="R283" s="7" t="s">
        <v>341</v>
      </c>
      <c r="S283" s="8">
        <v>1000000</v>
      </c>
    </row>
    <row r="284" spans="2:19">
      <c r="B284" s="46" t="s">
        <v>12</v>
      </c>
      <c r="C284" s="46"/>
      <c r="D284" s="46"/>
      <c r="L284" s="31" t="s">
        <v>379</v>
      </c>
      <c r="M284" s="4" t="s">
        <v>339</v>
      </c>
      <c r="N284" s="1" t="s">
        <v>181</v>
      </c>
      <c r="O284" s="1" t="s">
        <v>182</v>
      </c>
      <c r="P284" s="1" t="s">
        <v>183</v>
      </c>
      <c r="Q284" s="1" t="s">
        <v>340</v>
      </c>
      <c r="R284" s="7" t="s">
        <v>341</v>
      </c>
      <c r="S284" s="8">
        <v>1000000</v>
      </c>
    </row>
    <row r="285" spans="2:19" ht="25.5" customHeight="1">
      <c r="E285" s="47" t="str">
        <f ca="1">"SỐ: "&amp;TEXT($M$1,"DDMM")&amp;".10/"&amp;YEAR($M$1)&amp;"/KDTPBL"</f>
        <v>SỐ: 2401.10/2021/KDTPBL</v>
      </c>
      <c r="F285" s="47"/>
      <c r="G285" s="47"/>
      <c r="H285" s="47"/>
      <c r="I285" s="47"/>
      <c r="J285" s="47"/>
      <c r="L285" s="31" t="s">
        <v>380</v>
      </c>
      <c r="M285" s="4" t="s">
        <v>339</v>
      </c>
      <c r="N285" s="1" t="s">
        <v>181</v>
      </c>
      <c r="O285" s="1" t="s">
        <v>182</v>
      </c>
      <c r="P285" s="1" t="s">
        <v>183</v>
      </c>
      <c r="Q285" s="1" t="s">
        <v>340</v>
      </c>
      <c r="R285" s="7" t="s">
        <v>341</v>
      </c>
      <c r="S285" s="8">
        <v>1000000</v>
      </c>
    </row>
    <row r="286" spans="2:19" ht="49.5" customHeight="1">
      <c r="B286" s="50" t="s">
        <v>17</v>
      </c>
      <c r="C286" s="50"/>
      <c r="D286" s="50"/>
      <c r="E286" s="50"/>
      <c r="F286" s="50"/>
      <c r="G286" s="50"/>
      <c r="H286" s="50"/>
      <c r="I286" s="50"/>
      <c r="J286" s="50"/>
      <c r="L286" s="31" t="s">
        <v>381</v>
      </c>
      <c r="M286" s="4" t="s">
        <v>339</v>
      </c>
      <c r="N286" s="1" t="s">
        <v>181</v>
      </c>
      <c r="O286" s="1" t="s">
        <v>189</v>
      </c>
      <c r="P286" s="1" t="s">
        <v>183</v>
      </c>
      <c r="Q286" s="1" t="s">
        <v>340</v>
      </c>
      <c r="R286" s="7" t="s">
        <v>341</v>
      </c>
      <c r="S286" s="8">
        <v>1000000</v>
      </c>
    </row>
    <row r="287" spans="2:19">
      <c r="B287" s="1" t="s">
        <v>25</v>
      </c>
      <c r="F287" s="1" t="s">
        <v>26</v>
      </c>
      <c r="H287" s="1" t="s">
        <v>27</v>
      </c>
      <c r="L287" s="31" t="s">
        <v>382</v>
      </c>
      <c r="M287" s="4" t="s">
        <v>339</v>
      </c>
      <c r="N287" s="1" t="s">
        <v>181</v>
      </c>
      <c r="O287" s="1" t="s">
        <v>189</v>
      </c>
      <c r="P287" s="1" t="s">
        <v>183</v>
      </c>
      <c r="Q287" s="1" t="s">
        <v>340</v>
      </c>
      <c r="R287" s="7" t="s">
        <v>341</v>
      </c>
      <c r="S287" s="8">
        <v>1000000</v>
      </c>
    </row>
    <row r="288" spans="2:19">
      <c r="B288" s="1" t="s">
        <v>29</v>
      </c>
      <c r="D288" s="10" t="str">
        <f>'[1]N-B'!K11</f>
        <v>111801.05298.08895.74B21A.XTNT.2020.3YA/HDTP-B/SHB.</v>
      </c>
      <c r="L288" s="31" t="s">
        <v>383</v>
      </c>
      <c r="M288" s="4" t="s">
        <v>339</v>
      </c>
      <c r="N288" s="1" t="s">
        <v>181</v>
      </c>
      <c r="O288" s="1" t="s">
        <v>189</v>
      </c>
      <c r="P288" s="1" t="s">
        <v>183</v>
      </c>
      <c r="Q288" s="1" t="s">
        <v>340</v>
      </c>
      <c r="R288" s="7" t="s">
        <v>341</v>
      </c>
      <c r="S288" s="8">
        <v>1000000</v>
      </c>
    </row>
    <row r="289" spans="1:19" ht="30" customHeight="1">
      <c r="A289" s="11" t="s">
        <v>31</v>
      </c>
      <c r="L289" s="31" t="s">
        <v>384</v>
      </c>
      <c r="M289" s="4" t="s">
        <v>339</v>
      </c>
      <c r="N289" s="1" t="s">
        <v>181</v>
      </c>
      <c r="O289" s="1" t="s">
        <v>193</v>
      </c>
      <c r="P289" s="1" t="s">
        <v>183</v>
      </c>
      <c r="Q289" s="1" t="s">
        <v>340</v>
      </c>
      <c r="R289" s="7" t="s">
        <v>341</v>
      </c>
      <c r="S289" s="8">
        <v>1000000</v>
      </c>
    </row>
    <row r="290" spans="1:19" ht="40" customHeight="1">
      <c r="A290" s="15"/>
      <c r="B290" s="51" t="str">
        <f>"Tổ chức phát hành: "&amp;VLOOKUP('[1]N-B'!W11,$L$4:$T$310,2,0)</f>
        <v>Tổ chức phát hành: Công ty cổ phần Xuân Thiện Ninh Thuận</v>
      </c>
      <c r="C290" s="51"/>
      <c r="D290" s="51"/>
      <c r="E290" s="51"/>
      <c r="F290" s="52"/>
      <c r="G290" s="53" t="str">
        <f>"    Mã TP: "&amp;'[1]N-B'!W11</f>
        <v xml:space="preserve">    Mã TP: XTNT.2020.3YA</v>
      </c>
      <c r="H290" s="54"/>
      <c r="I290" s="54"/>
      <c r="J290" s="55"/>
      <c r="L290" s="31" t="s">
        <v>385</v>
      </c>
      <c r="M290" s="4" t="s">
        <v>339</v>
      </c>
      <c r="N290" s="1" t="s">
        <v>181</v>
      </c>
      <c r="O290" s="1" t="s">
        <v>193</v>
      </c>
      <c r="P290" s="1" t="s">
        <v>183</v>
      </c>
      <c r="Q290" s="1" t="s">
        <v>340</v>
      </c>
      <c r="R290" s="7" t="s">
        <v>341</v>
      </c>
      <c r="S290" s="8">
        <v>1000000</v>
      </c>
    </row>
    <row r="291" spans="1:19" ht="28.5" customHeight="1">
      <c r="A291" s="16"/>
      <c r="B291" s="56" t="str">
        <f>"Ngày phát hành: "&amp;VLOOKUP('[1]N-B'!W11,$L$4:$T$310,3,0)</f>
        <v>Ngày phát hành: 28/08/2020</v>
      </c>
      <c r="C291" s="56"/>
      <c r="D291" s="56"/>
      <c r="E291" s="56"/>
      <c r="F291" s="48"/>
      <c r="G291" s="57" t="str">
        <f>"    Ngày đáo hạn: "&amp;VLOOKUP('[1]N-B'!W11,$L$4:$T$310,4,0)</f>
        <v xml:space="preserve">    Ngày đáo hạn: 28/08/2023</v>
      </c>
      <c r="H291" s="57"/>
      <c r="I291" s="57"/>
      <c r="J291" s="57"/>
      <c r="L291" s="31" t="s">
        <v>386</v>
      </c>
      <c r="M291" s="4" t="s">
        <v>339</v>
      </c>
      <c r="N291" s="1" t="s">
        <v>181</v>
      </c>
      <c r="O291" s="1" t="s">
        <v>193</v>
      </c>
      <c r="P291" s="1" t="s">
        <v>183</v>
      </c>
      <c r="Q291" s="1" t="s">
        <v>340</v>
      </c>
      <c r="R291" s="7" t="s">
        <v>341</v>
      </c>
      <c r="S291" s="8">
        <v>1000000</v>
      </c>
    </row>
    <row r="292" spans="1:19" ht="62.5" customHeight="1">
      <c r="A292" s="15"/>
      <c r="B292" s="51" t="str">
        <f>"Coupon: Lãi suất cho kỳ tính lãi đầu tiên là "&amp;VLOOKUP('[1]N-B'!W11,$L$4:$T$310,5,0)&amp;". Lãi suất cho các kỳ tính lãi tiếp theo bằng lãi suất thRM chiếu cộng (+) biên độ "&amp;VLOOKUP('[1]N-B'!W11,$L$4:$T$310,6,0)</f>
        <v>Coupon: Lãi suất cho kỳ tính lãi đầu tiên là 10,00%/năm. Lãi suất cho các kỳ tính lãi tiếp theo bằng lãi suất thRM chiếu cộng (+) biên độ 2,00%/năm</v>
      </c>
      <c r="C292" s="51"/>
      <c r="D292" s="51"/>
      <c r="E292" s="51"/>
      <c r="F292" s="52"/>
      <c r="G292" s="57" t="s">
        <v>41</v>
      </c>
      <c r="H292" s="57"/>
      <c r="I292" s="57"/>
      <c r="J292" s="57"/>
      <c r="L292" s="31" t="s">
        <v>387</v>
      </c>
      <c r="M292" s="4" t="s">
        <v>339</v>
      </c>
      <c r="N292" s="1" t="s">
        <v>181</v>
      </c>
      <c r="O292" s="1" t="s">
        <v>205</v>
      </c>
      <c r="P292" s="1" t="s">
        <v>183</v>
      </c>
      <c r="Q292" s="1" t="s">
        <v>340</v>
      </c>
      <c r="R292" s="7" t="s">
        <v>341</v>
      </c>
      <c r="S292" s="8">
        <v>1000000</v>
      </c>
    </row>
    <row r="293" spans="1:19">
      <c r="L293" s="31" t="s">
        <v>388</v>
      </c>
      <c r="M293" s="4" t="s">
        <v>339</v>
      </c>
      <c r="N293" s="1" t="s">
        <v>181</v>
      </c>
      <c r="O293" s="1" t="s">
        <v>205</v>
      </c>
      <c r="P293" s="1" t="s">
        <v>183</v>
      </c>
      <c r="Q293" s="1" t="s">
        <v>340</v>
      </c>
      <c r="R293" s="7" t="s">
        <v>341</v>
      </c>
      <c r="S293" s="8">
        <v>1000000</v>
      </c>
    </row>
    <row r="294" spans="1:19">
      <c r="A294" s="11" t="s">
        <v>47</v>
      </c>
      <c r="L294" s="31" t="s">
        <v>389</v>
      </c>
      <c r="M294" s="4" t="s">
        <v>339</v>
      </c>
      <c r="N294" s="1" t="s">
        <v>181</v>
      </c>
      <c r="O294" s="1" t="s">
        <v>205</v>
      </c>
      <c r="P294" s="1" t="s">
        <v>183</v>
      </c>
      <c r="Q294" s="1" t="s">
        <v>340</v>
      </c>
      <c r="R294" s="7" t="s">
        <v>341</v>
      </c>
      <c r="S294" s="8">
        <v>1000000</v>
      </c>
    </row>
    <row r="295" spans="1:19">
      <c r="B295" s="1" t="str">
        <f>"Số quyết định: "&amp;VLOOKUP('[1]N-B'!W11,$L$4:$T$310,7,0)</f>
        <v>Số quyết định: 2809/2020/QĐ-TGĐ ngày 14/10/2020</v>
      </c>
      <c r="L295" s="31" t="s">
        <v>390</v>
      </c>
      <c r="M295" s="4" t="s">
        <v>339</v>
      </c>
      <c r="N295" s="1" t="s">
        <v>181</v>
      </c>
      <c r="O295" s="1" t="s">
        <v>209</v>
      </c>
      <c r="P295" s="1" t="s">
        <v>183</v>
      </c>
      <c r="Q295" s="1" t="s">
        <v>340</v>
      </c>
      <c r="R295" s="7" t="s">
        <v>341</v>
      </c>
      <c r="S295" s="8">
        <v>1000000</v>
      </c>
    </row>
    <row r="296" spans="1:19">
      <c r="A296" s="19"/>
      <c r="B296" s="48" t="str">
        <f>"Đối tác giao dịch: "&amp;'[1]N-B'!L11</f>
        <v>Đối tác giao dịch: Vũ Thị Thu Hà</v>
      </c>
      <c r="C296" s="49"/>
      <c r="D296" s="49"/>
      <c r="E296" s="49"/>
      <c r="F296" s="49"/>
      <c r="G296" s="49"/>
      <c r="H296" s="49"/>
      <c r="I296" s="49"/>
      <c r="J296" s="49"/>
      <c r="L296" s="31" t="s">
        <v>391</v>
      </c>
      <c r="M296" s="4" t="s">
        <v>339</v>
      </c>
      <c r="N296" s="1" t="s">
        <v>181</v>
      </c>
      <c r="O296" s="1" t="s">
        <v>209</v>
      </c>
      <c r="P296" s="1" t="s">
        <v>183</v>
      </c>
      <c r="Q296" s="1" t="s">
        <v>340</v>
      </c>
      <c r="R296" s="7" t="s">
        <v>341</v>
      </c>
      <c r="S296" s="8">
        <v>1000000</v>
      </c>
    </row>
    <row r="297" spans="1:19">
      <c r="A297" s="19"/>
      <c r="B297" s="48" t="str">
        <f>"Hợp đồng số: "&amp;'[1]N-B'!K11</f>
        <v>Hợp đồng số: 111801.05298.08895.74B21A.XTNT.2020.3YA/HDTP-B/SHB.</v>
      </c>
      <c r="C297" s="49"/>
      <c r="D297" s="49"/>
      <c r="E297" s="49"/>
      <c r="F297" s="49"/>
      <c r="G297" s="49"/>
      <c r="H297" s="49"/>
      <c r="I297" s="49"/>
      <c r="J297" s="49"/>
      <c r="L297" s="31" t="s">
        <v>392</v>
      </c>
      <c r="M297" s="4" t="s">
        <v>339</v>
      </c>
      <c r="N297" s="1" t="s">
        <v>181</v>
      </c>
      <c r="O297" s="1" t="s">
        <v>209</v>
      </c>
      <c r="P297" s="1" t="s">
        <v>183</v>
      </c>
      <c r="Q297" s="1" t="s">
        <v>340</v>
      </c>
      <c r="R297" s="7" t="s">
        <v>341</v>
      </c>
      <c r="S297" s="8">
        <v>1000000</v>
      </c>
    </row>
    <row r="298" spans="1:19">
      <c r="A298" s="19"/>
      <c r="B298" s="48" t="str">
        <f ca="1">"Ngày giao dịch: "&amp;TEXT($M$1,"dd/mm/yyyy")</f>
        <v>Ngày giao dịch: 24/01/2021</v>
      </c>
      <c r="C298" s="49"/>
      <c r="D298" s="49"/>
      <c r="E298" s="49"/>
      <c r="F298" s="49"/>
      <c r="G298" s="49"/>
      <c r="H298" s="49"/>
      <c r="I298" s="49"/>
      <c r="J298" s="49"/>
      <c r="L298" s="31" t="s">
        <v>393</v>
      </c>
      <c r="M298" s="4" t="s">
        <v>339</v>
      </c>
      <c r="N298" s="1" t="s">
        <v>181</v>
      </c>
      <c r="O298" s="1" t="s">
        <v>213</v>
      </c>
      <c r="P298" s="1" t="s">
        <v>183</v>
      </c>
      <c r="Q298" s="1" t="s">
        <v>340</v>
      </c>
      <c r="R298" s="7" t="s">
        <v>341</v>
      </c>
      <c r="S298" s="8">
        <v>1000000</v>
      </c>
    </row>
    <row r="299" spans="1:19">
      <c r="A299" s="19"/>
      <c r="B299" s="48" t="str">
        <f ca="1">"Ngày thanh toán: "&amp;TEXT($M$1,"dd/mm/yyyy")</f>
        <v>Ngày thanh toán: 24/01/2021</v>
      </c>
      <c r="C299" s="49"/>
      <c r="D299" s="49"/>
      <c r="E299" s="49"/>
      <c r="F299" s="49" t="str">
        <f>"  CIF KH: "&amp;'[1]N-B'!P11</f>
        <v xml:space="preserve">  CIF KH: '0112182515</v>
      </c>
      <c r="G299" s="49"/>
      <c r="H299" s="49"/>
      <c r="I299" s="49"/>
      <c r="J299" s="49"/>
      <c r="L299" s="31" t="s">
        <v>394</v>
      </c>
      <c r="M299" s="4" t="s">
        <v>339</v>
      </c>
      <c r="N299" s="1" t="s">
        <v>181</v>
      </c>
      <c r="O299" s="1" t="s">
        <v>213</v>
      </c>
      <c r="P299" s="1" t="s">
        <v>183</v>
      </c>
      <c r="Q299" s="1" t="s">
        <v>340</v>
      </c>
      <c r="R299" s="7" t="s">
        <v>341</v>
      </c>
      <c r="S299" s="8">
        <v>1000000</v>
      </c>
    </row>
    <row r="300" spans="1:19">
      <c r="A300" s="19"/>
      <c r="B300" s="48" t="str">
        <f>"Mã RM: "&amp;'[1]N-B'!B11</f>
        <v>Mã RM: 08895</v>
      </c>
      <c r="C300" s="49"/>
      <c r="D300" s="49"/>
      <c r="E300" s="49"/>
      <c r="F300" s="49" t="str">
        <f>"  Mã đơn vị: "&amp;'[1]N-B'!H11</f>
        <v xml:space="preserve">  Mã đơn vị: 111801</v>
      </c>
      <c r="G300" s="49"/>
      <c r="H300" s="49"/>
      <c r="I300" s="49"/>
      <c r="J300" s="49"/>
      <c r="L300" s="31" t="s">
        <v>395</v>
      </c>
      <c r="M300" s="4" t="s">
        <v>339</v>
      </c>
      <c r="N300" s="1" t="s">
        <v>181</v>
      </c>
      <c r="O300" s="1" t="s">
        <v>213</v>
      </c>
      <c r="P300" s="1" t="s">
        <v>183</v>
      </c>
      <c r="Q300" s="1" t="s">
        <v>340</v>
      </c>
      <c r="R300" s="7" t="s">
        <v>341</v>
      </c>
      <c r="S300" s="8">
        <v>1000000</v>
      </c>
    </row>
    <row r="301" spans="1:19">
      <c r="A301" s="19"/>
      <c r="B301" s="48" t="str">
        <f>"Số lượng TP: "&amp;'[1]N-B'!Y11&amp;" TP"</f>
        <v>Số lượng TP: 663 TP</v>
      </c>
      <c r="C301" s="49"/>
      <c r="D301" s="49"/>
      <c r="E301" s="49"/>
      <c r="F301" s="49" t="str">
        <f>"  Giá thực hiện: "&amp;TEXT('[1]N-B'!Z11,"##,#")&amp;" VNĐ/Trái phiếu"</f>
        <v xml:space="preserve">  Giá thực hiện: 1,055,908 VNĐ/Trái phiếu</v>
      </c>
      <c r="G301" s="49"/>
      <c r="H301" s="49"/>
      <c r="I301" s="49"/>
      <c r="J301" s="49"/>
      <c r="L301"/>
    </row>
    <row r="302" spans="1:19">
      <c r="A302" s="19"/>
      <c r="B302" s="48" t="str">
        <f>"Tổng mệnh giá: "&amp;TEXT('[1]N-B'!Y11*VLOOKUP('[1]N-B'!W11,'P-B'!$L$4:$S$310,8,0),"##,#")&amp;" VND"</f>
        <v>Tổng mệnh giá: 663,000,000 VND</v>
      </c>
      <c r="C302" s="49"/>
      <c r="D302" s="49"/>
      <c r="E302" s="49"/>
      <c r="F302" s="49" t="s">
        <v>67</v>
      </c>
      <c r="G302" s="49"/>
      <c r="H302" s="49"/>
      <c r="I302" s="49"/>
      <c r="J302" s="49"/>
      <c r="L302"/>
    </row>
    <row r="303" spans="1:19">
      <c r="A303" s="19"/>
      <c r="B303" s="48" t="str">
        <f>"Tổng giá trị giao dịch: "&amp;TEXT('[1]N-B'!AA11,"##,#")&amp;" VND"</f>
        <v>Tổng giá trị giao dịch: 700,067,004 VND</v>
      </c>
      <c r="C303" s="49"/>
      <c r="D303" s="49"/>
      <c r="E303" s="49"/>
      <c r="F303" s="49"/>
      <c r="G303" s="49"/>
      <c r="H303" s="49"/>
      <c r="I303" s="49"/>
      <c r="J303" s="49"/>
      <c r="L303"/>
    </row>
    <row r="304" spans="1:19">
      <c r="L304"/>
    </row>
    <row r="305" spans="5:12" ht="38.25" customHeight="1">
      <c r="F305" s="58" t="s">
        <v>368</v>
      </c>
      <c r="G305" s="46"/>
      <c r="H305" s="46"/>
      <c r="I305" s="46"/>
      <c r="J305" s="46"/>
      <c r="L305"/>
    </row>
    <row r="306" spans="5:12">
      <c r="L306"/>
    </row>
    <row r="307" spans="5:12" hidden="1">
      <c r="L307"/>
    </row>
    <row r="308" spans="5:12" ht="33" customHeight="1">
      <c r="L308"/>
    </row>
    <row r="309" spans="5:12">
      <c r="E309" s="1"/>
      <c r="F309" s="46" t="str">
        <f>F278</f>
        <v>Nguyễn Thế Dũng</v>
      </c>
      <c r="G309" s="46"/>
      <c r="H309" s="46"/>
      <c r="I309" s="46"/>
      <c r="J309" s="46"/>
      <c r="L309"/>
    </row>
    <row r="310" spans="5:12" ht="6.75" customHeight="1">
      <c r="E310" s="1"/>
      <c r="F310" s="21"/>
      <c r="G310" s="21"/>
      <c r="H310" s="21"/>
      <c r="I310" s="21"/>
      <c r="J310" s="21"/>
      <c r="L310"/>
    </row>
  </sheetData>
  <mergeCells count="281">
    <mergeCell ref="B303:J303"/>
    <mergeCell ref="F305:J305"/>
    <mergeCell ref="F309:J309"/>
    <mergeCell ref="B300:E300"/>
    <mergeCell ref="F300:J300"/>
    <mergeCell ref="B301:E301"/>
    <mergeCell ref="F301:J301"/>
    <mergeCell ref="B302:E302"/>
    <mergeCell ref="F302:J302"/>
    <mergeCell ref="B296:J296"/>
    <mergeCell ref="B297:J297"/>
    <mergeCell ref="B298:E298"/>
    <mergeCell ref="F298:J298"/>
    <mergeCell ref="B299:E299"/>
    <mergeCell ref="F299:J299"/>
    <mergeCell ref="B290:F290"/>
    <mergeCell ref="G290:J290"/>
    <mergeCell ref="B291:F291"/>
    <mergeCell ref="G291:J291"/>
    <mergeCell ref="B292:F292"/>
    <mergeCell ref="G292:J292"/>
    <mergeCell ref="E281:J281"/>
    <mergeCell ref="E282:J282"/>
    <mergeCell ref="E283:J283"/>
    <mergeCell ref="B284:D284"/>
    <mergeCell ref="E285:J285"/>
    <mergeCell ref="B286:J286"/>
    <mergeCell ref="B271:E271"/>
    <mergeCell ref="F271:J271"/>
    <mergeCell ref="B272:J272"/>
    <mergeCell ref="F274:J274"/>
    <mergeCell ref="F278:J278"/>
    <mergeCell ref="I280:J280"/>
    <mergeCell ref="B268:E268"/>
    <mergeCell ref="F268:J268"/>
    <mergeCell ref="B269:E269"/>
    <mergeCell ref="F269:J269"/>
    <mergeCell ref="B270:E270"/>
    <mergeCell ref="F270:J270"/>
    <mergeCell ref="B261:F261"/>
    <mergeCell ref="G261:J261"/>
    <mergeCell ref="B265:J265"/>
    <mergeCell ref="B266:J266"/>
    <mergeCell ref="B267:E267"/>
    <mergeCell ref="F267:J267"/>
    <mergeCell ref="E254:J254"/>
    <mergeCell ref="B255:J255"/>
    <mergeCell ref="B259:F259"/>
    <mergeCell ref="G259:J259"/>
    <mergeCell ref="B260:F260"/>
    <mergeCell ref="G260:J260"/>
    <mergeCell ref="F247:J247"/>
    <mergeCell ref="I249:J249"/>
    <mergeCell ref="E250:J250"/>
    <mergeCell ref="E251:J251"/>
    <mergeCell ref="E252:J252"/>
    <mergeCell ref="B253:D253"/>
    <mergeCell ref="B239:E239"/>
    <mergeCell ref="F239:J239"/>
    <mergeCell ref="B240:E240"/>
    <mergeCell ref="F240:J240"/>
    <mergeCell ref="B241:J241"/>
    <mergeCell ref="F243:J243"/>
    <mergeCell ref="B236:E236"/>
    <mergeCell ref="F236:J236"/>
    <mergeCell ref="B237:E237"/>
    <mergeCell ref="F237:J237"/>
    <mergeCell ref="B238:E238"/>
    <mergeCell ref="F238:J238"/>
    <mergeCell ref="B229:F229"/>
    <mergeCell ref="G229:J229"/>
    <mergeCell ref="B230:F230"/>
    <mergeCell ref="G230:J230"/>
    <mergeCell ref="B234:J234"/>
    <mergeCell ref="B235:J235"/>
    <mergeCell ref="E221:J221"/>
    <mergeCell ref="B222:D222"/>
    <mergeCell ref="E223:J223"/>
    <mergeCell ref="B224:J224"/>
    <mergeCell ref="B228:F228"/>
    <mergeCell ref="G228:J228"/>
    <mergeCell ref="B210:J210"/>
    <mergeCell ref="F212:J212"/>
    <mergeCell ref="F216:J216"/>
    <mergeCell ref="I218:J218"/>
    <mergeCell ref="E219:J219"/>
    <mergeCell ref="E220:J220"/>
    <mergeCell ref="B207:E207"/>
    <mergeCell ref="F207:J207"/>
    <mergeCell ref="B208:E208"/>
    <mergeCell ref="F208:J208"/>
    <mergeCell ref="B209:E209"/>
    <mergeCell ref="F209:J209"/>
    <mergeCell ref="B203:J203"/>
    <mergeCell ref="B204:J204"/>
    <mergeCell ref="B205:E205"/>
    <mergeCell ref="F205:J205"/>
    <mergeCell ref="B206:E206"/>
    <mergeCell ref="F206:J206"/>
    <mergeCell ref="B197:F197"/>
    <mergeCell ref="G197:J197"/>
    <mergeCell ref="B198:F198"/>
    <mergeCell ref="G198:J198"/>
    <mergeCell ref="B199:F199"/>
    <mergeCell ref="G199:J199"/>
    <mergeCell ref="E188:J188"/>
    <mergeCell ref="E189:J189"/>
    <mergeCell ref="E190:J190"/>
    <mergeCell ref="B191:D191"/>
    <mergeCell ref="E192:J192"/>
    <mergeCell ref="B193:J193"/>
    <mergeCell ref="B179:E179"/>
    <mergeCell ref="F179:J179"/>
    <mergeCell ref="B180:J180"/>
    <mergeCell ref="F182:J182"/>
    <mergeCell ref="F186:J186"/>
    <mergeCell ref="I187:J187"/>
    <mergeCell ref="B176:E176"/>
    <mergeCell ref="F176:J176"/>
    <mergeCell ref="B177:E177"/>
    <mergeCell ref="F177:J177"/>
    <mergeCell ref="B178:E178"/>
    <mergeCell ref="F178:J178"/>
    <mergeCell ref="B169:F169"/>
    <mergeCell ref="G169:J169"/>
    <mergeCell ref="B173:J173"/>
    <mergeCell ref="B174:J174"/>
    <mergeCell ref="B175:E175"/>
    <mergeCell ref="F175:J175"/>
    <mergeCell ref="E162:J162"/>
    <mergeCell ref="B163:J163"/>
    <mergeCell ref="B167:F167"/>
    <mergeCell ref="G167:J167"/>
    <mergeCell ref="B168:F168"/>
    <mergeCell ref="G168:J168"/>
    <mergeCell ref="F155:J155"/>
    <mergeCell ref="I157:J157"/>
    <mergeCell ref="E158:J158"/>
    <mergeCell ref="E159:J159"/>
    <mergeCell ref="E160:J160"/>
    <mergeCell ref="B161:D161"/>
    <mergeCell ref="B147:E147"/>
    <mergeCell ref="F147:J147"/>
    <mergeCell ref="B148:E148"/>
    <mergeCell ref="F148:J148"/>
    <mergeCell ref="B149:J149"/>
    <mergeCell ref="F151:J151"/>
    <mergeCell ref="B144:E144"/>
    <mergeCell ref="F144:J144"/>
    <mergeCell ref="B145:E145"/>
    <mergeCell ref="F145:J145"/>
    <mergeCell ref="B146:E146"/>
    <mergeCell ref="F146:J146"/>
    <mergeCell ref="B137:F137"/>
    <mergeCell ref="G137:J137"/>
    <mergeCell ref="B138:F138"/>
    <mergeCell ref="G138:J138"/>
    <mergeCell ref="B142:J142"/>
    <mergeCell ref="B143:J143"/>
    <mergeCell ref="E129:J129"/>
    <mergeCell ref="B130:D130"/>
    <mergeCell ref="E131:J131"/>
    <mergeCell ref="B132:J132"/>
    <mergeCell ref="B136:F136"/>
    <mergeCell ref="G136:J136"/>
    <mergeCell ref="B118:J118"/>
    <mergeCell ref="F120:J120"/>
    <mergeCell ref="F124:J124"/>
    <mergeCell ref="I126:J126"/>
    <mergeCell ref="E127:J127"/>
    <mergeCell ref="E128:J128"/>
    <mergeCell ref="B115:E115"/>
    <mergeCell ref="F115:J115"/>
    <mergeCell ref="B116:E116"/>
    <mergeCell ref="F116:J116"/>
    <mergeCell ref="B117:E117"/>
    <mergeCell ref="F117:J117"/>
    <mergeCell ref="B111:J111"/>
    <mergeCell ref="B112:J112"/>
    <mergeCell ref="B113:E113"/>
    <mergeCell ref="F113:J113"/>
    <mergeCell ref="B114:E114"/>
    <mergeCell ref="F114:J114"/>
    <mergeCell ref="B105:F105"/>
    <mergeCell ref="G105:J105"/>
    <mergeCell ref="B106:F106"/>
    <mergeCell ref="G106:J106"/>
    <mergeCell ref="B107:F107"/>
    <mergeCell ref="G107:J107"/>
    <mergeCell ref="E96:J96"/>
    <mergeCell ref="E97:J97"/>
    <mergeCell ref="E98:J98"/>
    <mergeCell ref="B99:D99"/>
    <mergeCell ref="E100:J100"/>
    <mergeCell ref="B101:J101"/>
    <mergeCell ref="B86:E86"/>
    <mergeCell ref="F86:J86"/>
    <mergeCell ref="B87:J87"/>
    <mergeCell ref="F89:J89"/>
    <mergeCell ref="F93:J93"/>
    <mergeCell ref="I95:J95"/>
    <mergeCell ref="B83:E83"/>
    <mergeCell ref="F83:J83"/>
    <mergeCell ref="B84:E84"/>
    <mergeCell ref="F84:J84"/>
    <mergeCell ref="B85:E85"/>
    <mergeCell ref="F85:J85"/>
    <mergeCell ref="B76:F76"/>
    <mergeCell ref="G76:J76"/>
    <mergeCell ref="B80:J80"/>
    <mergeCell ref="B81:J81"/>
    <mergeCell ref="B82:E82"/>
    <mergeCell ref="F82:J82"/>
    <mergeCell ref="E69:J69"/>
    <mergeCell ref="B70:J70"/>
    <mergeCell ref="B74:F74"/>
    <mergeCell ref="G74:J74"/>
    <mergeCell ref="B75:F75"/>
    <mergeCell ref="G75:J75"/>
    <mergeCell ref="F62:J62"/>
    <mergeCell ref="I64:J64"/>
    <mergeCell ref="E65:J65"/>
    <mergeCell ref="E66:J66"/>
    <mergeCell ref="E67:J67"/>
    <mergeCell ref="B68:D68"/>
    <mergeCell ref="B54:E54"/>
    <mergeCell ref="F54:J54"/>
    <mergeCell ref="B55:E55"/>
    <mergeCell ref="F55:J55"/>
    <mergeCell ref="B56:J56"/>
    <mergeCell ref="F58:J58"/>
    <mergeCell ref="B51:E51"/>
    <mergeCell ref="F51:J51"/>
    <mergeCell ref="B52:E52"/>
    <mergeCell ref="F52:J52"/>
    <mergeCell ref="B53:E53"/>
    <mergeCell ref="F53:J53"/>
    <mergeCell ref="B44:F44"/>
    <mergeCell ref="G44:J44"/>
    <mergeCell ref="B45:F45"/>
    <mergeCell ref="G45:J45"/>
    <mergeCell ref="B49:J49"/>
    <mergeCell ref="B50:J50"/>
    <mergeCell ref="E36:J36"/>
    <mergeCell ref="B37:D37"/>
    <mergeCell ref="E38:J38"/>
    <mergeCell ref="B39:J39"/>
    <mergeCell ref="D41:J41"/>
    <mergeCell ref="B43:F43"/>
    <mergeCell ref="G43:J43"/>
    <mergeCell ref="B24:J24"/>
    <mergeCell ref="F26:J26"/>
    <mergeCell ref="F30:J30"/>
    <mergeCell ref="I33:J33"/>
    <mergeCell ref="E34:J34"/>
    <mergeCell ref="E35:J35"/>
    <mergeCell ref="B21:E21"/>
    <mergeCell ref="F21:J21"/>
    <mergeCell ref="B22:E22"/>
    <mergeCell ref="F22:J22"/>
    <mergeCell ref="B23:E23"/>
    <mergeCell ref="F23:J23"/>
    <mergeCell ref="B20:E20"/>
    <mergeCell ref="F20:J20"/>
    <mergeCell ref="B7:J7"/>
    <mergeCell ref="B11:F11"/>
    <mergeCell ref="G11:J11"/>
    <mergeCell ref="B12:F12"/>
    <mergeCell ref="G12:J12"/>
    <mergeCell ref="B13:F13"/>
    <mergeCell ref="G13:J13"/>
    <mergeCell ref="I1:J1"/>
    <mergeCell ref="E2:J2"/>
    <mergeCell ref="E3:J3"/>
    <mergeCell ref="E4:J4"/>
    <mergeCell ref="B5:D5"/>
    <mergeCell ref="E6:J6"/>
    <mergeCell ref="B17:J17"/>
    <mergeCell ref="B18:J18"/>
    <mergeCell ref="B19:E19"/>
    <mergeCell ref="F19:J19"/>
  </mergeCells>
  <pageMargins left="0.5" right="0.25" top="0.5" bottom="0.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341"/>
  <sheetViews>
    <sheetView topLeftCell="A97" workbookViewId="0">
      <selection activeCell="B25" sqref="B25:J25"/>
    </sheetView>
  </sheetViews>
  <sheetFormatPr defaultColWidth="9.15234375" defaultRowHeight="18"/>
  <cols>
    <col min="1" max="1" width="1.69140625" style="1" customWidth="1"/>
    <col min="2" max="3" width="9.15234375" style="1"/>
    <col min="4" max="4" width="18.3828125" style="1" customWidth="1"/>
    <col min="5" max="5" width="9.3046875" style="2" customWidth="1"/>
    <col min="6" max="6" width="15.84375" style="1" customWidth="1"/>
    <col min="7" max="7" width="7.53515625" style="1" customWidth="1"/>
    <col min="8" max="9" width="9.15234375" style="1"/>
    <col min="10" max="10" width="8.3046875" style="1" customWidth="1"/>
    <col min="11" max="11" width="9.15234375" style="1"/>
    <col min="12" max="12" width="17.84375" style="1" customWidth="1"/>
    <col min="13" max="13" width="16.84375" style="1" bestFit="1" customWidth="1"/>
    <col min="14" max="15" width="15.69140625" style="1" customWidth="1"/>
    <col min="16" max="16" width="12" style="1" customWidth="1"/>
    <col min="17" max="17" width="11.84375" style="1" customWidth="1"/>
    <col min="18" max="16384" width="9.15234375" style="1"/>
  </cols>
  <sheetData>
    <row r="1" spans="1:18">
      <c r="I1" s="44" t="s">
        <v>0</v>
      </c>
      <c r="J1" s="44"/>
      <c r="M1" s="35">
        <f ca="1">TODAY()-1</f>
        <v>44222</v>
      </c>
    </row>
    <row r="2" spans="1:18">
      <c r="E2" s="45" t="s">
        <v>2</v>
      </c>
      <c r="F2" s="45"/>
      <c r="G2" s="45"/>
      <c r="H2" s="45"/>
      <c r="I2" s="45"/>
      <c r="J2" s="45"/>
    </row>
    <row r="3" spans="1:18">
      <c r="E3" s="45" t="s">
        <v>3</v>
      </c>
      <c r="F3" s="45"/>
      <c r="G3" s="45"/>
      <c r="H3" s="45"/>
      <c r="I3" s="45"/>
      <c r="J3" s="45"/>
      <c r="L3" s="36" t="s">
        <v>4</v>
      </c>
      <c r="M3" s="36" t="s">
        <v>396</v>
      </c>
    </row>
    <row r="4" spans="1:18">
      <c r="E4" s="45"/>
      <c r="F4" s="45"/>
      <c r="G4" s="45"/>
      <c r="H4" s="45"/>
      <c r="I4" s="45"/>
      <c r="J4" s="45"/>
      <c r="L4" s="5" t="s">
        <v>5</v>
      </c>
      <c r="M4" s="1" t="s">
        <v>6</v>
      </c>
      <c r="N4" s="6" t="s">
        <v>7</v>
      </c>
      <c r="O4" s="6" t="s">
        <v>8</v>
      </c>
      <c r="P4" s="1" t="s">
        <v>9</v>
      </c>
      <c r="Q4" s="1" t="s">
        <v>10</v>
      </c>
      <c r="R4" s="7" t="s">
        <v>397</v>
      </c>
    </row>
    <row r="5" spans="1:18">
      <c r="B5" s="46" t="s">
        <v>12</v>
      </c>
      <c r="C5" s="46"/>
      <c r="D5" s="46"/>
      <c r="L5" s="5" t="s">
        <v>13</v>
      </c>
      <c r="M5" s="1" t="s">
        <v>6</v>
      </c>
      <c r="N5" s="6" t="s">
        <v>7</v>
      </c>
      <c r="O5" s="6" t="s">
        <v>8</v>
      </c>
      <c r="P5" s="1" t="s">
        <v>9</v>
      </c>
      <c r="Q5" s="1" t="s">
        <v>10</v>
      </c>
      <c r="R5" s="7" t="s">
        <v>397</v>
      </c>
    </row>
    <row r="6" spans="1:18" ht="25.5" customHeight="1">
      <c r="E6" s="47" t="str">
        <f ca="1">"SỐ: "&amp;TEXT($M$1,"ddmm")&amp;M3&amp;"1"&amp;"/"&amp;YEAR($M$1)&amp;"/KDTPBL"</f>
        <v>SỐ: 2601A1/2021/KDTPBL</v>
      </c>
      <c r="F6" s="47"/>
      <c r="G6" s="47"/>
      <c r="H6" s="47"/>
      <c r="I6" s="47"/>
      <c r="J6" s="47"/>
      <c r="L6" s="5" t="s">
        <v>15</v>
      </c>
      <c r="M6" s="1" t="s">
        <v>6</v>
      </c>
      <c r="N6" s="6" t="s">
        <v>7</v>
      </c>
      <c r="O6" s="6" t="s">
        <v>8</v>
      </c>
      <c r="P6" s="1" t="s">
        <v>9</v>
      </c>
      <c r="Q6" s="1" t="s">
        <v>10</v>
      </c>
      <c r="R6" s="7" t="s">
        <v>16</v>
      </c>
    </row>
    <row r="7" spans="1:18" ht="49.5" customHeight="1">
      <c r="B7" s="50" t="s">
        <v>17</v>
      </c>
      <c r="C7" s="50"/>
      <c r="D7" s="50"/>
      <c r="E7" s="50"/>
      <c r="F7" s="50"/>
      <c r="G7" s="50"/>
      <c r="H7" s="50"/>
      <c r="I7" s="50"/>
      <c r="J7" s="50"/>
      <c r="L7" s="9" t="s">
        <v>18</v>
      </c>
      <c r="M7" s="1" t="s">
        <v>19</v>
      </c>
      <c r="N7" s="6" t="s">
        <v>20</v>
      </c>
      <c r="O7" s="6" t="s">
        <v>21</v>
      </c>
      <c r="P7" s="1" t="s">
        <v>22</v>
      </c>
      <c r="Q7" s="1" t="s">
        <v>23</v>
      </c>
      <c r="R7" s="7" t="s">
        <v>397</v>
      </c>
    </row>
    <row r="8" spans="1:18">
      <c r="B8" s="1" t="s">
        <v>398</v>
      </c>
      <c r="F8" s="1" t="s">
        <v>399</v>
      </c>
      <c r="H8" s="1" t="s">
        <v>27</v>
      </c>
      <c r="L8" s="9" t="s">
        <v>28</v>
      </c>
      <c r="M8" s="1" t="s">
        <v>19</v>
      </c>
      <c r="N8" s="6" t="s">
        <v>20</v>
      </c>
      <c r="O8" s="6" t="s">
        <v>21</v>
      </c>
      <c r="P8" s="1" t="s">
        <v>22</v>
      </c>
      <c r="Q8" s="1" t="s">
        <v>23</v>
      </c>
      <c r="R8" s="7" t="s">
        <v>397</v>
      </c>
    </row>
    <row r="9" spans="1:18">
      <c r="B9" s="1" t="s">
        <v>29</v>
      </c>
      <c r="D9" s="10" t="str">
        <f>'[1]N-M'!L2</f>
        <v>110305.01250.01557.3E3A1E.NSV01/HDTP-M-0A29BB/SHB.</v>
      </c>
      <c r="L9" s="9" t="s">
        <v>30</v>
      </c>
      <c r="M9" s="1" t="s">
        <v>19</v>
      </c>
      <c r="N9" s="6" t="s">
        <v>20</v>
      </c>
      <c r="O9" s="6" t="s">
        <v>21</v>
      </c>
      <c r="P9" s="1" t="s">
        <v>22</v>
      </c>
      <c r="Q9" s="1" t="s">
        <v>23</v>
      </c>
      <c r="R9" s="7" t="s">
        <v>16</v>
      </c>
    </row>
    <row r="10" spans="1:18" ht="30" customHeight="1">
      <c r="A10" s="11" t="s">
        <v>31</v>
      </c>
      <c r="L10" s="12" t="s">
        <v>32</v>
      </c>
      <c r="M10" s="13" t="s">
        <v>33</v>
      </c>
      <c r="N10" s="14" t="s">
        <v>34</v>
      </c>
      <c r="O10" s="14" t="s">
        <v>35</v>
      </c>
      <c r="P10" s="1" t="s">
        <v>36</v>
      </c>
      <c r="Q10" s="1" t="s">
        <v>37</v>
      </c>
      <c r="R10" s="7" t="s">
        <v>38</v>
      </c>
    </row>
    <row r="11" spans="1:18" ht="39.75" customHeight="1">
      <c r="A11" s="15"/>
      <c r="B11" s="51" t="str">
        <f>"Tổ chức phát hành: "&amp;VLOOKUP('[1]N-M'!M2,$L$4:$T$564,2,0)</f>
        <v>Tổ chức phát hành: Công ty TNHH Đầu tư Bất động sản Ngôi sao Việt</v>
      </c>
      <c r="C11" s="51"/>
      <c r="D11" s="51"/>
      <c r="E11" s="51"/>
      <c r="F11" s="52"/>
      <c r="G11" s="53" t="str">
        <f>"    Mã TP: "&amp;'[1]N-M'!M2</f>
        <v xml:space="preserve">    Mã TP: NSV.BOND2017-01</v>
      </c>
      <c r="H11" s="54"/>
      <c r="I11" s="54"/>
      <c r="J11" s="55"/>
      <c r="L11" s="12" t="s">
        <v>39</v>
      </c>
      <c r="M11" s="13" t="s">
        <v>33</v>
      </c>
      <c r="N11" s="14" t="s">
        <v>34</v>
      </c>
      <c r="O11" s="14" t="s">
        <v>35</v>
      </c>
      <c r="P11" s="1" t="s">
        <v>36</v>
      </c>
      <c r="Q11" s="1" t="s">
        <v>37</v>
      </c>
      <c r="R11" s="7" t="s">
        <v>38</v>
      </c>
    </row>
    <row r="12" spans="1:18" ht="28.5" customHeight="1">
      <c r="A12" s="16"/>
      <c r="B12" s="56" t="str">
        <f>"Ngày phát hành: "&amp;VLOOKUP('[1]N-M'!M2,$L$4:$S$564,3,0)</f>
        <v>Ngày phát hành: 30/12/2017</v>
      </c>
      <c r="C12" s="56"/>
      <c r="D12" s="56"/>
      <c r="E12" s="56"/>
      <c r="F12" s="48"/>
      <c r="G12" s="57" t="str">
        <f>"    Ngày đáo hạn: "&amp;VLOOKUP('[1]N-M'!M2,$L$4:$T$564,4,0)</f>
        <v xml:space="preserve">    Ngày đáo hạn: 30/12/2020</v>
      </c>
      <c r="H12" s="57"/>
      <c r="I12" s="57"/>
      <c r="J12" s="57"/>
      <c r="L12" s="12" t="s">
        <v>40</v>
      </c>
      <c r="M12" s="13" t="s">
        <v>33</v>
      </c>
      <c r="N12" s="14" t="s">
        <v>34</v>
      </c>
      <c r="O12" s="14" t="s">
        <v>35</v>
      </c>
      <c r="P12" s="1" t="s">
        <v>36</v>
      </c>
      <c r="Q12" s="1" t="s">
        <v>37</v>
      </c>
      <c r="R12" s="7" t="s">
        <v>38</v>
      </c>
    </row>
    <row r="13" spans="1:18" ht="63.65" customHeight="1">
      <c r="A13" s="15"/>
      <c r="B13" s="51" t="str">
        <f>"Coupon: Lãi suất cho kỳ tính lãi đầu tiên là "&amp;VLOOKUP('[1]N-M'!M2,$L$4:$T$564,5,0)&amp;". Lãi suất cho các kỳ tính lãi tiếp theo bằng lãi suất thRM chiếu cộng (+) biên độ "&amp;VLOOKUP('[1]N-M'!M2,$L$4:$T$564,6,0)</f>
        <v>Coupon: Lãi suất cho kỳ tính lãi đầu tiên là 10,825%/năm. Lãi suất cho các kỳ tính lãi tiếp theo bằng lãi suất thRM chiếu cộng (+) biên độ 4%/năm</v>
      </c>
      <c r="C13" s="51"/>
      <c r="D13" s="51"/>
      <c r="E13" s="51"/>
      <c r="F13" s="52"/>
      <c r="G13" s="57" t="s">
        <v>41</v>
      </c>
      <c r="H13" s="57"/>
      <c r="I13" s="57"/>
      <c r="J13" s="57"/>
      <c r="L13" s="12" t="s">
        <v>42</v>
      </c>
      <c r="M13" s="13" t="s">
        <v>33</v>
      </c>
      <c r="N13" s="14" t="s">
        <v>34</v>
      </c>
      <c r="O13" s="14" t="s">
        <v>35</v>
      </c>
      <c r="P13" s="1" t="s">
        <v>36</v>
      </c>
      <c r="Q13" s="1" t="s">
        <v>37</v>
      </c>
      <c r="R13" s="7" t="s">
        <v>38</v>
      </c>
    </row>
    <row r="14" spans="1:18" ht="36.75" customHeight="1">
      <c r="A14" s="15"/>
      <c r="B14" s="51" t="str">
        <f>"Hạn mức mua còn lại trước giao dịch: "&amp;TEXT('[1]N-M'!W2,"#,#")&amp;" đ"</f>
        <v>Hạn mức mua còn lại trước giao dịch: 144,607,238,304 đ</v>
      </c>
      <c r="C14" s="51"/>
      <c r="D14" s="51"/>
      <c r="E14" s="51"/>
      <c r="F14" s="52"/>
      <c r="G14" s="57" t="str">
        <f>"   Hạn mức cấp: "&amp;TEXT('[1]N-M'!T2,"#,#")&amp;" đ"</f>
        <v xml:space="preserve">   Hạn mức cấp: 2,151,020,064 đ</v>
      </c>
      <c r="H14" s="57"/>
      <c r="I14" s="57"/>
      <c r="J14" s="57"/>
      <c r="L14" s="9" t="s">
        <v>44</v>
      </c>
      <c r="M14" s="1" t="s">
        <v>45</v>
      </c>
      <c r="N14" s="17" t="s">
        <v>7</v>
      </c>
      <c r="O14" s="17" t="s">
        <v>8</v>
      </c>
      <c r="P14" s="1" t="s">
        <v>22</v>
      </c>
      <c r="Q14" s="1" t="s">
        <v>46</v>
      </c>
      <c r="R14" s="7" t="s">
        <v>43</v>
      </c>
    </row>
    <row r="15" spans="1:18">
      <c r="G15" s="43" t="s">
        <v>437</v>
      </c>
      <c r="L15" s="9" t="s">
        <v>48</v>
      </c>
      <c r="M15" s="1" t="s">
        <v>45</v>
      </c>
      <c r="N15" s="17" t="s">
        <v>7</v>
      </c>
      <c r="O15" s="17" t="s">
        <v>8</v>
      </c>
      <c r="P15" s="1" t="s">
        <v>22</v>
      </c>
      <c r="Q15" s="1" t="s">
        <v>46</v>
      </c>
      <c r="R15" s="7" t="s">
        <v>43</v>
      </c>
    </row>
    <row r="16" spans="1:18" ht="22.5" customHeight="1">
      <c r="A16" s="11" t="s">
        <v>47</v>
      </c>
      <c r="L16" s="29" t="s">
        <v>400</v>
      </c>
      <c r="M16" s="13" t="s">
        <v>50</v>
      </c>
      <c r="N16" s="14" t="s">
        <v>51</v>
      </c>
      <c r="O16" s="14" t="s">
        <v>52</v>
      </c>
      <c r="P16" s="1" t="s">
        <v>53</v>
      </c>
      <c r="Q16" s="1" t="s">
        <v>54</v>
      </c>
      <c r="R16" s="7" t="s">
        <v>401</v>
      </c>
    </row>
    <row r="17" spans="1:18">
      <c r="B17" s="1" t="str">
        <f>"Số quyết định: "&amp;VLOOKUP('[1]N-M'!M2,'P-M'!$L$4:$R$564,7,0)</f>
        <v>Số quyết định: 2379/2019/QĐ-TGĐ ngày 11/10/2019</v>
      </c>
      <c r="G17" s="43" t="s">
        <v>438</v>
      </c>
      <c r="L17" s="29" t="s">
        <v>402</v>
      </c>
      <c r="M17" s="13" t="s">
        <v>50</v>
      </c>
      <c r="N17" s="14" t="s">
        <v>51</v>
      </c>
      <c r="O17" s="14" t="s">
        <v>21</v>
      </c>
      <c r="P17" s="1" t="s">
        <v>53</v>
      </c>
      <c r="Q17" s="1" t="s">
        <v>54</v>
      </c>
      <c r="R17" s="7" t="s">
        <v>401</v>
      </c>
    </row>
    <row r="18" spans="1:18">
      <c r="A18" s="19"/>
      <c r="B18" s="48" t="str">
        <f>"Đối tác giao dịch: "&amp;'[1]N-M'!J2</f>
        <v>Đối tác giao dịch: Vũ Văn Phán</v>
      </c>
      <c r="C18" s="49"/>
      <c r="D18" s="49"/>
      <c r="E18" s="49"/>
      <c r="F18" s="49"/>
      <c r="G18" s="49"/>
      <c r="H18" s="49"/>
      <c r="I18" s="49"/>
      <c r="J18" s="49"/>
      <c r="L18" s="29" t="s">
        <v>403</v>
      </c>
      <c r="M18" s="13" t="s">
        <v>50</v>
      </c>
      <c r="N18" s="14" t="s">
        <v>51</v>
      </c>
      <c r="O18" s="14" t="s">
        <v>58</v>
      </c>
      <c r="P18" s="1" t="s">
        <v>53</v>
      </c>
      <c r="Q18" s="1" t="s">
        <v>54</v>
      </c>
      <c r="R18" s="7" t="s">
        <v>401</v>
      </c>
    </row>
    <row r="19" spans="1:18">
      <c r="A19" s="19"/>
      <c r="B19" s="48" t="str">
        <f>"Hợp đồng số: "&amp;'[1]N-M'!L2</f>
        <v>Hợp đồng số: 110305.01250.01557.3E3A1E.NSV01/HDTP-M-0A29BB/SHB.</v>
      </c>
      <c r="C19" s="49"/>
      <c r="D19" s="49"/>
      <c r="E19" s="49"/>
      <c r="F19" s="49"/>
      <c r="G19" s="49"/>
      <c r="H19" s="49"/>
      <c r="I19" s="49"/>
      <c r="J19" s="49"/>
      <c r="L19" s="29" t="s">
        <v>404</v>
      </c>
      <c r="M19" s="13" t="s">
        <v>50</v>
      </c>
      <c r="N19" s="14" t="s">
        <v>51</v>
      </c>
      <c r="O19" s="14" t="s">
        <v>60</v>
      </c>
      <c r="P19" s="1" t="s">
        <v>53</v>
      </c>
      <c r="Q19" s="1" t="s">
        <v>54</v>
      </c>
      <c r="R19" s="7" t="s">
        <v>401</v>
      </c>
    </row>
    <row r="20" spans="1:18">
      <c r="A20" s="19"/>
      <c r="B20" s="48" t="str">
        <f ca="1">"Ngày giao dịch: "&amp;TEXT(M1,"dd/mm/yyyy")</f>
        <v>Ngày giao dịch: 26/01/2021</v>
      </c>
      <c r="C20" s="49"/>
      <c r="D20" s="49"/>
      <c r="E20" s="49"/>
      <c r="F20" s="49" t="str">
        <f>"  CIF KH: "&amp;'[1]N-M'!O2</f>
        <v xml:space="preserve">  CIF KH: '0112587709</v>
      </c>
      <c r="G20" s="49"/>
      <c r="H20" s="49"/>
      <c r="I20" s="49"/>
      <c r="J20" s="49"/>
      <c r="L20" s="29" t="s">
        <v>405</v>
      </c>
      <c r="M20" s="13" t="s">
        <v>50</v>
      </c>
      <c r="N20" s="14" t="s">
        <v>51</v>
      </c>
      <c r="O20" s="14" t="s">
        <v>62</v>
      </c>
      <c r="P20" s="1" t="s">
        <v>53</v>
      </c>
      <c r="Q20" s="1" t="s">
        <v>54</v>
      </c>
      <c r="R20" s="7" t="s">
        <v>401</v>
      </c>
    </row>
    <row r="21" spans="1:18">
      <c r="A21" s="19"/>
      <c r="B21" s="48" t="str">
        <f ca="1">"Ngày thanh toán: "&amp;TEXT(M1,"dd/mm/yyyy")</f>
        <v>Ngày thanh toán: 26/01/2021</v>
      </c>
      <c r="C21" s="49"/>
      <c r="D21" s="49"/>
      <c r="E21" s="49"/>
      <c r="F21" s="49" t="s">
        <v>67</v>
      </c>
      <c r="G21" s="49"/>
      <c r="H21" s="49"/>
      <c r="I21" s="49"/>
      <c r="J21" s="49"/>
      <c r="L21" s="29" t="s">
        <v>406</v>
      </c>
      <c r="M21" s="13" t="s">
        <v>50</v>
      </c>
      <c r="N21" s="14" t="s">
        <v>51</v>
      </c>
      <c r="O21" s="14" t="s">
        <v>64</v>
      </c>
      <c r="P21" s="1" t="s">
        <v>53</v>
      </c>
      <c r="Q21" s="1" t="s">
        <v>54</v>
      </c>
      <c r="R21" s="7" t="s">
        <v>401</v>
      </c>
    </row>
    <row r="22" spans="1:18">
      <c r="A22" s="19"/>
      <c r="B22" s="48" t="str">
        <f>"Mã RM: "&amp;'[1]N-M'!B2</f>
        <v>Mã RM: 01557</v>
      </c>
      <c r="C22" s="49"/>
      <c r="D22" s="49"/>
      <c r="E22" s="49"/>
      <c r="F22" s="49" t="str">
        <f>"  Mã đơn vị: "&amp;'[1]N-M'!H2</f>
        <v xml:space="preserve">  Mã đơn vị: 110305</v>
      </c>
      <c r="G22" s="49"/>
      <c r="H22" s="49"/>
      <c r="I22" s="49"/>
      <c r="J22" s="49"/>
      <c r="L22" s="29" t="s">
        <v>407</v>
      </c>
      <c r="M22" s="13" t="s">
        <v>50</v>
      </c>
      <c r="N22" s="14" t="s">
        <v>51</v>
      </c>
      <c r="O22" s="14" t="s">
        <v>66</v>
      </c>
      <c r="P22" s="1" t="s">
        <v>53</v>
      </c>
      <c r="Q22" s="1" t="s">
        <v>54</v>
      </c>
      <c r="R22" s="7" t="s">
        <v>401</v>
      </c>
    </row>
    <row r="23" spans="1:18">
      <c r="A23" s="19"/>
      <c r="B23" s="48" t="str">
        <f>"Số lượng TP: "&amp;TEXT('[1]N-M'!Q2,"#,#")&amp;" TP"</f>
        <v>Số lượng TP: 1,968 TP</v>
      </c>
      <c r="C23" s="49"/>
      <c r="D23" s="49"/>
      <c r="E23" s="49"/>
      <c r="F23" s="49" t="str">
        <f>"  Giá thực hiện: "&amp;TEXT('[1]N-M'!R2,"##,#")&amp;" VNĐ/Trái phiếu"</f>
        <v xml:space="preserve">  Giá thực hiện: 1,092,998 VNĐ/Trái phiếu</v>
      </c>
      <c r="G23" s="49"/>
      <c r="H23" s="49"/>
      <c r="I23" s="49"/>
      <c r="J23" s="49"/>
      <c r="L23" s="29" t="s">
        <v>408</v>
      </c>
      <c r="M23" s="13" t="s">
        <v>50</v>
      </c>
      <c r="N23" s="14" t="s">
        <v>51</v>
      </c>
      <c r="O23" s="14" t="s">
        <v>69</v>
      </c>
      <c r="P23" s="1" t="s">
        <v>53</v>
      </c>
      <c r="Q23" s="1" t="s">
        <v>54</v>
      </c>
      <c r="R23" s="7" t="s">
        <v>401</v>
      </c>
    </row>
    <row r="24" spans="1:18">
      <c r="A24" s="19"/>
      <c r="B24" s="48" t="str">
        <f>"Tổng mệnh giá: "&amp;TEXT('[1]N-M'!S2,"##,#")&amp;" VND"</f>
        <v>Tổng mệnh giá: 1,968,000,000 VND</v>
      </c>
      <c r="C24" s="49"/>
      <c r="D24" s="49"/>
      <c r="E24" s="49"/>
      <c r="F24" s="49" t="str">
        <f>"  Tổng giá trị giao dịch: "&amp;TEXT('[1]N-M'!T2,"##,#")&amp;" VND"</f>
        <v xml:space="preserve">  Tổng giá trị giao dịch: 2,151,020,064 VND</v>
      </c>
      <c r="G24" s="49"/>
      <c r="H24" s="49"/>
      <c r="I24" s="49"/>
      <c r="J24" s="49"/>
      <c r="L24" s="29" t="s">
        <v>409</v>
      </c>
      <c r="M24" s="13" t="s">
        <v>50</v>
      </c>
      <c r="N24" s="14" t="s">
        <v>51</v>
      </c>
      <c r="O24" s="14" t="s">
        <v>71</v>
      </c>
      <c r="P24" s="1" t="s">
        <v>53</v>
      </c>
      <c r="Q24" s="1" t="s">
        <v>54</v>
      </c>
      <c r="R24" s="7" t="s">
        <v>401</v>
      </c>
    </row>
    <row r="25" spans="1:18">
      <c r="A25" s="19"/>
      <c r="B25" s="48" t="str">
        <f>"Tổng giá trị thanh toán: "&amp;TEXT('[1]N-M'!V2,"##,#")&amp;" VND"</f>
        <v>Tổng giá trị thanh toán: 2,148,573,844 VND</v>
      </c>
      <c r="C25" s="49"/>
      <c r="D25" s="49"/>
      <c r="E25" s="49"/>
      <c r="F25" s="49"/>
      <c r="G25" s="49"/>
      <c r="H25" s="49"/>
      <c r="I25" s="49"/>
      <c r="J25" s="49"/>
      <c r="L25" s="29" t="s">
        <v>410</v>
      </c>
      <c r="M25" s="13" t="s">
        <v>50</v>
      </c>
      <c r="N25" s="14" t="s">
        <v>51</v>
      </c>
      <c r="O25" s="14" t="s">
        <v>73</v>
      </c>
      <c r="P25" s="1" t="s">
        <v>53</v>
      </c>
      <c r="Q25" s="1" t="s">
        <v>54</v>
      </c>
      <c r="R25" s="7" t="s">
        <v>401</v>
      </c>
    </row>
    <row r="26" spans="1:18">
      <c r="L26" s="29" t="s">
        <v>411</v>
      </c>
      <c r="M26" s="13" t="s">
        <v>50</v>
      </c>
      <c r="N26" s="14" t="s">
        <v>51</v>
      </c>
      <c r="O26" s="14" t="s">
        <v>76</v>
      </c>
      <c r="P26" s="1" t="s">
        <v>53</v>
      </c>
      <c r="Q26" s="1" t="s">
        <v>54</v>
      </c>
      <c r="R26" s="7" t="s">
        <v>401</v>
      </c>
    </row>
    <row r="27" spans="1:18" ht="38.25" customHeight="1">
      <c r="F27" s="58" t="s">
        <v>74</v>
      </c>
      <c r="G27" s="46"/>
      <c r="H27" s="46"/>
      <c r="I27" s="46"/>
      <c r="J27" s="46"/>
      <c r="L27" s="29" t="s">
        <v>412</v>
      </c>
      <c r="M27" s="13" t="s">
        <v>50</v>
      </c>
      <c r="N27" s="14" t="s">
        <v>51</v>
      </c>
      <c r="O27" s="14" t="s">
        <v>76</v>
      </c>
      <c r="P27" s="1" t="s">
        <v>53</v>
      </c>
      <c r="Q27" s="1" t="s">
        <v>54</v>
      </c>
      <c r="R27" s="7" t="s">
        <v>401</v>
      </c>
    </row>
    <row r="28" spans="1:18">
      <c r="L28" s="29" t="s">
        <v>413</v>
      </c>
      <c r="M28" s="13" t="s">
        <v>50</v>
      </c>
      <c r="N28" s="14" t="s">
        <v>51</v>
      </c>
      <c r="O28" s="14" t="s">
        <v>80</v>
      </c>
      <c r="P28" s="1" t="s">
        <v>53</v>
      </c>
      <c r="Q28" s="1" t="s">
        <v>54</v>
      </c>
      <c r="R28" s="7" t="s">
        <v>401</v>
      </c>
    </row>
    <row r="29" spans="1:18">
      <c r="K29" s="1" t="s">
        <v>78</v>
      </c>
      <c r="L29" s="29" t="s">
        <v>414</v>
      </c>
      <c r="M29" s="13" t="s">
        <v>50</v>
      </c>
      <c r="N29" s="14" t="s">
        <v>51</v>
      </c>
      <c r="O29" s="14" t="s">
        <v>80</v>
      </c>
      <c r="P29" s="1" t="s">
        <v>53</v>
      </c>
      <c r="Q29" s="1" t="s">
        <v>54</v>
      </c>
      <c r="R29" s="7" t="s">
        <v>401</v>
      </c>
    </row>
    <row r="30" spans="1:18">
      <c r="K30" s="1" t="s">
        <v>81</v>
      </c>
      <c r="L30" s="29" t="s">
        <v>415</v>
      </c>
      <c r="M30" s="13" t="s">
        <v>50</v>
      </c>
      <c r="N30" s="14" t="s">
        <v>51</v>
      </c>
      <c r="O30" s="14" t="s">
        <v>80</v>
      </c>
      <c r="P30" s="1" t="s">
        <v>53</v>
      </c>
      <c r="Q30" s="1" t="s">
        <v>54</v>
      </c>
      <c r="R30" s="7" t="s">
        <v>401</v>
      </c>
    </row>
    <row r="31" spans="1:18">
      <c r="F31" s="46" t="str">
        <f>K30</f>
        <v>Nguyễn Thế Dũng</v>
      </c>
      <c r="G31" s="46"/>
      <c r="H31" s="46"/>
      <c r="I31" s="46"/>
      <c r="J31" s="46"/>
      <c r="L31" s="29" t="s">
        <v>416</v>
      </c>
      <c r="M31" s="13" t="s">
        <v>50</v>
      </c>
      <c r="N31" s="14" t="s">
        <v>51</v>
      </c>
      <c r="O31" s="14" t="s">
        <v>80</v>
      </c>
      <c r="P31" s="1" t="s">
        <v>53</v>
      </c>
      <c r="Q31" s="1" t="s">
        <v>54</v>
      </c>
      <c r="R31" s="7" t="s">
        <v>401</v>
      </c>
    </row>
    <row r="32" spans="1:18" ht="24.75" customHeight="1">
      <c r="I32" s="44" t="s">
        <v>0</v>
      </c>
      <c r="J32" s="44"/>
      <c r="L32" s="29" t="s">
        <v>417</v>
      </c>
      <c r="M32" s="13" t="s">
        <v>50</v>
      </c>
      <c r="N32" s="14" t="s">
        <v>51</v>
      </c>
      <c r="O32" s="14" t="s">
        <v>80</v>
      </c>
      <c r="P32" s="1" t="s">
        <v>53</v>
      </c>
      <c r="Q32" s="1" t="s">
        <v>54</v>
      </c>
      <c r="R32" s="7" t="s">
        <v>401</v>
      </c>
    </row>
    <row r="33" spans="1:18">
      <c r="E33" s="45" t="s">
        <v>2</v>
      </c>
      <c r="F33" s="45"/>
      <c r="G33" s="45"/>
      <c r="H33" s="45"/>
      <c r="I33" s="45"/>
      <c r="J33" s="45"/>
      <c r="L33" s="29" t="s">
        <v>418</v>
      </c>
      <c r="M33" s="13" t="s">
        <v>50</v>
      </c>
      <c r="N33" s="14" t="s">
        <v>51</v>
      </c>
      <c r="O33" s="14" t="s">
        <v>80</v>
      </c>
      <c r="P33" s="1" t="s">
        <v>53</v>
      </c>
      <c r="Q33" s="1" t="s">
        <v>54</v>
      </c>
      <c r="R33" s="7" t="s">
        <v>401</v>
      </c>
    </row>
    <row r="34" spans="1:18">
      <c r="E34" s="45" t="s">
        <v>3</v>
      </c>
      <c r="F34" s="45"/>
      <c r="G34" s="45"/>
      <c r="H34" s="45"/>
      <c r="I34" s="45"/>
      <c r="J34" s="45"/>
      <c r="L34" s="29" t="s">
        <v>419</v>
      </c>
      <c r="M34" s="13" t="s">
        <v>50</v>
      </c>
      <c r="N34" s="14" t="s">
        <v>51</v>
      </c>
      <c r="O34" s="14" t="s">
        <v>80</v>
      </c>
      <c r="P34" s="1" t="s">
        <v>53</v>
      </c>
      <c r="Q34" s="1" t="s">
        <v>54</v>
      </c>
      <c r="R34" s="7" t="s">
        <v>401</v>
      </c>
    </row>
    <row r="35" spans="1:18">
      <c r="E35" s="45"/>
      <c r="F35" s="45"/>
      <c r="G35" s="45"/>
      <c r="H35" s="45"/>
      <c r="I35" s="45"/>
      <c r="J35" s="45"/>
      <c r="L35" s="29" t="s">
        <v>420</v>
      </c>
      <c r="M35" s="13" t="s">
        <v>50</v>
      </c>
      <c r="N35" s="14" t="s">
        <v>51</v>
      </c>
      <c r="O35" s="14" t="s">
        <v>80</v>
      </c>
      <c r="P35" s="1" t="s">
        <v>53</v>
      </c>
      <c r="Q35" s="1" t="s">
        <v>54</v>
      </c>
      <c r="R35" s="7" t="s">
        <v>401</v>
      </c>
    </row>
    <row r="36" spans="1:18">
      <c r="B36" s="46" t="s">
        <v>12</v>
      </c>
      <c r="C36" s="46"/>
      <c r="D36" s="46"/>
      <c r="L36" s="29" t="s">
        <v>421</v>
      </c>
      <c r="M36" s="13" t="s">
        <v>50</v>
      </c>
      <c r="N36" s="14" t="s">
        <v>51</v>
      </c>
      <c r="O36" s="14" t="s">
        <v>80</v>
      </c>
      <c r="P36" s="1" t="s">
        <v>53</v>
      </c>
      <c r="Q36" s="1" t="s">
        <v>54</v>
      </c>
      <c r="R36" s="7" t="s">
        <v>401</v>
      </c>
    </row>
    <row r="37" spans="1:18" ht="25.5" customHeight="1">
      <c r="E37" s="47" t="str">
        <f ca="1">"SỐ: "&amp;TEXT($M$1,"ddmm")&amp;CHAR(CODE($M$3)+1)&amp;"1"&amp;"/"&amp;YEAR($M$1)&amp;"/KDTPBL"</f>
        <v>SỐ: 2601B1/2021/KDTPBL</v>
      </c>
      <c r="F37" s="47"/>
      <c r="G37" s="47"/>
      <c r="H37" s="47"/>
      <c r="I37" s="47"/>
      <c r="J37" s="47"/>
      <c r="L37" s="29" t="s">
        <v>422</v>
      </c>
      <c r="M37" s="13" t="s">
        <v>50</v>
      </c>
      <c r="N37" s="14" t="s">
        <v>51</v>
      </c>
      <c r="O37" s="14" t="s">
        <v>80</v>
      </c>
      <c r="P37" s="1" t="s">
        <v>53</v>
      </c>
      <c r="Q37" s="1" t="s">
        <v>54</v>
      </c>
      <c r="R37" s="7" t="s">
        <v>401</v>
      </c>
    </row>
    <row r="38" spans="1:18" ht="49.5" customHeight="1">
      <c r="B38" s="50" t="s">
        <v>17</v>
      </c>
      <c r="C38" s="50"/>
      <c r="D38" s="50"/>
      <c r="E38" s="50"/>
      <c r="F38" s="50"/>
      <c r="G38" s="50"/>
      <c r="H38" s="50"/>
      <c r="I38" s="50"/>
      <c r="J38" s="50"/>
      <c r="L38" s="29" t="s">
        <v>423</v>
      </c>
      <c r="M38" s="13" t="s">
        <v>50</v>
      </c>
      <c r="N38" s="14" t="s">
        <v>51</v>
      </c>
      <c r="O38" s="14" t="s">
        <v>80</v>
      </c>
      <c r="P38" s="1" t="s">
        <v>53</v>
      </c>
      <c r="Q38" s="1" t="s">
        <v>54</v>
      </c>
      <c r="R38" s="7" t="s">
        <v>401</v>
      </c>
    </row>
    <row r="39" spans="1:18">
      <c r="B39" s="1" t="s">
        <v>398</v>
      </c>
      <c r="F39" s="1" t="s">
        <v>399</v>
      </c>
      <c r="H39" s="1" t="s">
        <v>27</v>
      </c>
      <c r="L39" s="29" t="s">
        <v>424</v>
      </c>
      <c r="M39" s="13" t="s">
        <v>50</v>
      </c>
      <c r="N39" s="14" t="s">
        <v>51</v>
      </c>
      <c r="O39" s="14" t="s">
        <v>80</v>
      </c>
      <c r="P39" s="1" t="s">
        <v>53</v>
      </c>
      <c r="Q39" s="1" t="s">
        <v>54</v>
      </c>
      <c r="R39" s="7" t="s">
        <v>401</v>
      </c>
    </row>
    <row r="40" spans="1:18">
      <c r="B40" s="1" t="s">
        <v>29</v>
      </c>
      <c r="D40" s="10" t="str">
        <f>'[1]N-M'!L3</f>
        <v>111800.04620.03599.F03D4A.EASUP5.E93A.2020/HDTP-M-EBD2B1/SHB.</v>
      </c>
      <c r="L40" s="29" t="s">
        <v>425</v>
      </c>
      <c r="M40" s="13" t="s">
        <v>50</v>
      </c>
      <c r="N40" s="14" t="s">
        <v>51</v>
      </c>
      <c r="O40" s="14" t="s">
        <v>80</v>
      </c>
      <c r="P40" s="1" t="s">
        <v>53</v>
      </c>
      <c r="Q40" s="1" t="s">
        <v>54</v>
      </c>
      <c r="R40" s="7" t="s">
        <v>401</v>
      </c>
    </row>
    <row r="41" spans="1:18" ht="30" customHeight="1">
      <c r="A41" s="11" t="s">
        <v>31</v>
      </c>
      <c r="L41" s="29" t="s">
        <v>426</v>
      </c>
      <c r="M41" s="13" t="s">
        <v>50</v>
      </c>
      <c r="N41" s="14" t="s">
        <v>51</v>
      </c>
      <c r="O41" s="14" t="s">
        <v>80</v>
      </c>
      <c r="P41" s="1" t="s">
        <v>53</v>
      </c>
      <c r="Q41" s="1" t="s">
        <v>54</v>
      </c>
      <c r="R41" s="7" t="s">
        <v>401</v>
      </c>
    </row>
    <row r="42" spans="1:18" ht="39.75" customHeight="1">
      <c r="A42" s="15"/>
      <c r="B42" s="51" t="str">
        <f>"Tổ chức phát hành: "&amp;VLOOKUP('[1]N-M'!M3,$L$4:$T$564,2,0)</f>
        <v>Tổ chức phát hành: Công ty cổ phần Ea Súp 5</v>
      </c>
      <c r="C42" s="51"/>
      <c r="D42" s="51"/>
      <c r="E42" s="51"/>
      <c r="F42" s="52"/>
      <c r="G42" s="53" t="str">
        <f>"    Mã TP: "&amp;'[1]N-M'!M3</f>
        <v xml:space="preserve">    Mã TP: EASUP5.E93A.2020</v>
      </c>
      <c r="H42" s="54"/>
      <c r="I42" s="54"/>
      <c r="J42" s="55"/>
      <c r="L42" s="29" t="s">
        <v>427</v>
      </c>
      <c r="M42" s="13" t="s">
        <v>50</v>
      </c>
      <c r="N42" s="14" t="s">
        <v>51</v>
      </c>
      <c r="O42" s="14" t="s">
        <v>80</v>
      </c>
      <c r="P42" s="1" t="s">
        <v>53</v>
      </c>
      <c r="Q42" s="1" t="s">
        <v>54</v>
      </c>
      <c r="R42" s="7" t="s">
        <v>401</v>
      </c>
    </row>
    <row r="43" spans="1:18" ht="27.75" customHeight="1">
      <c r="A43" s="16"/>
      <c r="B43" s="56" t="str">
        <f>"Ngày phát hành: "&amp;VLOOKUP('[1]N-M'!M3,$L$4:$S$564,3,0)</f>
        <v>Ngày phát hành: 25/06/2020</v>
      </c>
      <c r="C43" s="56"/>
      <c r="D43" s="56"/>
      <c r="E43" s="56"/>
      <c r="F43" s="48"/>
      <c r="G43" s="57" t="str">
        <f>"    Ngày đáo hạn: "&amp;VLOOKUP('[1]N-M'!M3,$L$4:$T$564,4,0)</f>
        <v xml:space="preserve">    Ngày đáo hạn: 25/06/2032</v>
      </c>
      <c r="H43" s="57"/>
      <c r="I43" s="57"/>
      <c r="J43" s="57"/>
      <c r="L43" s="29" t="s">
        <v>428</v>
      </c>
      <c r="M43" s="13" t="s">
        <v>50</v>
      </c>
      <c r="N43" s="14" t="s">
        <v>51</v>
      </c>
      <c r="O43" s="14" t="s">
        <v>80</v>
      </c>
      <c r="P43" s="1" t="s">
        <v>53</v>
      </c>
      <c r="Q43" s="1" t="s">
        <v>54</v>
      </c>
      <c r="R43" s="7" t="s">
        <v>401</v>
      </c>
    </row>
    <row r="44" spans="1:18" ht="63.65" customHeight="1">
      <c r="A44" s="15"/>
      <c r="B44" s="51" t="str">
        <f>"Coupon: Lãi suất cho kỳ tính lãi đầu tiên là "&amp;VLOOKUP('[1]N-M'!M3,$L$4:$T$564,5,0)&amp;". Lãi suất cho các kỳ tính lãi tiếp theo bằng lãi suất thRM chiếu cộng (+) biên độ "&amp;VLOOKUP('[1]N-M'!M3,$L$4:$T$564,6,0)</f>
        <v>Coupon: Lãi suất cho kỳ tính lãi đầu tiên là 11,25%/năm. Lãi suất cho các kỳ tính lãi tiếp theo bằng lãi suất thRM chiếu cộng (+) biên độ 2,5%/năm</v>
      </c>
      <c r="C44" s="51"/>
      <c r="D44" s="51"/>
      <c r="E44" s="51"/>
      <c r="F44" s="52"/>
      <c r="G44" s="57" t="s">
        <v>41</v>
      </c>
      <c r="H44" s="57"/>
      <c r="I44" s="57"/>
      <c r="J44" s="57"/>
      <c r="L44" s="29" t="s">
        <v>429</v>
      </c>
      <c r="M44" s="13" t="s">
        <v>50</v>
      </c>
      <c r="N44" s="14" t="s">
        <v>51</v>
      </c>
      <c r="O44" s="14" t="s">
        <v>80</v>
      </c>
      <c r="P44" s="1" t="s">
        <v>53</v>
      </c>
      <c r="Q44" s="1" t="s">
        <v>54</v>
      </c>
      <c r="R44" s="7" t="s">
        <v>401</v>
      </c>
    </row>
    <row r="45" spans="1:18" ht="36.75" customHeight="1">
      <c r="A45" s="15"/>
      <c r="B45" s="51" t="str">
        <f>"Hạn mức mua còn lại trước giao dịch: "&amp;TEXT('[1]N-M'!W3,"#,#")&amp;" đ"</f>
        <v>Hạn mức mua còn lại trước giao dịch: 327,162,904,089 đ</v>
      </c>
      <c r="C45" s="51"/>
      <c r="D45" s="51"/>
      <c r="E45" s="51"/>
      <c r="F45" s="52"/>
      <c r="G45" s="57" t="str">
        <f>"   Hạn mức cấp: "&amp;TEXT('[1]N-M'!T3,"#,#")&amp;" đ"</f>
        <v xml:space="preserve">   Hạn mức cấp: 4,379,997,969 đ</v>
      </c>
      <c r="H45" s="57"/>
      <c r="I45" s="57"/>
      <c r="J45" s="57"/>
      <c r="L45" s="29" t="s">
        <v>430</v>
      </c>
      <c r="M45" s="13" t="s">
        <v>50</v>
      </c>
      <c r="N45" s="14" t="s">
        <v>51</v>
      </c>
      <c r="O45" s="14" t="s">
        <v>80</v>
      </c>
      <c r="P45" s="1" t="s">
        <v>53</v>
      </c>
      <c r="Q45" s="1" t="s">
        <v>54</v>
      </c>
      <c r="R45" s="7" t="s">
        <v>401</v>
      </c>
    </row>
    <row r="46" spans="1:18">
      <c r="L46" s="29" t="s">
        <v>431</v>
      </c>
      <c r="M46" s="13" t="s">
        <v>50</v>
      </c>
      <c r="N46" s="14" t="s">
        <v>51</v>
      </c>
      <c r="O46" s="14" t="s">
        <v>80</v>
      </c>
      <c r="P46" s="1" t="s">
        <v>53</v>
      </c>
      <c r="Q46" s="1" t="s">
        <v>54</v>
      </c>
      <c r="R46" s="7" t="s">
        <v>401</v>
      </c>
    </row>
    <row r="47" spans="1:18">
      <c r="A47" s="11" t="s">
        <v>47</v>
      </c>
      <c r="L47" s="29" t="s">
        <v>432</v>
      </c>
      <c r="M47" s="13" t="s">
        <v>50</v>
      </c>
      <c r="N47" s="14" t="s">
        <v>51</v>
      </c>
      <c r="O47" s="14" t="s">
        <v>80</v>
      </c>
      <c r="P47" s="1" t="s">
        <v>53</v>
      </c>
      <c r="Q47" s="1" t="s">
        <v>54</v>
      </c>
      <c r="R47" s="7" t="s">
        <v>401</v>
      </c>
    </row>
    <row r="48" spans="1:18">
      <c r="B48" s="1" t="str">
        <f>"Số quyết định: "&amp;VLOOKUP('[1]N-M'!M3,'P-M'!$L$4:$R$564,7,0)</f>
        <v>Số quyết định: 2011/2020/QĐ-TGĐ ngày 22/07/2020</v>
      </c>
      <c r="L48" s="29" t="s">
        <v>433</v>
      </c>
      <c r="M48" s="13" t="s">
        <v>50</v>
      </c>
      <c r="N48" s="14" t="s">
        <v>51</v>
      </c>
      <c r="O48" s="14" t="s">
        <v>80</v>
      </c>
      <c r="P48" s="1" t="s">
        <v>53</v>
      </c>
      <c r="Q48" s="1" t="s">
        <v>54</v>
      </c>
      <c r="R48" s="7" t="s">
        <v>401</v>
      </c>
    </row>
    <row r="49" spans="1:19">
      <c r="A49" s="19"/>
      <c r="B49" s="48" t="str">
        <f>"Đối tác giao dịch: "&amp;'[1]N-M'!J3</f>
        <v>Đối tác giao dịch: Đỗ Thị Tuyết Minh</v>
      </c>
      <c r="C49" s="49"/>
      <c r="D49" s="49"/>
      <c r="E49" s="49"/>
      <c r="F49" s="49"/>
      <c r="G49" s="49"/>
      <c r="H49" s="49"/>
      <c r="I49" s="49"/>
      <c r="J49" s="49"/>
      <c r="L49" s="29" t="s">
        <v>434</v>
      </c>
      <c r="M49" s="13" t="s">
        <v>50</v>
      </c>
      <c r="N49" s="14" t="s">
        <v>51</v>
      </c>
      <c r="O49" s="14" t="s">
        <v>80</v>
      </c>
      <c r="P49" s="1" t="s">
        <v>53</v>
      </c>
      <c r="Q49" s="1" t="s">
        <v>54</v>
      </c>
      <c r="R49" s="7" t="s">
        <v>401</v>
      </c>
    </row>
    <row r="50" spans="1:19">
      <c r="A50" s="19"/>
      <c r="B50" s="48" t="str">
        <f>"Hợp đồng số: "&amp;'[1]N-M'!L3</f>
        <v>Hợp đồng số: 111800.04620.03599.F03D4A.EASUP5.E93A.2020/HDTP-M-EBD2B1/SHB.</v>
      </c>
      <c r="C50" s="49"/>
      <c r="D50" s="49"/>
      <c r="E50" s="49"/>
      <c r="F50" s="49"/>
      <c r="G50" s="49"/>
      <c r="H50" s="49"/>
      <c r="I50" s="49"/>
      <c r="J50" s="49"/>
      <c r="L50" s="29" t="s">
        <v>435</v>
      </c>
      <c r="M50" s="13" t="s">
        <v>50</v>
      </c>
      <c r="N50" s="14" t="s">
        <v>51</v>
      </c>
      <c r="O50" s="14" t="s">
        <v>80</v>
      </c>
      <c r="P50" s="1" t="s">
        <v>53</v>
      </c>
      <c r="Q50" s="1" t="s">
        <v>54</v>
      </c>
      <c r="R50" s="7" t="s">
        <v>401</v>
      </c>
    </row>
    <row r="51" spans="1:19">
      <c r="A51" s="19"/>
      <c r="B51" s="48" t="str">
        <f ca="1">"Ngày giao dịch: "&amp;TEXT(M1,"dd/mm/yyyy")</f>
        <v>Ngày giao dịch: 26/01/2021</v>
      </c>
      <c r="C51" s="49"/>
      <c r="D51" s="49"/>
      <c r="E51" s="49"/>
      <c r="F51" s="49" t="str">
        <f>"  CIF KH: "&amp;'[1]N-M'!O3</f>
        <v xml:space="preserve">  CIF KH: '0112997629</v>
      </c>
      <c r="G51" s="49"/>
      <c r="H51" s="49"/>
      <c r="I51" s="49"/>
      <c r="J51" s="49"/>
      <c r="L51" s="29" t="s">
        <v>436</v>
      </c>
      <c r="M51" s="13" t="s">
        <v>50</v>
      </c>
      <c r="N51" s="14" t="s">
        <v>51</v>
      </c>
      <c r="O51" s="14" t="s">
        <v>80</v>
      </c>
      <c r="P51" s="1" t="s">
        <v>53</v>
      </c>
      <c r="Q51" s="1" t="s">
        <v>54</v>
      </c>
      <c r="R51" s="7" t="s">
        <v>401</v>
      </c>
    </row>
    <row r="52" spans="1:19">
      <c r="A52" s="19"/>
      <c r="B52" s="48" t="str">
        <f ca="1">"Ngày thanh toán: "&amp;TEXT(M1,"dd/mm/yyyy")</f>
        <v>Ngày thanh toán: 26/01/2021</v>
      </c>
      <c r="C52" s="49"/>
      <c r="D52" s="49"/>
      <c r="E52" s="49"/>
      <c r="F52" s="49" t="s">
        <v>67</v>
      </c>
      <c r="G52" s="49"/>
      <c r="H52" s="49"/>
      <c r="I52" s="49"/>
      <c r="J52" s="49"/>
      <c r="L52" s="31" t="s">
        <v>49</v>
      </c>
      <c r="M52" s="13" t="s">
        <v>50</v>
      </c>
      <c r="N52" s="14" t="s">
        <v>51</v>
      </c>
      <c r="O52" s="14" t="s">
        <v>52</v>
      </c>
      <c r="P52" s="1" t="s">
        <v>53</v>
      </c>
      <c r="Q52" s="1" t="s">
        <v>54</v>
      </c>
      <c r="R52" s="7" t="s">
        <v>55</v>
      </c>
      <c r="S52" s="37"/>
    </row>
    <row r="53" spans="1:19">
      <c r="A53" s="19"/>
      <c r="B53" s="48" t="str">
        <f>"Mã RM: "&amp;'[1]N-M'!B3</f>
        <v>Mã RM: 03599</v>
      </c>
      <c r="C53" s="49"/>
      <c r="D53" s="49"/>
      <c r="E53" s="49"/>
      <c r="F53" s="49" t="str">
        <f>"  Mã đơn vị: "&amp;'[1]N-M'!H3</f>
        <v xml:space="preserve">  Mã đơn vị: 111800</v>
      </c>
      <c r="G53" s="49"/>
      <c r="H53" s="49"/>
      <c r="I53" s="49"/>
      <c r="J53" s="49"/>
      <c r="L53" s="31" t="s">
        <v>56</v>
      </c>
      <c r="M53" s="13" t="s">
        <v>50</v>
      </c>
      <c r="N53" s="14" t="s">
        <v>51</v>
      </c>
      <c r="O53" s="14" t="s">
        <v>21</v>
      </c>
      <c r="P53" s="1" t="s">
        <v>53</v>
      </c>
      <c r="Q53" s="1" t="s">
        <v>54</v>
      </c>
      <c r="R53" s="7" t="s">
        <v>55</v>
      </c>
      <c r="S53" s="37"/>
    </row>
    <row r="54" spans="1:19">
      <c r="A54" s="19"/>
      <c r="B54" s="48" t="str">
        <f>"Số lượng TP: "&amp;TEXT('[1]N-M'!Q3,"#,#")&amp;" TP"</f>
        <v>Số lượng TP: 3,537 TP</v>
      </c>
      <c r="C54" s="49"/>
      <c r="D54" s="49"/>
      <c r="E54" s="49"/>
      <c r="F54" s="49" t="str">
        <f>"  Giá thực hiện: "&amp;TEXT('[1]N-M'!R3,"##,#")&amp;" VNĐ/Trái phiếu"</f>
        <v xml:space="preserve">  Giá thực hiện: 1,238,337 VNĐ/Trái phiếu</v>
      </c>
      <c r="G54" s="49"/>
      <c r="H54" s="49"/>
      <c r="I54" s="49"/>
      <c r="J54" s="49"/>
      <c r="L54" s="31" t="s">
        <v>57</v>
      </c>
      <c r="M54" s="13" t="s">
        <v>50</v>
      </c>
      <c r="N54" s="14" t="s">
        <v>51</v>
      </c>
      <c r="O54" s="14" t="s">
        <v>58</v>
      </c>
      <c r="P54" s="1" t="s">
        <v>53</v>
      </c>
      <c r="Q54" s="1" t="s">
        <v>54</v>
      </c>
      <c r="R54" s="7" t="s">
        <v>55</v>
      </c>
      <c r="S54" s="37"/>
    </row>
    <row r="55" spans="1:19">
      <c r="A55" s="19"/>
      <c r="B55" s="48" t="str">
        <f>"Tổng mệnh giá: "&amp;TEXT('[1]N-M'!S3,"##,#")&amp;" VND"</f>
        <v>Tổng mệnh giá: 3,537,000,000 VND</v>
      </c>
      <c r="C55" s="49"/>
      <c r="D55" s="49"/>
      <c r="E55" s="49"/>
      <c r="F55" s="49" t="str">
        <f>"  Tổng giá trị giao dịch: "&amp;TEXT('[1]N-M'!T3,"##,#")&amp;" VND"</f>
        <v xml:space="preserve">  Tổng giá trị giao dịch: 4,379,997,969 VND</v>
      </c>
      <c r="G55" s="49"/>
      <c r="H55" s="49"/>
      <c r="I55" s="49"/>
      <c r="J55" s="49"/>
      <c r="L55" s="31" t="s">
        <v>59</v>
      </c>
      <c r="M55" s="13" t="s">
        <v>50</v>
      </c>
      <c r="N55" s="14" t="s">
        <v>51</v>
      </c>
      <c r="O55" s="14" t="s">
        <v>60</v>
      </c>
      <c r="P55" s="1" t="s">
        <v>53</v>
      </c>
      <c r="Q55" s="1" t="s">
        <v>54</v>
      </c>
      <c r="R55" s="7" t="s">
        <v>55</v>
      </c>
      <c r="S55" s="37"/>
    </row>
    <row r="56" spans="1:19">
      <c r="A56" s="19"/>
      <c r="B56" s="48" t="str">
        <f>"Tổng giá trị thanh toán: "&amp;TEXT('[1]N-M'!V3,"##,#")&amp;" VND"</f>
        <v>Tổng giá trị thanh toán: 4,375,087,421 VND</v>
      </c>
      <c r="C56" s="49"/>
      <c r="D56" s="49"/>
      <c r="E56" s="49"/>
      <c r="F56" s="49"/>
      <c r="G56" s="49"/>
      <c r="H56" s="49"/>
      <c r="I56" s="49"/>
      <c r="J56" s="49"/>
      <c r="L56" s="31" t="s">
        <v>61</v>
      </c>
      <c r="M56" s="13" t="s">
        <v>50</v>
      </c>
      <c r="N56" s="14" t="s">
        <v>51</v>
      </c>
      <c r="O56" s="14" t="s">
        <v>62</v>
      </c>
      <c r="P56" s="1" t="s">
        <v>53</v>
      </c>
      <c r="Q56" s="1" t="s">
        <v>54</v>
      </c>
      <c r="R56" s="7" t="s">
        <v>55</v>
      </c>
      <c r="S56" s="37"/>
    </row>
    <row r="57" spans="1:19">
      <c r="L57" s="31" t="s">
        <v>63</v>
      </c>
      <c r="M57" s="13" t="s">
        <v>50</v>
      </c>
      <c r="N57" s="14" t="s">
        <v>51</v>
      </c>
      <c r="O57" s="14" t="s">
        <v>64</v>
      </c>
      <c r="P57" s="1" t="s">
        <v>53</v>
      </c>
      <c r="Q57" s="1" t="s">
        <v>54</v>
      </c>
      <c r="R57" s="7" t="s">
        <v>55</v>
      </c>
      <c r="S57" s="37"/>
    </row>
    <row r="58" spans="1:19" ht="38.25" customHeight="1">
      <c r="F58" s="58" t="s">
        <v>74</v>
      </c>
      <c r="G58" s="46"/>
      <c r="H58" s="46"/>
      <c r="I58" s="46"/>
      <c r="J58" s="46"/>
      <c r="L58" s="31" t="s">
        <v>65</v>
      </c>
      <c r="M58" s="13" t="s">
        <v>50</v>
      </c>
      <c r="N58" s="14" t="s">
        <v>51</v>
      </c>
      <c r="O58" s="14" t="s">
        <v>66</v>
      </c>
      <c r="P58" s="1" t="s">
        <v>53</v>
      </c>
      <c r="Q58" s="1" t="s">
        <v>54</v>
      </c>
      <c r="R58" s="7" t="s">
        <v>55</v>
      </c>
      <c r="S58" s="37"/>
    </row>
    <row r="59" spans="1:19">
      <c r="L59" s="31" t="s">
        <v>68</v>
      </c>
      <c r="M59" s="13" t="s">
        <v>50</v>
      </c>
      <c r="N59" s="14" t="s">
        <v>51</v>
      </c>
      <c r="O59" s="14" t="s">
        <v>69</v>
      </c>
      <c r="P59" s="1" t="s">
        <v>53</v>
      </c>
      <c r="Q59" s="1" t="s">
        <v>54</v>
      </c>
      <c r="R59" s="7" t="s">
        <v>55</v>
      </c>
      <c r="S59" s="37"/>
    </row>
    <row r="60" spans="1:19">
      <c r="L60" s="31" t="s">
        <v>70</v>
      </c>
      <c r="M60" s="13" t="s">
        <v>50</v>
      </c>
      <c r="N60" s="14" t="s">
        <v>51</v>
      </c>
      <c r="O60" s="14" t="s">
        <v>71</v>
      </c>
      <c r="P60" s="1" t="s">
        <v>53</v>
      </c>
      <c r="Q60" s="1" t="s">
        <v>54</v>
      </c>
      <c r="R60" s="7" t="s">
        <v>55</v>
      </c>
      <c r="S60" s="37"/>
    </row>
    <row r="61" spans="1:19">
      <c r="F61" s="46" t="str">
        <f>F31</f>
        <v>Nguyễn Thế Dũng</v>
      </c>
      <c r="G61" s="46"/>
      <c r="H61" s="46"/>
      <c r="I61" s="46"/>
      <c r="J61" s="46"/>
      <c r="L61" s="31" t="s">
        <v>72</v>
      </c>
      <c r="M61" s="13" t="s">
        <v>50</v>
      </c>
      <c r="N61" s="14" t="s">
        <v>51</v>
      </c>
      <c r="O61" s="14" t="s">
        <v>73</v>
      </c>
      <c r="P61" s="1" t="s">
        <v>53</v>
      </c>
      <c r="Q61" s="1" t="s">
        <v>54</v>
      </c>
      <c r="R61" s="7" t="s">
        <v>55</v>
      </c>
      <c r="S61" s="37"/>
    </row>
    <row r="62" spans="1:19" ht="26.25" customHeight="1">
      <c r="F62" s="21"/>
      <c r="G62" s="21"/>
      <c r="H62" s="21"/>
      <c r="I62" s="21"/>
      <c r="J62" s="21"/>
      <c r="L62" s="31" t="s">
        <v>75</v>
      </c>
      <c r="M62" s="13" t="s">
        <v>50</v>
      </c>
      <c r="N62" s="14" t="s">
        <v>51</v>
      </c>
      <c r="O62" s="14" t="s">
        <v>76</v>
      </c>
      <c r="P62" s="1" t="s">
        <v>53</v>
      </c>
      <c r="Q62" s="1" t="s">
        <v>54</v>
      </c>
      <c r="R62" s="7" t="s">
        <v>55</v>
      </c>
      <c r="S62" s="37"/>
    </row>
    <row r="63" spans="1:19">
      <c r="I63" s="44" t="s">
        <v>0</v>
      </c>
      <c r="J63" s="44"/>
      <c r="L63" s="31" t="s">
        <v>77</v>
      </c>
      <c r="M63" s="13" t="s">
        <v>50</v>
      </c>
      <c r="N63" s="14" t="s">
        <v>51</v>
      </c>
      <c r="O63" s="14" t="s">
        <v>76</v>
      </c>
      <c r="P63" s="1" t="s">
        <v>53</v>
      </c>
      <c r="Q63" s="1" t="s">
        <v>54</v>
      </c>
      <c r="R63" s="7" t="s">
        <v>55</v>
      </c>
      <c r="S63" s="37"/>
    </row>
    <row r="64" spans="1:19">
      <c r="E64" s="45" t="s">
        <v>2</v>
      </c>
      <c r="F64" s="45"/>
      <c r="G64" s="45"/>
      <c r="H64" s="45"/>
      <c r="I64" s="45"/>
      <c r="J64" s="45"/>
      <c r="L64" s="31" t="s">
        <v>79</v>
      </c>
      <c r="M64" s="13" t="s">
        <v>50</v>
      </c>
      <c r="N64" s="14" t="s">
        <v>51</v>
      </c>
      <c r="O64" s="14" t="s">
        <v>80</v>
      </c>
      <c r="P64" s="1" t="s">
        <v>53</v>
      </c>
      <c r="Q64" s="1" t="s">
        <v>54</v>
      </c>
      <c r="R64" s="7" t="s">
        <v>55</v>
      </c>
      <c r="S64" s="37"/>
    </row>
    <row r="65" spans="1:19">
      <c r="E65" s="45" t="s">
        <v>3</v>
      </c>
      <c r="F65" s="45"/>
      <c r="G65" s="45"/>
      <c r="H65" s="45"/>
      <c r="I65" s="45"/>
      <c r="J65" s="45"/>
      <c r="L65" s="31" t="s">
        <v>82</v>
      </c>
      <c r="M65" s="13" t="s">
        <v>50</v>
      </c>
      <c r="N65" s="14" t="s">
        <v>51</v>
      </c>
      <c r="O65" s="14" t="s">
        <v>80</v>
      </c>
      <c r="P65" s="1" t="s">
        <v>53</v>
      </c>
      <c r="Q65" s="1" t="s">
        <v>54</v>
      </c>
      <c r="R65" s="7" t="s">
        <v>55</v>
      </c>
      <c r="S65" s="37"/>
    </row>
    <row r="66" spans="1:19">
      <c r="E66" s="45"/>
      <c r="F66" s="45"/>
      <c r="G66" s="45"/>
      <c r="H66" s="45"/>
      <c r="I66" s="45"/>
      <c r="J66" s="45"/>
      <c r="L66" s="31" t="s">
        <v>83</v>
      </c>
      <c r="M66" s="13" t="s">
        <v>50</v>
      </c>
      <c r="N66" s="14" t="s">
        <v>51</v>
      </c>
      <c r="O66" s="14" t="s">
        <v>80</v>
      </c>
      <c r="P66" s="1" t="s">
        <v>53</v>
      </c>
      <c r="Q66" s="1" t="s">
        <v>54</v>
      </c>
      <c r="R66" s="7" t="s">
        <v>55</v>
      </c>
      <c r="S66" s="37"/>
    </row>
    <row r="67" spans="1:19">
      <c r="B67" s="46" t="s">
        <v>12</v>
      </c>
      <c r="C67" s="46"/>
      <c r="D67" s="46"/>
      <c r="L67" s="31" t="s">
        <v>84</v>
      </c>
      <c r="M67" s="13" t="s">
        <v>50</v>
      </c>
      <c r="N67" s="14" t="s">
        <v>51</v>
      </c>
      <c r="O67" s="14" t="s">
        <v>80</v>
      </c>
      <c r="P67" s="1" t="s">
        <v>53</v>
      </c>
      <c r="Q67" s="1" t="s">
        <v>54</v>
      </c>
      <c r="R67" s="7" t="s">
        <v>55</v>
      </c>
      <c r="S67" s="37"/>
    </row>
    <row r="68" spans="1:19" ht="25.5" customHeight="1">
      <c r="E68" s="47" t="str">
        <f ca="1">"SỐ: "&amp;TEXT($M$1,"ddmm")&amp;CHAR(CODE($M$3)+2)&amp;"1"&amp;"/"&amp;YEAR($M$1)&amp;"/KDTPBL"</f>
        <v>SỐ: 2601C1/2021/KDTPBL</v>
      </c>
      <c r="F68" s="47"/>
      <c r="G68" s="47"/>
      <c r="H68" s="47"/>
      <c r="I68" s="47"/>
      <c r="J68" s="47"/>
      <c r="L68" s="31" t="s">
        <v>85</v>
      </c>
      <c r="M68" s="13" t="s">
        <v>50</v>
      </c>
      <c r="N68" s="14" t="s">
        <v>51</v>
      </c>
      <c r="O68" s="14" t="s">
        <v>80</v>
      </c>
      <c r="P68" s="1" t="s">
        <v>53</v>
      </c>
      <c r="Q68" s="1" t="s">
        <v>54</v>
      </c>
      <c r="R68" s="7" t="s">
        <v>55</v>
      </c>
      <c r="S68" s="37"/>
    </row>
    <row r="69" spans="1:19" ht="49.5" customHeight="1">
      <c r="B69" s="50" t="s">
        <v>17</v>
      </c>
      <c r="C69" s="50"/>
      <c r="D69" s="50"/>
      <c r="E69" s="50"/>
      <c r="F69" s="50"/>
      <c r="G69" s="50"/>
      <c r="H69" s="50"/>
      <c r="I69" s="50"/>
      <c r="J69" s="50"/>
      <c r="L69" s="31" t="s">
        <v>86</v>
      </c>
      <c r="M69" s="13" t="s">
        <v>50</v>
      </c>
      <c r="N69" s="14" t="s">
        <v>51</v>
      </c>
      <c r="O69" s="14" t="s">
        <v>80</v>
      </c>
      <c r="P69" s="1" t="s">
        <v>53</v>
      </c>
      <c r="Q69" s="1" t="s">
        <v>54</v>
      </c>
      <c r="R69" s="7" t="s">
        <v>55</v>
      </c>
      <c r="S69" s="37"/>
    </row>
    <row r="70" spans="1:19">
      <c r="B70" s="1" t="s">
        <v>398</v>
      </c>
      <c r="F70" s="1" t="s">
        <v>399</v>
      </c>
      <c r="H70" s="1" t="s">
        <v>27</v>
      </c>
      <c r="L70" s="31" t="s">
        <v>87</v>
      </c>
      <c r="M70" s="13" t="s">
        <v>50</v>
      </c>
      <c r="N70" s="14" t="s">
        <v>51</v>
      </c>
      <c r="O70" s="14" t="s">
        <v>80</v>
      </c>
      <c r="P70" s="1" t="s">
        <v>53</v>
      </c>
      <c r="Q70" s="1" t="s">
        <v>54</v>
      </c>
      <c r="R70" s="7" t="s">
        <v>55</v>
      </c>
      <c r="S70" s="37"/>
    </row>
    <row r="71" spans="1:19">
      <c r="B71" s="1" t="s">
        <v>29</v>
      </c>
      <c r="D71" s="10" t="str">
        <f>'[1]N-M'!L4</f>
        <v>110311.08089.01703.893CB2.NSV/HDTP-M-9AE9FA/SHB.</v>
      </c>
      <c r="L71" s="31" t="s">
        <v>88</v>
      </c>
      <c r="M71" s="13" t="s">
        <v>50</v>
      </c>
      <c r="N71" s="14" t="s">
        <v>51</v>
      </c>
      <c r="O71" s="14" t="s">
        <v>80</v>
      </c>
      <c r="P71" s="1" t="s">
        <v>53</v>
      </c>
      <c r="Q71" s="1" t="s">
        <v>54</v>
      </c>
      <c r="R71" s="7" t="s">
        <v>55</v>
      </c>
      <c r="S71" s="37"/>
    </row>
    <row r="72" spans="1:19" ht="30" customHeight="1">
      <c r="A72" s="11" t="s">
        <v>31</v>
      </c>
      <c r="L72" s="31" t="s">
        <v>89</v>
      </c>
      <c r="M72" s="13" t="s">
        <v>50</v>
      </c>
      <c r="N72" s="14" t="s">
        <v>51</v>
      </c>
      <c r="O72" s="14" t="s">
        <v>80</v>
      </c>
      <c r="P72" s="1" t="s">
        <v>53</v>
      </c>
      <c r="Q72" s="1" t="s">
        <v>54</v>
      </c>
      <c r="R72" s="7" t="s">
        <v>55</v>
      </c>
      <c r="S72" s="37"/>
    </row>
    <row r="73" spans="1:19" ht="39.75" customHeight="1">
      <c r="A73" s="15"/>
      <c r="B73" s="51" t="str">
        <f>"Tổ chức phát hành: "&amp;VLOOKUP('[1]N-M'!M4,$L$4:$T$564,2,0)</f>
        <v>Tổ chức phát hành: Công ty TNHH Đầu tư Bất động sản Ngôi sao Việt</v>
      </c>
      <c r="C73" s="51"/>
      <c r="D73" s="51"/>
      <c r="E73" s="51"/>
      <c r="F73" s="52"/>
      <c r="G73" s="53" t="str">
        <f>"    Mã TP: "&amp;'[1]N-M'!M4</f>
        <v xml:space="preserve">    Mã TP: NSV.BOND2017</v>
      </c>
      <c r="H73" s="54"/>
      <c r="I73" s="54"/>
      <c r="J73" s="55"/>
      <c r="L73" s="31" t="s">
        <v>90</v>
      </c>
      <c r="M73" s="13" t="s">
        <v>50</v>
      </c>
      <c r="N73" s="14" t="s">
        <v>51</v>
      </c>
      <c r="O73" s="14" t="s">
        <v>80</v>
      </c>
      <c r="P73" s="1" t="s">
        <v>53</v>
      </c>
      <c r="Q73" s="1" t="s">
        <v>54</v>
      </c>
      <c r="R73" s="7" t="s">
        <v>55</v>
      </c>
      <c r="S73" s="37"/>
    </row>
    <row r="74" spans="1:19" ht="28.5" customHeight="1">
      <c r="A74" s="16"/>
      <c r="B74" s="56" t="str">
        <f>"Ngày phát hành: "&amp;VLOOKUP('[1]N-M'!M4,$L$4:$S$564,3,0)</f>
        <v>Ngày phát hành: 30/12/2017</v>
      </c>
      <c r="C74" s="56"/>
      <c r="D74" s="56"/>
      <c r="E74" s="56"/>
      <c r="F74" s="48"/>
      <c r="G74" s="57" t="str">
        <f>"    Ngày đáo hạn: "&amp;VLOOKUP('[1]N-M'!M4,$L$4:$T$564,4,0)</f>
        <v xml:space="preserve">    Ngày đáo hạn: 30/12/2020</v>
      </c>
      <c r="H74" s="57"/>
      <c r="I74" s="57"/>
      <c r="J74" s="57"/>
      <c r="L74" s="31" t="s">
        <v>91</v>
      </c>
      <c r="M74" s="13" t="s">
        <v>50</v>
      </c>
      <c r="N74" s="14" t="s">
        <v>51</v>
      </c>
      <c r="O74" s="14" t="s">
        <v>80</v>
      </c>
      <c r="P74" s="1" t="s">
        <v>53</v>
      </c>
      <c r="Q74" s="1" t="s">
        <v>54</v>
      </c>
      <c r="R74" s="7" t="s">
        <v>55</v>
      </c>
      <c r="S74" s="37"/>
    </row>
    <row r="75" spans="1:19" ht="63.65" customHeight="1">
      <c r="A75" s="15"/>
      <c r="B75" s="51" t="str">
        <f>"Coupon: Lãi suất cho kỳ tính lãi đầu tiên là "&amp;VLOOKUP('[1]N-M'!M4,$L$4:$T$564,5,0)&amp;". Lãi suất cho các kỳ tính lãi tiếp theo bằng lãi suất thRM chiếu cộng (+) biên độ "&amp;VLOOKUP('[1]N-M'!M4,$L$4:$T$564,6,0)</f>
        <v>Coupon: Lãi suất cho kỳ tính lãi đầu tiên là 10,825%/năm. Lãi suất cho các kỳ tính lãi tiếp theo bằng lãi suất thRM chiếu cộng (+) biên độ 4%/năm</v>
      </c>
      <c r="C75" s="51"/>
      <c r="D75" s="51"/>
      <c r="E75" s="51"/>
      <c r="F75" s="52"/>
      <c r="G75" s="57" t="s">
        <v>41</v>
      </c>
      <c r="H75" s="57"/>
      <c r="I75" s="57"/>
      <c r="J75" s="57"/>
      <c r="L75" s="31" t="s">
        <v>92</v>
      </c>
      <c r="M75" s="13" t="s">
        <v>50</v>
      </c>
      <c r="N75" s="14" t="s">
        <v>51</v>
      </c>
      <c r="O75" s="14" t="s">
        <v>80</v>
      </c>
      <c r="P75" s="1" t="s">
        <v>53</v>
      </c>
      <c r="Q75" s="1" t="s">
        <v>54</v>
      </c>
      <c r="R75" s="7" t="s">
        <v>55</v>
      </c>
      <c r="S75" s="37"/>
    </row>
    <row r="76" spans="1:19" ht="36.75" customHeight="1">
      <c r="A76" s="15"/>
      <c r="B76" s="51" t="str">
        <f>"Hạn mức mua còn lại trước giao dịch: "&amp;TEXT('[1]N-M'!W4,"#,#")&amp;" đ"</f>
        <v>Hạn mức mua còn lại trước giao dịch: 142,456,218,240 đ</v>
      </c>
      <c r="C76" s="51"/>
      <c r="D76" s="51"/>
      <c r="E76" s="51"/>
      <c r="F76" s="52"/>
      <c r="G76" s="57" t="str">
        <f>"   Hạn mức cấp: "&amp;TEXT('[1]N-M'!T4,"#,#")&amp;" đ"</f>
        <v xml:space="preserve">   Hạn mức cấp: 618,729,692 đ</v>
      </c>
      <c r="H76" s="57"/>
      <c r="I76" s="57"/>
      <c r="J76" s="57"/>
      <c r="L76" s="31" t="s">
        <v>93</v>
      </c>
      <c r="M76" s="13" t="s">
        <v>50</v>
      </c>
      <c r="N76" s="14" t="s">
        <v>51</v>
      </c>
      <c r="O76" s="14" t="s">
        <v>80</v>
      </c>
      <c r="P76" s="1" t="s">
        <v>53</v>
      </c>
      <c r="Q76" s="1" t="s">
        <v>54</v>
      </c>
      <c r="R76" s="7" t="s">
        <v>55</v>
      </c>
      <c r="S76" s="37"/>
    </row>
    <row r="77" spans="1:19">
      <c r="L77" s="31" t="s">
        <v>94</v>
      </c>
      <c r="M77" s="13" t="s">
        <v>50</v>
      </c>
      <c r="N77" s="14" t="s">
        <v>51</v>
      </c>
      <c r="O77" s="14" t="s">
        <v>80</v>
      </c>
      <c r="P77" s="1" t="s">
        <v>53</v>
      </c>
      <c r="Q77" s="1" t="s">
        <v>54</v>
      </c>
      <c r="R77" s="7" t="s">
        <v>55</v>
      </c>
      <c r="S77" s="37"/>
    </row>
    <row r="78" spans="1:19">
      <c r="A78" s="11" t="s">
        <v>47</v>
      </c>
      <c r="L78" s="38" t="s">
        <v>95</v>
      </c>
      <c r="M78" s="13" t="s">
        <v>50</v>
      </c>
      <c r="N78" s="14" t="s">
        <v>51</v>
      </c>
      <c r="O78" s="14" t="s">
        <v>80</v>
      </c>
      <c r="P78" s="1" t="s">
        <v>53</v>
      </c>
      <c r="Q78" s="1" t="s">
        <v>54</v>
      </c>
      <c r="R78" s="7" t="s">
        <v>55</v>
      </c>
      <c r="S78" s="37"/>
    </row>
    <row r="79" spans="1:19">
      <c r="B79" s="1" t="str">
        <f>"Số quyết định: "&amp;VLOOKUP('[1]N-M'!M4,'P-M'!$L$4:$R$564,7,0)</f>
        <v>Số quyết định: 2379/2019/QĐ-TGĐ ngày 11/10/2019</v>
      </c>
      <c r="L79" s="31" t="s">
        <v>96</v>
      </c>
      <c r="M79" s="13" t="s">
        <v>50</v>
      </c>
      <c r="N79" s="14" t="s">
        <v>51</v>
      </c>
      <c r="O79" s="14" t="s">
        <v>80</v>
      </c>
      <c r="P79" s="1" t="s">
        <v>53</v>
      </c>
      <c r="Q79" s="1" t="s">
        <v>54</v>
      </c>
      <c r="R79" s="7" t="s">
        <v>55</v>
      </c>
    </row>
    <row r="80" spans="1:19">
      <c r="A80" s="19"/>
      <c r="B80" s="48" t="str">
        <f>"Đối tác giao dịch: "&amp;'[1]N-M'!J4</f>
        <v>Đối tác giao dịch: Phạm Thị Tâm</v>
      </c>
      <c r="C80" s="49"/>
      <c r="D80" s="49"/>
      <c r="E80" s="49"/>
      <c r="F80" s="49"/>
      <c r="G80" s="49"/>
      <c r="H80" s="49"/>
      <c r="I80" s="49"/>
      <c r="J80" s="49"/>
      <c r="L80" s="31" t="s">
        <v>97</v>
      </c>
      <c r="M80" s="13" t="s">
        <v>50</v>
      </c>
      <c r="N80" s="14" t="s">
        <v>51</v>
      </c>
      <c r="O80" s="14" t="s">
        <v>80</v>
      </c>
      <c r="P80" s="1" t="s">
        <v>53</v>
      </c>
      <c r="Q80" s="1" t="s">
        <v>54</v>
      </c>
      <c r="R80" s="7" t="s">
        <v>55</v>
      </c>
    </row>
    <row r="81" spans="1:19">
      <c r="A81" s="19"/>
      <c r="B81" s="48" t="str">
        <f>"Hợp đồng số: "&amp;'[1]N-M'!L4</f>
        <v>Hợp đồng số: 110311.08089.01703.893CB2.NSV/HDTP-M-9AE9FA/SHB.</v>
      </c>
      <c r="C81" s="49"/>
      <c r="D81" s="49"/>
      <c r="E81" s="49"/>
      <c r="F81" s="49"/>
      <c r="G81" s="49"/>
      <c r="H81" s="49"/>
      <c r="I81" s="49"/>
      <c r="J81" s="49"/>
      <c r="L81" s="31" t="s">
        <v>98</v>
      </c>
      <c r="M81" s="13" t="s">
        <v>50</v>
      </c>
      <c r="N81" s="14" t="s">
        <v>51</v>
      </c>
      <c r="O81" s="14" t="s">
        <v>80</v>
      </c>
      <c r="P81" s="1" t="s">
        <v>53</v>
      </c>
      <c r="Q81" s="1" t="s">
        <v>54</v>
      </c>
      <c r="R81" s="7" t="s">
        <v>55</v>
      </c>
    </row>
    <row r="82" spans="1:19">
      <c r="A82" s="19"/>
      <c r="B82" s="48" t="str">
        <f ca="1">"Ngày giao dịch: "&amp;TEXT(M1,"dd/mm/yyyy")</f>
        <v>Ngày giao dịch: 26/01/2021</v>
      </c>
      <c r="C82" s="49"/>
      <c r="D82" s="49"/>
      <c r="E82" s="49"/>
      <c r="F82" s="49" t="str">
        <f>"  CIF KH: "&amp;'[1]N-M'!O4</f>
        <v xml:space="preserve">  CIF KH: '0100433373</v>
      </c>
      <c r="G82" s="49"/>
      <c r="H82" s="49"/>
      <c r="I82" s="49"/>
      <c r="J82" s="49"/>
      <c r="L82" s="31" t="s">
        <v>99</v>
      </c>
      <c r="M82" s="13" t="s">
        <v>50</v>
      </c>
      <c r="N82" s="14" t="s">
        <v>51</v>
      </c>
      <c r="O82" s="14" t="s">
        <v>80</v>
      </c>
      <c r="P82" s="1" t="s">
        <v>53</v>
      </c>
      <c r="Q82" s="1" t="s">
        <v>54</v>
      </c>
      <c r="R82" s="7" t="s">
        <v>55</v>
      </c>
    </row>
    <row r="83" spans="1:19">
      <c r="A83" s="19"/>
      <c r="B83" s="48" t="str">
        <f ca="1">"Ngày thanh toán: "&amp;TEXT(M1,"dd/mm/yyyy")</f>
        <v>Ngày thanh toán: 26/01/2021</v>
      </c>
      <c r="C83" s="49"/>
      <c r="D83" s="49"/>
      <c r="E83" s="49"/>
      <c r="F83" s="49" t="s">
        <v>67</v>
      </c>
      <c r="G83" s="49"/>
      <c r="H83" s="49"/>
      <c r="I83" s="49"/>
      <c r="J83" s="49"/>
      <c r="L83" s="31" t="s">
        <v>100</v>
      </c>
      <c r="M83" s="13" t="s">
        <v>50</v>
      </c>
      <c r="N83" s="14" t="s">
        <v>51</v>
      </c>
      <c r="O83" s="14" t="s">
        <v>80</v>
      </c>
      <c r="P83" s="1" t="s">
        <v>53</v>
      </c>
      <c r="Q83" s="1" t="s">
        <v>54</v>
      </c>
      <c r="R83" s="7" t="s">
        <v>55</v>
      </c>
    </row>
    <row r="84" spans="1:19">
      <c r="A84" s="19"/>
      <c r="B84" s="48" t="str">
        <f>"Mã RM: "&amp;'[1]N-M'!B4</f>
        <v>Mã RM: 01703</v>
      </c>
      <c r="C84" s="49"/>
      <c r="D84" s="49"/>
      <c r="E84" s="49"/>
      <c r="F84" s="49" t="str">
        <f>"  Mã đơn vị: "&amp;'[1]N-M'!H4</f>
        <v xml:space="preserve">  Mã đơn vị: 110311</v>
      </c>
      <c r="G84" s="49"/>
      <c r="H84" s="49"/>
      <c r="I84" s="49"/>
      <c r="J84" s="49"/>
      <c r="L84" s="31" t="s">
        <v>101</v>
      </c>
      <c r="M84" s="13" t="s">
        <v>50</v>
      </c>
      <c r="N84" s="14" t="s">
        <v>51</v>
      </c>
      <c r="O84" s="14" t="s">
        <v>80</v>
      </c>
      <c r="P84" s="1" t="s">
        <v>53</v>
      </c>
      <c r="Q84" s="1" t="s">
        <v>54</v>
      </c>
      <c r="R84" s="7" t="s">
        <v>55</v>
      </c>
    </row>
    <row r="85" spans="1:19">
      <c r="A85" s="19"/>
      <c r="B85" s="48" t="str">
        <f>"Số lượng TP: "&amp;TEXT('[1]N-M'!Q4,"#,#")&amp;" TP"</f>
        <v>Số lượng TP: 566 TP</v>
      </c>
      <c r="C85" s="49"/>
      <c r="D85" s="49"/>
      <c r="E85" s="49"/>
      <c r="F85" s="49" t="str">
        <f>"  Giá thực hiện: "&amp;TEXT('[1]N-M'!R4,"##,#")&amp;" VNĐ/Trái phiếu"</f>
        <v xml:space="preserve">  Giá thực hiện: 1,093,162 VNĐ/Trái phiếu</v>
      </c>
      <c r="G85" s="49"/>
      <c r="H85" s="49"/>
      <c r="I85" s="49"/>
      <c r="J85" s="49"/>
      <c r="L85" s="31" t="s">
        <v>102</v>
      </c>
      <c r="M85" s="13" t="s">
        <v>50</v>
      </c>
      <c r="N85" s="14" t="s">
        <v>51</v>
      </c>
      <c r="O85" s="14" t="s">
        <v>80</v>
      </c>
      <c r="P85" s="1" t="s">
        <v>53</v>
      </c>
      <c r="Q85" s="1" t="s">
        <v>54</v>
      </c>
      <c r="R85" s="7" t="s">
        <v>55</v>
      </c>
    </row>
    <row r="86" spans="1:19">
      <c r="A86" s="19"/>
      <c r="B86" s="48" t="str">
        <f>"Tổng mệnh giá: "&amp;TEXT('[1]N-M'!S4,"##,#")&amp;" VND"</f>
        <v>Tổng mệnh giá: 566,000,000 VND</v>
      </c>
      <c r="C86" s="49"/>
      <c r="D86" s="49"/>
      <c r="E86" s="49"/>
      <c r="F86" s="49" t="str">
        <f>"  Tổng giá trị giao dịch: "&amp;TEXT('[1]N-M'!T4,"##,#")&amp;" VND"</f>
        <v xml:space="preserve">  Tổng giá trị giao dịch: 618,729,692 VND</v>
      </c>
      <c r="G86" s="49"/>
      <c r="H86" s="49"/>
      <c r="I86" s="49"/>
      <c r="J86" s="49"/>
      <c r="L86" s="31" t="s">
        <v>103</v>
      </c>
      <c r="M86" s="13" t="s">
        <v>50</v>
      </c>
      <c r="N86" s="14" t="s">
        <v>51</v>
      </c>
      <c r="O86" s="14" t="s">
        <v>80</v>
      </c>
      <c r="P86" s="1" t="s">
        <v>53</v>
      </c>
      <c r="Q86" s="1" t="s">
        <v>54</v>
      </c>
      <c r="R86" s="7" t="s">
        <v>55</v>
      </c>
    </row>
    <row r="87" spans="1:19">
      <c r="A87" s="19"/>
      <c r="B87" s="48" t="str">
        <f>"Tổng giá trị thanh toán: "&amp;TEXT('[1]N-M'!V4,"##,#")&amp;" VND"</f>
        <v>Tổng giá trị thanh toán: 618,026,062 VND</v>
      </c>
      <c r="C87" s="49"/>
      <c r="D87" s="49"/>
      <c r="E87" s="49"/>
      <c r="F87" s="49"/>
      <c r="G87" s="49"/>
      <c r="H87" s="49"/>
      <c r="I87" s="49"/>
      <c r="J87" s="49"/>
      <c r="L87" s="31" t="s">
        <v>104</v>
      </c>
      <c r="M87" s="13" t="s">
        <v>50</v>
      </c>
      <c r="N87" s="14" t="s">
        <v>51</v>
      </c>
      <c r="O87" s="14" t="s">
        <v>80</v>
      </c>
      <c r="P87" s="1" t="s">
        <v>53</v>
      </c>
      <c r="Q87" s="1" t="s">
        <v>54</v>
      </c>
      <c r="R87" s="7" t="s">
        <v>55</v>
      </c>
    </row>
    <row r="88" spans="1:19" ht="38.25" customHeight="1">
      <c r="F88" s="58" t="s">
        <v>74</v>
      </c>
      <c r="G88" s="46"/>
      <c r="H88" s="46"/>
      <c r="I88" s="46"/>
      <c r="J88" s="46"/>
      <c r="L88" s="24" t="s">
        <v>133</v>
      </c>
      <c r="M88" s="28" t="s">
        <v>134</v>
      </c>
      <c r="N88" s="25" t="s">
        <v>135</v>
      </c>
      <c r="O88" s="25" t="s">
        <v>136</v>
      </c>
      <c r="P88" s="1" t="s">
        <v>109</v>
      </c>
      <c r="Q88" s="1" t="s">
        <v>54</v>
      </c>
      <c r="R88" s="7" t="s">
        <v>110</v>
      </c>
      <c r="S88" s="8">
        <v>1000000</v>
      </c>
    </row>
    <row r="89" spans="1:19">
      <c r="L89" s="24" t="s">
        <v>137</v>
      </c>
      <c r="M89" s="28" t="s">
        <v>134</v>
      </c>
      <c r="N89" s="25" t="s">
        <v>135</v>
      </c>
      <c r="O89" s="25" t="s">
        <v>136</v>
      </c>
      <c r="P89" s="1" t="s">
        <v>109</v>
      </c>
      <c r="Q89" s="1" t="s">
        <v>54</v>
      </c>
      <c r="R89" s="7" t="s">
        <v>110</v>
      </c>
      <c r="S89" s="8">
        <v>1000000</v>
      </c>
    </row>
    <row r="90" spans="1:19">
      <c r="L90" s="24" t="s">
        <v>138</v>
      </c>
      <c r="M90" s="28" t="s">
        <v>134</v>
      </c>
      <c r="N90" s="25" t="s">
        <v>135</v>
      </c>
      <c r="O90" s="25" t="s">
        <v>136</v>
      </c>
      <c r="P90" s="1" t="s">
        <v>109</v>
      </c>
      <c r="Q90" s="1" t="s">
        <v>54</v>
      </c>
      <c r="R90" s="7" t="s">
        <v>110</v>
      </c>
      <c r="S90" s="8">
        <v>1000000</v>
      </c>
    </row>
    <row r="91" spans="1:19" ht="10" customHeight="1">
      <c r="L91" s="24" t="s">
        <v>139</v>
      </c>
      <c r="M91" s="28" t="s">
        <v>134</v>
      </c>
      <c r="N91" s="25" t="s">
        <v>135</v>
      </c>
      <c r="O91" s="25" t="s">
        <v>140</v>
      </c>
      <c r="P91" s="1" t="s">
        <v>109</v>
      </c>
      <c r="Q91" s="1" t="s">
        <v>54</v>
      </c>
      <c r="R91" s="7" t="s">
        <v>110</v>
      </c>
      <c r="S91" s="8">
        <v>1000000</v>
      </c>
    </row>
    <row r="92" spans="1:19" ht="27.75" customHeight="1">
      <c r="F92" s="46" t="str">
        <f>F61</f>
        <v>Nguyễn Thế Dũng</v>
      </c>
      <c r="G92" s="46"/>
      <c r="H92" s="46"/>
      <c r="I92" s="46"/>
      <c r="J92" s="46"/>
      <c r="L92" s="24" t="s">
        <v>141</v>
      </c>
      <c r="M92" s="28" t="s">
        <v>134</v>
      </c>
      <c r="N92" s="25" t="s">
        <v>135</v>
      </c>
      <c r="O92" s="25" t="s">
        <v>140</v>
      </c>
      <c r="P92" s="1" t="s">
        <v>109</v>
      </c>
      <c r="Q92" s="1" t="s">
        <v>54</v>
      </c>
      <c r="R92" s="7" t="s">
        <v>110</v>
      </c>
      <c r="S92" s="8">
        <v>1000000</v>
      </c>
    </row>
    <row r="93" spans="1:19" ht="23.25" customHeight="1">
      <c r="F93" s="21"/>
      <c r="G93" s="21"/>
      <c r="H93" s="21"/>
      <c r="I93" s="21"/>
      <c r="J93" s="21"/>
      <c r="L93" s="24" t="s">
        <v>142</v>
      </c>
      <c r="M93" s="28" t="s">
        <v>134</v>
      </c>
      <c r="N93" s="25" t="s">
        <v>135</v>
      </c>
      <c r="O93" s="25" t="s">
        <v>140</v>
      </c>
      <c r="P93" s="1" t="s">
        <v>109</v>
      </c>
      <c r="Q93" s="1" t="s">
        <v>54</v>
      </c>
      <c r="R93" s="7" t="s">
        <v>110</v>
      </c>
      <c r="S93" s="8">
        <v>1000000</v>
      </c>
    </row>
    <row r="94" spans="1:19">
      <c r="I94" s="44" t="s">
        <v>0</v>
      </c>
      <c r="J94" s="44"/>
      <c r="L94" s="24" t="s">
        <v>143</v>
      </c>
      <c r="M94" s="28" t="s">
        <v>134</v>
      </c>
      <c r="N94" s="25" t="s">
        <v>135</v>
      </c>
      <c r="O94" s="25" t="s">
        <v>144</v>
      </c>
      <c r="P94" s="1" t="s">
        <v>109</v>
      </c>
      <c r="Q94" s="1" t="s">
        <v>54</v>
      </c>
      <c r="R94" s="7" t="s">
        <v>110</v>
      </c>
      <c r="S94" s="8">
        <v>1000000</v>
      </c>
    </row>
    <row r="95" spans="1:19">
      <c r="E95" s="45" t="s">
        <v>2</v>
      </c>
      <c r="F95" s="45"/>
      <c r="G95" s="45"/>
      <c r="H95" s="45"/>
      <c r="I95" s="45"/>
      <c r="J95" s="45"/>
      <c r="L95" s="24" t="s">
        <v>145</v>
      </c>
      <c r="M95" s="28" t="s">
        <v>134</v>
      </c>
      <c r="N95" s="25" t="s">
        <v>135</v>
      </c>
      <c r="O95" s="25" t="s">
        <v>144</v>
      </c>
      <c r="P95" s="1" t="s">
        <v>109</v>
      </c>
      <c r="Q95" s="1" t="s">
        <v>54</v>
      </c>
      <c r="R95" s="7" t="s">
        <v>110</v>
      </c>
      <c r="S95" s="8">
        <v>1000000</v>
      </c>
    </row>
    <row r="96" spans="1:19">
      <c r="E96" s="45" t="s">
        <v>3</v>
      </c>
      <c r="F96" s="45"/>
      <c r="G96" s="45"/>
      <c r="H96" s="45"/>
      <c r="I96" s="45"/>
      <c r="J96" s="45"/>
      <c r="L96" s="24" t="s">
        <v>146</v>
      </c>
      <c r="M96" s="28" t="s">
        <v>134</v>
      </c>
      <c r="N96" s="25" t="s">
        <v>135</v>
      </c>
      <c r="O96" s="25" t="s">
        <v>144</v>
      </c>
      <c r="P96" s="1" t="s">
        <v>109</v>
      </c>
      <c r="Q96" s="1" t="s">
        <v>54</v>
      </c>
      <c r="R96" s="7" t="s">
        <v>110</v>
      </c>
      <c r="S96" s="8">
        <v>1000000</v>
      </c>
    </row>
    <row r="97" spans="1:19">
      <c r="E97" s="45"/>
      <c r="F97" s="45"/>
      <c r="G97" s="45"/>
      <c r="H97" s="45"/>
      <c r="I97" s="45"/>
      <c r="J97" s="45"/>
      <c r="L97" s="24" t="s">
        <v>147</v>
      </c>
      <c r="M97" s="28" t="s">
        <v>134</v>
      </c>
      <c r="N97" s="25" t="s">
        <v>135</v>
      </c>
      <c r="O97" s="25" t="s">
        <v>148</v>
      </c>
      <c r="P97" s="1" t="s">
        <v>109</v>
      </c>
      <c r="Q97" s="1" t="s">
        <v>54</v>
      </c>
      <c r="R97" s="7" t="s">
        <v>110</v>
      </c>
      <c r="S97" s="8">
        <v>1000000</v>
      </c>
    </row>
    <row r="98" spans="1:19">
      <c r="B98" s="46" t="s">
        <v>12</v>
      </c>
      <c r="C98" s="46"/>
      <c r="D98" s="46"/>
      <c r="L98" s="24" t="s">
        <v>149</v>
      </c>
      <c r="M98" s="28" t="s">
        <v>134</v>
      </c>
      <c r="N98" s="25" t="s">
        <v>135</v>
      </c>
      <c r="O98" s="25" t="s">
        <v>148</v>
      </c>
      <c r="P98" s="1" t="s">
        <v>109</v>
      </c>
      <c r="Q98" s="1" t="s">
        <v>54</v>
      </c>
      <c r="R98" s="7" t="s">
        <v>110</v>
      </c>
      <c r="S98" s="8">
        <v>1000000</v>
      </c>
    </row>
    <row r="99" spans="1:19" ht="25.5" customHeight="1">
      <c r="E99" s="47" t="str">
        <f ca="1">"SỐ: "&amp;TEXT($M$1,"ddmm")&amp;CHAR(CODE($M$3)+3)&amp;"1"&amp;"/"&amp;YEAR($M$1)&amp;"/KDTPBL"</f>
        <v>SỐ: 2601D1/2021/KDTPBL</v>
      </c>
      <c r="F99" s="47"/>
      <c r="G99" s="47"/>
      <c r="H99" s="47"/>
      <c r="I99" s="47"/>
      <c r="J99" s="47"/>
      <c r="L99" s="24" t="s">
        <v>150</v>
      </c>
      <c r="M99" s="28" t="s">
        <v>134</v>
      </c>
      <c r="N99" s="25" t="s">
        <v>135</v>
      </c>
      <c r="O99" s="25" t="s">
        <v>148</v>
      </c>
      <c r="P99" s="1" t="s">
        <v>109</v>
      </c>
      <c r="Q99" s="1" t="s">
        <v>54</v>
      </c>
      <c r="R99" s="7" t="s">
        <v>110</v>
      </c>
      <c r="S99" s="8">
        <v>1000000</v>
      </c>
    </row>
    <row r="100" spans="1:19" ht="49.5" customHeight="1">
      <c r="B100" s="50" t="s">
        <v>17</v>
      </c>
      <c r="C100" s="50"/>
      <c r="D100" s="50"/>
      <c r="E100" s="50"/>
      <c r="F100" s="50"/>
      <c r="G100" s="50"/>
      <c r="H100" s="50"/>
      <c r="I100" s="50"/>
      <c r="J100" s="50"/>
      <c r="L100" s="24" t="s">
        <v>151</v>
      </c>
      <c r="M100" s="28" t="s">
        <v>134</v>
      </c>
      <c r="N100" s="25" t="s">
        <v>135</v>
      </c>
      <c r="O100" s="25" t="s">
        <v>152</v>
      </c>
      <c r="P100" s="1" t="s">
        <v>109</v>
      </c>
      <c r="Q100" s="1" t="s">
        <v>54</v>
      </c>
      <c r="R100" s="7" t="s">
        <v>110</v>
      </c>
      <c r="S100" s="8">
        <v>1000000</v>
      </c>
    </row>
    <row r="101" spans="1:19">
      <c r="B101" s="1" t="s">
        <v>398</v>
      </c>
      <c r="F101" s="1" t="s">
        <v>399</v>
      </c>
      <c r="H101" s="1" t="s">
        <v>27</v>
      </c>
      <c r="L101" s="24" t="s">
        <v>153</v>
      </c>
      <c r="M101" s="28" t="s">
        <v>134</v>
      </c>
      <c r="N101" s="25" t="s">
        <v>135</v>
      </c>
      <c r="O101" s="25" t="s">
        <v>152</v>
      </c>
      <c r="P101" s="1" t="s">
        <v>109</v>
      </c>
      <c r="Q101" s="1" t="s">
        <v>54</v>
      </c>
      <c r="R101" s="7" t="s">
        <v>110</v>
      </c>
      <c r="S101" s="8">
        <v>1000000</v>
      </c>
    </row>
    <row r="102" spans="1:19">
      <c r="B102" s="1" t="s">
        <v>29</v>
      </c>
      <c r="D102" s="10" t="str">
        <f>'[1]N-M'!L5</f>
        <v>130201.00457.00254.08F544.EASUP5.E63A.2020/HDTP-M-5A8429/SHB.</v>
      </c>
      <c r="L102" s="24" t="s">
        <v>154</v>
      </c>
      <c r="M102" s="28" t="s">
        <v>134</v>
      </c>
      <c r="N102" s="25" t="s">
        <v>135</v>
      </c>
      <c r="O102" s="25" t="s">
        <v>152</v>
      </c>
      <c r="P102" s="1" t="s">
        <v>109</v>
      </c>
      <c r="Q102" s="1" t="s">
        <v>54</v>
      </c>
      <c r="R102" s="7" t="s">
        <v>110</v>
      </c>
      <c r="S102" s="8">
        <v>1000000</v>
      </c>
    </row>
    <row r="103" spans="1:19" ht="30" customHeight="1">
      <c r="A103" s="11" t="s">
        <v>31</v>
      </c>
      <c r="L103" s="24" t="s">
        <v>155</v>
      </c>
      <c r="M103" s="28" t="s">
        <v>134</v>
      </c>
      <c r="N103" s="25" t="s">
        <v>135</v>
      </c>
      <c r="O103" s="25" t="s">
        <v>156</v>
      </c>
      <c r="P103" s="1" t="s">
        <v>109</v>
      </c>
      <c r="Q103" s="1" t="s">
        <v>54</v>
      </c>
      <c r="R103" s="7" t="s">
        <v>110</v>
      </c>
      <c r="S103" s="8">
        <v>1000000</v>
      </c>
    </row>
    <row r="104" spans="1:19" ht="39.75" customHeight="1">
      <c r="A104" s="15"/>
      <c r="B104" s="51" t="str">
        <f>"Tổ chức phát hành: "&amp;VLOOKUP('[1]N-M'!M5,$L$4:$T$564,2,0)</f>
        <v>Tổ chức phát hành: Công ty cổ phần Ea Súp 5</v>
      </c>
      <c r="C104" s="51"/>
      <c r="D104" s="51"/>
      <c r="E104" s="51"/>
      <c r="F104" s="52"/>
      <c r="G104" s="53" t="str">
        <f>"    Mã TP: "&amp;'[1]N-M'!M5</f>
        <v xml:space="preserve">    Mã TP: EASUP5.E63A.2020</v>
      </c>
      <c r="H104" s="54"/>
      <c r="I104" s="54"/>
      <c r="J104" s="55"/>
      <c r="L104" s="24" t="s">
        <v>157</v>
      </c>
      <c r="M104" s="28" t="s">
        <v>134</v>
      </c>
      <c r="N104" s="25" t="s">
        <v>135</v>
      </c>
      <c r="O104" s="25" t="s">
        <v>156</v>
      </c>
      <c r="P104" s="1" t="s">
        <v>109</v>
      </c>
      <c r="Q104" s="1" t="s">
        <v>54</v>
      </c>
      <c r="R104" s="7" t="s">
        <v>110</v>
      </c>
      <c r="S104" s="8">
        <v>1000000</v>
      </c>
    </row>
    <row r="105" spans="1:19" ht="28.5" customHeight="1">
      <c r="A105" s="16"/>
      <c r="B105" s="56" t="str">
        <f>"Ngày phát hành: "&amp;VLOOKUP('[1]N-M'!M5,$L$4:$S$564,3,0)</f>
        <v>Ngày phát hành: 25/06/2020</v>
      </c>
      <c r="C105" s="56"/>
      <c r="D105" s="56"/>
      <c r="E105" s="56"/>
      <c r="F105" s="48"/>
      <c r="G105" s="57" t="str">
        <f>"    Ngày đáo hạn: "&amp;VLOOKUP('[1]N-M'!M5,$L$4:$T$564,4,0)</f>
        <v xml:space="preserve">    Ngày đáo hạn: 25/06/2032</v>
      </c>
      <c r="H105" s="57"/>
      <c r="I105" s="57"/>
      <c r="J105" s="57"/>
      <c r="L105" s="24" t="s">
        <v>158</v>
      </c>
      <c r="M105" s="28" t="s">
        <v>134</v>
      </c>
      <c r="N105" s="25" t="s">
        <v>135</v>
      </c>
      <c r="O105" s="25" t="s">
        <v>156</v>
      </c>
      <c r="P105" s="1" t="s">
        <v>109</v>
      </c>
      <c r="Q105" s="1" t="s">
        <v>54</v>
      </c>
      <c r="R105" s="7" t="s">
        <v>110</v>
      </c>
      <c r="S105" s="8">
        <v>1000000</v>
      </c>
    </row>
    <row r="106" spans="1:19" ht="63.65" customHeight="1">
      <c r="A106" s="15"/>
      <c r="B106" s="51" t="str">
        <f>"Coupon: Lãi suất cho kỳ tính lãi đầu tiên là "&amp;VLOOKUP('[1]N-M'!M5,$L$4:$T$564,5,0)&amp;". Lãi suất cho các kỳ tính lãi tiếp theo bằng lãi suất thRM chiếu cộng (+) biên độ "&amp;VLOOKUP('[1]N-M'!M5,$L$4:$T$564,6,0)</f>
        <v>Coupon: Lãi suất cho kỳ tính lãi đầu tiên là 11,25%/năm. Lãi suất cho các kỳ tính lãi tiếp theo bằng lãi suất thRM chiếu cộng (+) biên độ 2,5%/năm</v>
      </c>
      <c r="C106" s="51"/>
      <c r="D106" s="51"/>
      <c r="E106" s="51"/>
      <c r="F106" s="52"/>
      <c r="G106" s="57" t="s">
        <v>41</v>
      </c>
      <c r="H106" s="57"/>
      <c r="I106" s="57"/>
      <c r="J106" s="57"/>
      <c r="L106" s="24" t="s">
        <v>105</v>
      </c>
      <c r="M106" s="13" t="s">
        <v>106</v>
      </c>
      <c r="N106" s="25" t="s">
        <v>107</v>
      </c>
      <c r="O106" t="s">
        <v>108</v>
      </c>
      <c r="P106" s="1" t="s">
        <v>109</v>
      </c>
      <c r="Q106" s="1" t="s">
        <v>54</v>
      </c>
      <c r="R106" s="7" t="s">
        <v>110</v>
      </c>
      <c r="S106" s="8">
        <v>1000000</v>
      </c>
    </row>
    <row r="107" spans="1:19" ht="36.75" customHeight="1">
      <c r="A107" s="15"/>
      <c r="B107" s="51" t="str">
        <f>"Hạn mức mua còn lại trước giao dịch: "&amp;TEXT('[1]N-M'!W5,"#,#")&amp;" đ"</f>
        <v>Hạn mức mua còn lại trước giao dịch: 322,782,906,120 đ</v>
      </c>
      <c r="C107" s="51"/>
      <c r="D107" s="51"/>
      <c r="E107" s="51"/>
      <c r="F107" s="52"/>
      <c r="G107" s="57" t="str">
        <f>"   Hạn mức cấp: "&amp;TEXT('[1]N-M'!T5,"#,#")&amp;" đ"</f>
        <v xml:space="preserve">   Hạn mức cấp: 169,992,576 đ</v>
      </c>
      <c r="H107" s="57"/>
      <c r="I107" s="57"/>
      <c r="J107" s="57"/>
      <c r="L107" s="24" t="s">
        <v>111</v>
      </c>
      <c r="M107" s="13" t="s">
        <v>106</v>
      </c>
      <c r="N107" s="25" t="s">
        <v>107</v>
      </c>
      <c r="O107" t="s">
        <v>108</v>
      </c>
      <c r="P107" s="1" t="s">
        <v>109</v>
      </c>
      <c r="Q107" s="1" t="s">
        <v>54</v>
      </c>
      <c r="R107" s="7" t="s">
        <v>110</v>
      </c>
      <c r="S107" s="8">
        <v>1000000</v>
      </c>
    </row>
    <row r="108" spans="1:19">
      <c r="L108" s="24" t="s">
        <v>112</v>
      </c>
      <c r="M108" s="13" t="s">
        <v>106</v>
      </c>
      <c r="N108" s="25" t="s">
        <v>107</v>
      </c>
      <c r="O108" t="s">
        <v>108</v>
      </c>
      <c r="P108" s="1" t="s">
        <v>109</v>
      </c>
      <c r="Q108" s="1" t="s">
        <v>54</v>
      </c>
      <c r="R108" s="7" t="s">
        <v>110</v>
      </c>
      <c r="S108" s="8">
        <v>1000000</v>
      </c>
    </row>
    <row r="109" spans="1:19">
      <c r="A109" s="11" t="s">
        <v>47</v>
      </c>
      <c r="L109" s="24" t="s">
        <v>113</v>
      </c>
      <c r="M109" s="13" t="s">
        <v>106</v>
      </c>
      <c r="N109" s="25" t="s">
        <v>107</v>
      </c>
      <c r="O109" t="s">
        <v>114</v>
      </c>
      <c r="P109" s="1" t="s">
        <v>109</v>
      </c>
      <c r="Q109" s="1" t="s">
        <v>54</v>
      </c>
      <c r="R109" s="7" t="s">
        <v>110</v>
      </c>
      <c r="S109" s="8">
        <v>1000000</v>
      </c>
    </row>
    <row r="110" spans="1:19">
      <c r="B110" s="1" t="str">
        <f>"Số quyết định: "&amp;VLOOKUP('[1]N-M'!M5,'P-M'!$L$4:$R$564,7,0)</f>
        <v>Số quyết định: 2011/2020/QĐ-TGĐ ngày 22/07/2020</v>
      </c>
      <c r="L110" s="24" t="s">
        <v>115</v>
      </c>
      <c r="M110" s="13" t="s">
        <v>106</v>
      </c>
      <c r="N110" s="25" t="s">
        <v>107</v>
      </c>
      <c r="O110" t="s">
        <v>114</v>
      </c>
      <c r="P110" s="1" t="s">
        <v>109</v>
      </c>
      <c r="Q110" s="1" t="s">
        <v>54</v>
      </c>
      <c r="R110" s="7" t="s">
        <v>110</v>
      </c>
      <c r="S110" s="8">
        <v>1000000</v>
      </c>
    </row>
    <row r="111" spans="1:19">
      <c r="A111" s="19"/>
      <c r="B111" s="48" t="str">
        <f>"Đối tác giao dịch: "&amp;'[1]N-M'!J5</f>
        <v>Đối tác giao dịch: Nguyễn Ngọc Mai Trâm</v>
      </c>
      <c r="C111" s="49"/>
      <c r="D111" s="49"/>
      <c r="E111" s="49"/>
      <c r="F111" s="49"/>
      <c r="G111" s="49"/>
      <c r="H111" s="49"/>
      <c r="I111" s="49"/>
      <c r="J111" s="49"/>
      <c r="L111" s="24" t="s">
        <v>116</v>
      </c>
      <c r="M111" s="13" t="s">
        <v>106</v>
      </c>
      <c r="N111" s="25" t="s">
        <v>107</v>
      </c>
      <c r="O111" t="s">
        <v>114</v>
      </c>
      <c r="P111" s="1" t="s">
        <v>109</v>
      </c>
      <c r="Q111" s="1" t="s">
        <v>54</v>
      </c>
      <c r="R111" s="7" t="s">
        <v>110</v>
      </c>
      <c r="S111" s="8">
        <v>1000000</v>
      </c>
    </row>
    <row r="112" spans="1:19">
      <c r="A112" s="19"/>
      <c r="B112" s="48" t="str">
        <f>"Hợp đồng số: "&amp;'[1]N-M'!L5</f>
        <v>Hợp đồng số: 130201.00457.00254.08F544.EASUP5.E63A.2020/HDTP-M-5A8429/SHB.</v>
      </c>
      <c r="C112" s="49"/>
      <c r="D112" s="49"/>
      <c r="E112" s="49"/>
      <c r="F112" s="49"/>
      <c r="G112" s="49"/>
      <c r="H112" s="49"/>
      <c r="I112" s="49"/>
      <c r="J112" s="49"/>
      <c r="L112" s="24" t="s">
        <v>117</v>
      </c>
      <c r="M112" s="13" t="s">
        <v>106</v>
      </c>
      <c r="N112" s="25" t="s">
        <v>107</v>
      </c>
      <c r="O112" t="s">
        <v>118</v>
      </c>
      <c r="P112" s="1" t="s">
        <v>109</v>
      </c>
      <c r="Q112" s="1" t="s">
        <v>54</v>
      </c>
      <c r="R112" s="7" t="s">
        <v>110</v>
      </c>
      <c r="S112" s="8">
        <v>1000000</v>
      </c>
    </row>
    <row r="113" spans="1:19">
      <c r="A113" s="19"/>
      <c r="B113" s="48" t="str">
        <f ca="1">"Ngày giao dịch: "&amp;TEXT(M1,"dd/mm/yyyy")</f>
        <v>Ngày giao dịch: 26/01/2021</v>
      </c>
      <c r="C113" s="49"/>
      <c r="D113" s="49"/>
      <c r="E113" s="49"/>
      <c r="F113" s="49" t="str">
        <f>"  CIF KH: "&amp;'[1]N-M'!O5</f>
        <v xml:space="preserve">  CIF KH: '0100301748</v>
      </c>
      <c r="G113" s="49"/>
      <c r="H113" s="49"/>
      <c r="I113" s="49"/>
      <c r="J113" s="49"/>
      <c r="L113" s="24" t="s">
        <v>119</v>
      </c>
      <c r="M113" s="13" t="s">
        <v>106</v>
      </c>
      <c r="N113" s="25" t="s">
        <v>107</v>
      </c>
      <c r="O113" t="s">
        <v>118</v>
      </c>
      <c r="P113" s="1" t="s">
        <v>109</v>
      </c>
      <c r="Q113" s="1" t="s">
        <v>54</v>
      </c>
      <c r="R113" s="7" t="s">
        <v>110</v>
      </c>
      <c r="S113" s="8">
        <v>1000000</v>
      </c>
    </row>
    <row r="114" spans="1:19">
      <c r="A114" s="19"/>
      <c r="B114" s="48" t="str">
        <f ca="1">"Ngày thanh toán: "&amp;TEXT(M1,"dd/mm/yyyy")</f>
        <v>Ngày thanh toán: 26/01/2021</v>
      </c>
      <c r="C114" s="49"/>
      <c r="D114" s="49"/>
      <c r="E114" s="49"/>
      <c r="F114" s="49" t="s">
        <v>67</v>
      </c>
      <c r="G114" s="49"/>
      <c r="H114" s="49"/>
      <c r="I114" s="49"/>
      <c r="J114" s="49"/>
      <c r="L114" s="24" t="s">
        <v>120</v>
      </c>
      <c r="M114" s="13" t="s">
        <v>106</v>
      </c>
      <c r="N114" s="25" t="s">
        <v>107</v>
      </c>
      <c r="O114" t="s">
        <v>118</v>
      </c>
      <c r="P114" s="1" t="s">
        <v>109</v>
      </c>
      <c r="Q114" s="1" t="s">
        <v>54</v>
      </c>
      <c r="R114" s="7" t="s">
        <v>110</v>
      </c>
      <c r="S114" s="8">
        <v>1000000</v>
      </c>
    </row>
    <row r="115" spans="1:19">
      <c r="A115" s="19"/>
      <c r="B115" s="48" t="str">
        <f>"Mã RM: "&amp;'[1]N-M'!B5</f>
        <v>Mã RM: 00254</v>
      </c>
      <c r="C115" s="49"/>
      <c r="D115" s="49"/>
      <c r="E115" s="49"/>
      <c r="F115" s="49" t="str">
        <f>"  Mã đơn vị: "&amp;'[1]N-M'!H5</f>
        <v xml:space="preserve">  Mã đơn vị: 130201</v>
      </c>
      <c r="G115" s="49"/>
      <c r="H115" s="49"/>
      <c r="I115" s="49"/>
      <c r="J115" s="49"/>
      <c r="L115" s="24" t="s">
        <v>121</v>
      </c>
      <c r="M115" s="13" t="s">
        <v>106</v>
      </c>
      <c r="N115" s="25" t="s">
        <v>107</v>
      </c>
      <c r="O115" t="s">
        <v>122</v>
      </c>
      <c r="P115" s="1" t="s">
        <v>109</v>
      </c>
      <c r="Q115" s="1" t="s">
        <v>54</v>
      </c>
      <c r="R115" s="7" t="s">
        <v>110</v>
      </c>
      <c r="S115" s="8">
        <v>1000000</v>
      </c>
    </row>
    <row r="116" spans="1:19">
      <c r="A116" s="19"/>
      <c r="B116" s="48" t="str">
        <f>"Số lượng TP: "&amp;TEXT('[1]N-M'!Q5,"#,#")&amp;" TP"</f>
        <v>Số lượng TP: 144 TP</v>
      </c>
      <c r="C116" s="49"/>
      <c r="D116" s="49"/>
      <c r="E116" s="49"/>
      <c r="F116" s="49" t="str">
        <f>"  Giá thực hiện: "&amp;TEXT('[1]N-M'!R5,"##,#")&amp;" VNĐ/Trái phiếu"</f>
        <v xml:space="preserve">  Giá thực hiện: 1,180,504 VNĐ/Trái phiếu</v>
      </c>
      <c r="G116" s="49"/>
      <c r="H116" s="49"/>
      <c r="I116" s="49"/>
      <c r="J116" s="49"/>
      <c r="L116" s="24" t="s">
        <v>123</v>
      </c>
      <c r="M116" s="13" t="s">
        <v>106</v>
      </c>
      <c r="N116" s="25" t="s">
        <v>107</v>
      </c>
      <c r="O116" t="s">
        <v>122</v>
      </c>
      <c r="P116" s="1" t="s">
        <v>109</v>
      </c>
      <c r="Q116" s="1" t="s">
        <v>54</v>
      </c>
      <c r="R116" s="7" t="s">
        <v>110</v>
      </c>
      <c r="S116" s="8">
        <v>1000000</v>
      </c>
    </row>
    <row r="117" spans="1:19">
      <c r="A117" s="19"/>
      <c r="B117" s="48" t="str">
        <f>"Tổng mệnh giá: "&amp;TEXT('[1]N-M'!S5,"##,#")&amp;" VND"</f>
        <v>Tổng mệnh giá: 144,000,000 VND</v>
      </c>
      <c r="C117" s="49"/>
      <c r="D117" s="49"/>
      <c r="E117" s="49"/>
      <c r="F117" s="49" t="str">
        <f>"  Tổng giá trị giao dịch: "&amp;TEXT('[1]N-M'!T5,"##,#")&amp;" VND"</f>
        <v xml:space="preserve">  Tổng giá trị giao dịch: 169,992,576 VND</v>
      </c>
      <c r="G117" s="49"/>
      <c r="H117" s="49"/>
      <c r="I117" s="49"/>
      <c r="J117" s="49"/>
      <c r="L117" s="24" t="s">
        <v>124</v>
      </c>
      <c r="M117" s="13" t="s">
        <v>106</v>
      </c>
      <c r="N117" s="25" t="s">
        <v>107</v>
      </c>
      <c r="O117" t="s">
        <v>122</v>
      </c>
      <c r="P117" s="1" t="s">
        <v>109</v>
      </c>
      <c r="Q117" s="1" t="s">
        <v>54</v>
      </c>
      <c r="R117" s="7" t="s">
        <v>110</v>
      </c>
      <c r="S117" s="8">
        <v>1000000</v>
      </c>
    </row>
    <row r="118" spans="1:19">
      <c r="A118" s="19"/>
      <c r="B118" s="48" t="str">
        <f>"Tổng giá trị thanh toán: "&amp;TEXT('[1]N-M'!V5,"##,#")&amp;" VND"</f>
        <v>Tổng giá trị thanh toán: 169,772,583 VND</v>
      </c>
      <c r="C118" s="49"/>
      <c r="D118" s="49"/>
      <c r="E118" s="49"/>
      <c r="F118" s="49"/>
      <c r="G118" s="49"/>
      <c r="H118" s="49"/>
      <c r="I118" s="49"/>
      <c r="J118" s="49"/>
      <c r="L118" s="24" t="s">
        <v>125</v>
      </c>
      <c r="M118" s="13" t="s">
        <v>106</v>
      </c>
      <c r="N118" s="25" t="s">
        <v>107</v>
      </c>
      <c r="O118" t="s">
        <v>126</v>
      </c>
      <c r="P118" s="1" t="s">
        <v>109</v>
      </c>
      <c r="Q118" s="1" t="s">
        <v>54</v>
      </c>
      <c r="R118" s="7" t="s">
        <v>110</v>
      </c>
      <c r="S118" s="8">
        <v>1000000</v>
      </c>
    </row>
    <row r="119" spans="1:19" ht="38.25" customHeight="1">
      <c r="F119" s="58" t="s">
        <v>74</v>
      </c>
      <c r="G119" s="46"/>
      <c r="H119" s="46"/>
      <c r="I119" s="46"/>
      <c r="J119" s="46"/>
      <c r="L119" s="24" t="s">
        <v>127</v>
      </c>
      <c r="M119" s="13" t="s">
        <v>106</v>
      </c>
      <c r="N119" s="25" t="s">
        <v>107</v>
      </c>
      <c r="O119" t="s">
        <v>126</v>
      </c>
      <c r="P119" s="1" t="s">
        <v>109</v>
      </c>
      <c r="Q119" s="1" t="s">
        <v>54</v>
      </c>
      <c r="R119" s="7" t="s">
        <v>110</v>
      </c>
      <c r="S119" s="8">
        <v>1000000</v>
      </c>
    </row>
    <row r="120" spans="1:19">
      <c r="L120" s="27" t="s">
        <v>128</v>
      </c>
      <c r="M120" s="13" t="s">
        <v>106</v>
      </c>
      <c r="N120" s="25" t="s">
        <v>107</v>
      </c>
      <c r="O120" t="s">
        <v>126</v>
      </c>
      <c r="P120" s="1" t="s">
        <v>109</v>
      </c>
      <c r="Q120" s="1" t="s">
        <v>54</v>
      </c>
      <c r="R120" s="7" t="s">
        <v>110</v>
      </c>
      <c r="S120" s="8">
        <v>1000000</v>
      </c>
    </row>
    <row r="121" spans="1:19">
      <c r="L121" s="24" t="s">
        <v>129</v>
      </c>
      <c r="M121" s="13" t="s">
        <v>106</v>
      </c>
      <c r="N121" s="25" t="s">
        <v>107</v>
      </c>
      <c r="O121" t="s">
        <v>130</v>
      </c>
      <c r="P121" s="1" t="s">
        <v>109</v>
      </c>
      <c r="Q121" s="1" t="s">
        <v>54</v>
      </c>
      <c r="R121" s="7" t="s">
        <v>110</v>
      </c>
      <c r="S121" s="8">
        <v>1000000</v>
      </c>
    </row>
    <row r="122" spans="1:19">
      <c r="L122" s="24" t="s">
        <v>131</v>
      </c>
      <c r="M122" s="13" t="s">
        <v>106</v>
      </c>
      <c r="N122" s="25" t="s">
        <v>107</v>
      </c>
      <c r="O122" t="s">
        <v>130</v>
      </c>
      <c r="P122" s="1" t="s">
        <v>109</v>
      </c>
      <c r="Q122" s="1" t="s">
        <v>54</v>
      </c>
      <c r="R122" s="7" t="s">
        <v>110</v>
      </c>
      <c r="S122" s="8">
        <v>1000000</v>
      </c>
    </row>
    <row r="123" spans="1:19">
      <c r="E123" s="1"/>
      <c r="F123" s="46" t="str">
        <f>F92</f>
        <v>Nguyễn Thế Dũng</v>
      </c>
      <c r="G123" s="46"/>
      <c r="H123" s="46"/>
      <c r="I123" s="46"/>
      <c r="J123" s="46"/>
      <c r="L123" s="24" t="s">
        <v>132</v>
      </c>
      <c r="M123" s="13" t="s">
        <v>106</v>
      </c>
      <c r="N123" s="25" t="s">
        <v>107</v>
      </c>
      <c r="O123" t="s">
        <v>130</v>
      </c>
      <c r="P123" s="1" t="s">
        <v>109</v>
      </c>
      <c r="Q123" s="1" t="s">
        <v>54</v>
      </c>
      <c r="R123" s="7" t="s">
        <v>110</v>
      </c>
      <c r="S123" s="8">
        <v>1000000</v>
      </c>
    </row>
    <row r="124" spans="1:19" ht="20.25" customHeight="1">
      <c r="L124" s="24" t="s">
        <v>159</v>
      </c>
      <c r="M124" s="1" t="s">
        <v>19</v>
      </c>
      <c r="N124" s="6" t="s">
        <v>20</v>
      </c>
      <c r="O124" s="6" t="s">
        <v>21</v>
      </c>
      <c r="P124" s="1" t="s">
        <v>22</v>
      </c>
      <c r="Q124" s="1" t="s">
        <v>23</v>
      </c>
      <c r="R124" s="7" t="s">
        <v>160</v>
      </c>
      <c r="S124" s="8">
        <v>1000000</v>
      </c>
    </row>
    <row r="125" spans="1:19">
      <c r="I125" s="44" t="s">
        <v>0</v>
      </c>
      <c r="J125" s="44"/>
      <c r="L125" s="24" t="s">
        <v>161</v>
      </c>
      <c r="M125" s="1" t="s">
        <v>19</v>
      </c>
      <c r="N125" s="6" t="s">
        <v>20</v>
      </c>
      <c r="O125" s="6" t="s">
        <v>21</v>
      </c>
      <c r="P125" s="1" t="s">
        <v>22</v>
      </c>
      <c r="Q125" s="1" t="s">
        <v>23</v>
      </c>
      <c r="R125" s="7" t="s">
        <v>160</v>
      </c>
      <c r="S125" s="8">
        <v>1000000</v>
      </c>
    </row>
    <row r="126" spans="1:19">
      <c r="E126" s="45" t="s">
        <v>2</v>
      </c>
      <c r="F126" s="45"/>
      <c r="G126" s="45"/>
      <c r="H126" s="45"/>
      <c r="I126" s="45"/>
      <c r="J126" s="45"/>
      <c r="L126" s="24" t="s">
        <v>162</v>
      </c>
      <c r="M126" s="1" t="s">
        <v>19</v>
      </c>
      <c r="N126" s="6" t="s">
        <v>20</v>
      </c>
      <c r="O126" s="6" t="s">
        <v>21</v>
      </c>
      <c r="P126" s="1" t="s">
        <v>22</v>
      </c>
      <c r="Q126" s="1" t="s">
        <v>23</v>
      </c>
      <c r="R126" s="7" t="s">
        <v>160</v>
      </c>
      <c r="S126" s="8">
        <v>1000000</v>
      </c>
    </row>
    <row r="127" spans="1:19">
      <c r="E127" s="45" t="s">
        <v>3</v>
      </c>
      <c r="F127" s="45"/>
      <c r="G127" s="45"/>
      <c r="H127" s="45"/>
      <c r="I127" s="45"/>
      <c r="J127" s="45"/>
      <c r="L127" s="24" t="s">
        <v>163</v>
      </c>
      <c r="M127" s="1" t="s">
        <v>19</v>
      </c>
      <c r="N127" s="6" t="s">
        <v>20</v>
      </c>
      <c r="O127" s="6" t="s">
        <v>21</v>
      </c>
      <c r="P127" s="1" t="s">
        <v>22</v>
      </c>
      <c r="Q127" s="1" t="s">
        <v>23</v>
      </c>
      <c r="R127" s="7" t="s">
        <v>160</v>
      </c>
      <c r="S127" s="8">
        <v>1000000</v>
      </c>
    </row>
    <row r="128" spans="1:19">
      <c r="E128" s="45"/>
      <c r="F128" s="45"/>
      <c r="G128" s="45"/>
      <c r="H128" s="45"/>
      <c r="I128" s="45"/>
      <c r="J128" s="45"/>
      <c r="L128" s="24" t="s">
        <v>164</v>
      </c>
      <c r="M128" s="1" t="s">
        <v>19</v>
      </c>
      <c r="N128" s="6" t="s">
        <v>20</v>
      </c>
      <c r="O128" s="6" t="s">
        <v>21</v>
      </c>
      <c r="P128" s="1" t="s">
        <v>22</v>
      </c>
      <c r="Q128" s="1" t="s">
        <v>23</v>
      </c>
      <c r="R128" s="7" t="s">
        <v>160</v>
      </c>
      <c r="S128" s="8">
        <v>1000000</v>
      </c>
    </row>
    <row r="129" spans="1:19">
      <c r="B129" s="46" t="s">
        <v>12</v>
      </c>
      <c r="C129" s="46"/>
      <c r="D129" s="46"/>
      <c r="L129" s="24" t="s">
        <v>165</v>
      </c>
      <c r="M129" s="1" t="s">
        <v>19</v>
      </c>
      <c r="N129" s="6" t="s">
        <v>20</v>
      </c>
      <c r="O129" s="6" t="s">
        <v>21</v>
      </c>
      <c r="P129" s="1" t="s">
        <v>22</v>
      </c>
      <c r="Q129" s="1" t="s">
        <v>23</v>
      </c>
      <c r="R129" s="7" t="s">
        <v>160</v>
      </c>
      <c r="S129" s="8">
        <v>1000000</v>
      </c>
    </row>
    <row r="130" spans="1:19" ht="25.5" customHeight="1">
      <c r="E130" s="47" t="str">
        <f ca="1">"SỐ: "&amp;TEXT($M$1,"ddmm")&amp;CHAR(CODE($M$3)+4)&amp;"1"&amp;"/"&amp;YEAR($M$1)&amp;"/KDTPBL"</f>
        <v>SỐ: 2601E1/2021/KDTPBL</v>
      </c>
      <c r="F130" s="47"/>
      <c r="G130" s="47"/>
      <c r="H130" s="47"/>
      <c r="I130" s="47"/>
      <c r="J130" s="47"/>
      <c r="L130" s="24" t="s">
        <v>166</v>
      </c>
      <c r="M130" s="13" t="s">
        <v>33</v>
      </c>
      <c r="N130" s="14" t="s">
        <v>34</v>
      </c>
      <c r="O130" s="14" t="s">
        <v>35</v>
      </c>
      <c r="P130" s="1" t="s">
        <v>36</v>
      </c>
      <c r="Q130" s="1" t="s">
        <v>37</v>
      </c>
      <c r="R130" s="7" t="s">
        <v>160</v>
      </c>
      <c r="S130" s="8">
        <v>100000</v>
      </c>
    </row>
    <row r="131" spans="1:19" ht="49.5" customHeight="1">
      <c r="B131" s="50" t="s">
        <v>17</v>
      </c>
      <c r="C131" s="50"/>
      <c r="D131" s="50"/>
      <c r="E131" s="50"/>
      <c r="F131" s="50"/>
      <c r="G131" s="50"/>
      <c r="H131" s="50"/>
      <c r="I131" s="50"/>
      <c r="J131" s="50"/>
      <c r="L131" s="24" t="s">
        <v>167</v>
      </c>
      <c r="M131" s="13" t="s">
        <v>33</v>
      </c>
      <c r="N131" s="14" t="s">
        <v>34</v>
      </c>
      <c r="O131" s="14" t="s">
        <v>35</v>
      </c>
      <c r="P131" s="1" t="s">
        <v>36</v>
      </c>
      <c r="Q131" s="1" t="s">
        <v>37</v>
      </c>
      <c r="R131" s="7" t="s">
        <v>160</v>
      </c>
      <c r="S131" s="8">
        <v>100000</v>
      </c>
    </row>
    <row r="132" spans="1:19">
      <c r="B132" s="1" t="s">
        <v>398</v>
      </c>
      <c r="F132" s="1" t="s">
        <v>399</v>
      </c>
      <c r="H132" s="1" t="s">
        <v>27</v>
      </c>
      <c r="L132" s="24" t="s">
        <v>168</v>
      </c>
      <c r="M132" s="13" t="s">
        <v>33</v>
      </c>
      <c r="N132" s="14" t="s">
        <v>34</v>
      </c>
      <c r="O132" s="14" t="s">
        <v>35</v>
      </c>
      <c r="P132" s="1" t="s">
        <v>36</v>
      </c>
      <c r="Q132" s="1" t="s">
        <v>37</v>
      </c>
      <c r="R132" s="7" t="s">
        <v>160</v>
      </c>
      <c r="S132" s="8">
        <v>100000</v>
      </c>
    </row>
    <row r="133" spans="1:19">
      <c r="B133" s="1" t="s">
        <v>29</v>
      </c>
      <c r="D133" s="10" t="str">
        <f>'[1]N-M'!L6</f>
        <v>110220.08735.01053.FCD657.EASUP5.E126A.2020/HDTP-M-E81390/SHB.</v>
      </c>
      <c r="L133" s="24" t="s">
        <v>169</v>
      </c>
      <c r="M133" s="13" t="s">
        <v>33</v>
      </c>
      <c r="N133" s="14" t="s">
        <v>34</v>
      </c>
      <c r="O133" s="14" t="s">
        <v>35</v>
      </c>
      <c r="P133" s="1" t="s">
        <v>36</v>
      </c>
      <c r="Q133" s="1" t="s">
        <v>37</v>
      </c>
      <c r="R133" s="7" t="s">
        <v>160</v>
      </c>
      <c r="S133" s="8">
        <v>100000</v>
      </c>
    </row>
    <row r="134" spans="1:19" ht="30" customHeight="1">
      <c r="A134" s="11" t="s">
        <v>31</v>
      </c>
      <c r="L134" s="24" t="s">
        <v>170</v>
      </c>
      <c r="M134" s="13" t="s">
        <v>33</v>
      </c>
      <c r="N134" s="14" t="s">
        <v>34</v>
      </c>
      <c r="O134" s="14" t="s">
        <v>35</v>
      </c>
      <c r="P134" s="1" t="s">
        <v>36</v>
      </c>
      <c r="Q134" s="1" t="s">
        <v>37</v>
      </c>
      <c r="R134" s="7" t="s">
        <v>160</v>
      </c>
      <c r="S134" s="8">
        <v>100000</v>
      </c>
    </row>
    <row r="135" spans="1:19" ht="39.75" customHeight="1">
      <c r="A135" s="15"/>
      <c r="B135" s="51" t="str">
        <f>"Tổ chức phát hành: "&amp;VLOOKUP('[1]N-M'!M6,$L$4:$T$564,2,0)</f>
        <v>Tổ chức phát hành: Công ty cổ phần Ea Súp 5</v>
      </c>
      <c r="C135" s="51"/>
      <c r="D135" s="51"/>
      <c r="E135" s="51"/>
      <c r="F135" s="52"/>
      <c r="G135" s="53" t="str">
        <f>"    Mã TP: "&amp;'[1]N-M'!M6</f>
        <v xml:space="preserve">    Mã TP: EASUP5.E126A.2020</v>
      </c>
      <c r="H135" s="54"/>
      <c r="I135" s="54"/>
      <c r="J135" s="55"/>
      <c r="L135" s="24" t="s">
        <v>171</v>
      </c>
      <c r="M135" s="13" t="s">
        <v>33</v>
      </c>
      <c r="N135" s="14" t="s">
        <v>34</v>
      </c>
      <c r="O135" s="14" t="s">
        <v>35</v>
      </c>
      <c r="P135" s="1" t="s">
        <v>36</v>
      </c>
      <c r="Q135" s="1" t="s">
        <v>37</v>
      </c>
      <c r="R135" s="7" t="s">
        <v>160</v>
      </c>
      <c r="S135" s="8">
        <v>100000</v>
      </c>
    </row>
    <row r="136" spans="1:19" ht="28.5" customHeight="1">
      <c r="A136" s="16"/>
      <c r="B136" s="56" t="str">
        <f>"Ngày phát hành: "&amp;VLOOKUP('[1]N-M'!M6,$L$4:$S$564,3,0)</f>
        <v>Ngày phát hành: 25/06/2020</v>
      </c>
      <c r="C136" s="56"/>
      <c r="D136" s="56"/>
      <c r="E136" s="56"/>
      <c r="F136" s="48"/>
      <c r="G136" s="57" t="str">
        <f>"    Ngày đáo hạn: "&amp;VLOOKUP('[1]N-M'!M6,$L$4:$T$564,4,0)</f>
        <v xml:space="preserve">    Ngày đáo hạn: 25/06/2032</v>
      </c>
      <c r="H136" s="57"/>
      <c r="I136" s="57"/>
      <c r="J136" s="57"/>
      <c r="L136" t="s">
        <v>172</v>
      </c>
      <c r="M136" s="28" t="s">
        <v>134</v>
      </c>
      <c r="N136" s="25" t="s">
        <v>135</v>
      </c>
      <c r="O136" s="25" t="s">
        <v>136</v>
      </c>
      <c r="P136" s="1" t="s">
        <v>109</v>
      </c>
      <c r="Q136" s="1" t="s">
        <v>54</v>
      </c>
      <c r="R136" s="7" t="s">
        <v>173</v>
      </c>
      <c r="S136" s="8">
        <v>1000000</v>
      </c>
    </row>
    <row r="137" spans="1:19" ht="63.65" customHeight="1">
      <c r="A137" s="15"/>
      <c r="B137" s="51" t="str">
        <f>"Coupon: Lãi suất cho kỳ tính lãi đầu tiên là "&amp;VLOOKUP('[1]N-M'!M6,$L$4:$T$564,5,0)&amp;". Lãi suất cho các kỳ tính lãi tiếp theo bằng lãi suất thRM chiếu cộng (+) biên độ "&amp;VLOOKUP('[1]N-M'!M6,$L$4:$T$564,6,0)</f>
        <v>Coupon: Lãi suất cho kỳ tính lãi đầu tiên là 11,25%/năm. Lãi suất cho các kỳ tính lãi tiếp theo bằng lãi suất thRM chiếu cộng (+) biên độ 2,5%/năm</v>
      </c>
      <c r="C137" s="51"/>
      <c r="D137" s="51"/>
      <c r="E137" s="51"/>
      <c r="F137" s="52"/>
      <c r="G137" s="57" t="s">
        <v>41</v>
      </c>
      <c r="H137" s="57"/>
      <c r="I137" s="57"/>
      <c r="J137" s="57"/>
      <c r="L137" t="s">
        <v>174</v>
      </c>
      <c r="M137" s="28" t="s">
        <v>134</v>
      </c>
      <c r="N137" s="25" t="s">
        <v>135</v>
      </c>
      <c r="O137" s="25" t="s">
        <v>140</v>
      </c>
      <c r="P137" s="1" t="s">
        <v>109</v>
      </c>
      <c r="Q137" s="1" t="s">
        <v>54</v>
      </c>
      <c r="R137" s="7" t="s">
        <v>173</v>
      </c>
      <c r="S137" s="8">
        <v>1000000</v>
      </c>
    </row>
    <row r="138" spans="1:19" ht="36.75" customHeight="1">
      <c r="A138" s="15"/>
      <c r="B138" s="51" t="str">
        <f>"Hạn mức mua còn lại trước giao dịch: "&amp;TEXT('[1]N-M'!W6,"#,#")&amp;" đ"</f>
        <v>Hạn mức mua còn lại trước giao dịch: 322,612,913,544 đ</v>
      </c>
      <c r="C138" s="51"/>
      <c r="D138" s="51"/>
      <c r="E138" s="51"/>
      <c r="F138" s="52"/>
      <c r="G138" s="57" t="str">
        <f>"   Hạn mức cấp: "&amp;TEXT('[1]N-M'!T6,"#,#")&amp;" đ"</f>
        <v xml:space="preserve">   Hạn mức cấp: 1,191,943,335 đ</v>
      </c>
      <c r="H138" s="57"/>
      <c r="I138" s="57"/>
      <c r="J138" s="57"/>
      <c r="L138" t="s">
        <v>175</v>
      </c>
      <c r="M138" s="28" t="s">
        <v>134</v>
      </c>
      <c r="N138" s="25" t="s">
        <v>135</v>
      </c>
      <c r="O138" s="25" t="s">
        <v>144</v>
      </c>
      <c r="P138" s="1" t="s">
        <v>109</v>
      </c>
      <c r="Q138" s="1" t="s">
        <v>54</v>
      </c>
      <c r="R138" s="7" t="s">
        <v>173</v>
      </c>
      <c r="S138" s="8">
        <v>1000000</v>
      </c>
    </row>
    <row r="139" spans="1:19">
      <c r="L139" t="s">
        <v>176</v>
      </c>
      <c r="M139" s="28" t="s">
        <v>134</v>
      </c>
      <c r="N139" s="25" t="s">
        <v>135</v>
      </c>
      <c r="O139" s="25" t="s">
        <v>148</v>
      </c>
      <c r="P139" s="1" t="s">
        <v>109</v>
      </c>
      <c r="Q139" s="1" t="s">
        <v>54</v>
      </c>
      <c r="R139" s="7" t="s">
        <v>173</v>
      </c>
      <c r="S139" s="8">
        <v>1000000</v>
      </c>
    </row>
    <row r="140" spans="1:19">
      <c r="A140" s="11" t="s">
        <v>47</v>
      </c>
      <c r="L140" t="s">
        <v>177</v>
      </c>
      <c r="M140" s="28" t="s">
        <v>134</v>
      </c>
      <c r="N140" s="25" t="s">
        <v>135</v>
      </c>
      <c r="O140" s="25" t="s">
        <v>152</v>
      </c>
      <c r="P140" s="1" t="s">
        <v>109</v>
      </c>
      <c r="Q140" s="1" t="s">
        <v>54</v>
      </c>
      <c r="R140" s="7" t="s">
        <v>173</v>
      </c>
      <c r="S140" s="8">
        <v>1000000</v>
      </c>
    </row>
    <row r="141" spans="1:19">
      <c r="B141" s="1" t="str">
        <f>"Số quyết định: "&amp;VLOOKUP('[1]N-M'!M6,'P-M'!$L$4:$R$564,7,0)</f>
        <v>Số quyết định: 2011/2020/QĐ-TGĐ ngày 22/07/2020</v>
      </c>
      <c r="L141" t="s">
        <v>178</v>
      </c>
      <c r="M141" s="28" t="s">
        <v>134</v>
      </c>
      <c r="N141" s="25" t="s">
        <v>135</v>
      </c>
      <c r="O141" s="25" t="s">
        <v>156</v>
      </c>
      <c r="P141" s="1" t="s">
        <v>109</v>
      </c>
      <c r="Q141" s="1" t="s">
        <v>54</v>
      </c>
      <c r="R141" s="7" t="s">
        <v>173</v>
      </c>
      <c r="S141" s="8">
        <v>1000000</v>
      </c>
    </row>
    <row r="142" spans="1:19">
      <c r="A142" s="19"/>
      <c r="B142" s="48" t="str">
        <f>"Đối tác giao dịch: "&amp;'[1]N-M'!J6</f>
        <v>Đối tác giao dịch: Nguyễn Thị Hoan</v>
      </c>
      <c r="C142" s="49"/>
      <c r="D142" s="49"/>
      <c r="E142" s="49"/>
      <c r="F142" s="49"/>
      <c r="G142" s="49"/>
      <c r="H142" s="49"/>
      <c r="I142" s="49"/>
      <c r="J142" s="49"/>
      <c r="L142" s="29" t="s">
        <v>179</v>
      </c>
      <c r="M142" s="39" t="s">
        <v>180</v>
      </c>
      <c r="N142" s="40" t="s">
        <v>181</v>
      </c>
      <c r="O142" s="41" t="s">
        <v>182</v>
      </c>
      <c r="P142" s="41" t="s">
        <v>183</v>
      </c>
      <c r="Q142" s="41" t="s">
        <v>184</v>
      </c>
      <c r="R142" s="41" t="s">
        <v>185</v>
      </c>
    </row>
    <row r="143" spans="1:19">
      <c r="A143" s="19"/>
      <c r="B143" s="48" t="str">
        <f>"Hợp đồng số: "&amp;'[1]N-M'!L6</f>
        <v>Hợp đồng số: 110220.08735.01053.FCD657.EASUP5.E126A.2020/HDTP-M-E81390/SHB.</v>
      </c>
      <c r="C143" s="49"/>
      <c r="D143" s="49"/>
      <c r="E143" s="49"/>
      <c r="F143" s="49"/>
      <c r="G143" s="49"/>
      <c r="H143" s="49"/>
      <c r="I143" s="49"/>
      <c r="J143" s="49"/>
      <c r="L143" s="29" t="s">
        <v>186</v>
      </c>
      <c r="M143" s="39" t="s">
        <v>180</v>
      </c>
      <c r="N143" s="41" t="s">
        <v>181</v>
      </c>
      <c r="O143" s="41" t="s">
        <v>182</v>
      </c>
      <c r="P143" s="41" t="s">
        <v>183</v>
      </c>
      <c r="Q143" s="41" t="s">
        <v>184</v>
      </c>
      <c r="R143" s="41" t="s">
        <v>185</v>
      </c>
    </row>
    <row r="144" spans="1:19">
      <c r="A144" s="19"/>
      <c r="B144" s="48" t="str">
        <f ca="1">"Ngày giao dịch: "&amp;TEXT($M$1,"dd/mm/yyyy")</f>
        <v>Ngày giao dịch: 26/01/2021</v>
      </c>
      <c r="C144" s="49"/>
      <c r="D144" s="49"/>
      <c r="E144" s="49"/>
      <c r="F144" s="49" t="str">
        <f>"  CIF KH: "&amp;'[1]N-M'!O6</f>
        <v xml:space="preserve">  CIF KH: '1800001415</v>
      </c>
      <c r="G144" s="49"/>
      <c r="H144" s="49"/>
      <c r="I144" s="49"/>
      <c r="J144" s="49"/>
      <c r="L144" s="29" t="s">
        <v>187</v>
      </c>
      <c r="M144" s="39" t="s">
        <v>180</v>
      </c>
      <c r="N144" s="41" t="s">
        <v>181</v>
      </c>
      <c r="O144" s="41" t="s">
        <v>182</v>
      </c>
      <c r="P144" s="41" t="s">
        <v>183</v>
      </c>
      <c r="Q144" s="41" t="s">
        <v>184</v>
      </c>
      <c r="R144" s="41" t="s">
        <v>185</v>
      </c>
    </row>
    <row r="145" spans="1:18">
      <c r="A145" s="19"/>
      <c r="B145" s="48" t="str">
        <f ca="1">"Ngày thanh toán: "&amp;TEXT($M$1,"dd/mm/yyyy")</f>
        <v>Ngày thanh toán: 26/01/2021</v>
      </c>
      <c r="C145" s="49"/>
      <c r="D145" s="49"/>
      <c r="E145" s="49"/>
      <c r="F145" s="49" t="s">
        <v>67</v>
      </c>
      <c r="G145" s="49"/>
      <c r="H145" s="49"/>
      <c r="I145" s="49"/>
      <c r="J145" s="49"/>
      <c r="L145" s="29" t="s">
        <v>188</v>
      </c>
      <c r="M145" s="39" t="s">
        <v>180</v>
      </c>
      <c r="N145" s="41" t="s">
        <v>181</v>
      </c>
      <c r="O145" s="41" t="s">
        <v>189</v>
      </c>
      <c r="P145" s="41" t="s">
        <v>183</v>
      </c>
      <c r="Q145" s="41" t="s">
        <v>184</v>
      </c>
      <c r="R145" s="41" t="s">
        <v>185</v>
      </c>
    </row>
    <row r="146" spans="1:18">
      <c r="A146" s="19"/>
      <c r="B146" s="48" t="str">
        <f>"Mã RM: "&amp;'[1]N-M'!B6</f>
        <v>Mã RM: 01053</v>
      </c>
      <c r="C146" s="49"/>
      <c r="D146" s="49"/>
      <c r="E146" s="49"/>
      <c r="F146" s="49" t="str">
        <f>"  Mã đơn vị: "&amp;'[1]N-M'!H6</f>
        <v xml:space="preserve">  Mã đơn vị: 110220</v>
      </c>
      <c r="G146" s="49"/>
      <c r="H146" s="49"/>
      <c r="I146" s="49"/>
      <c r="J146" s="49"/>
      <c r="L146" s="29" t="s">
        <v>190</v>
      </c>
      <c r="M146" s="39" t="s">
        <v>180</v>
      </c>
      <c r="N146" s="41" t="s">
        <v>181</v>
      </c>
      <c r="O146" s="41" t="s">
        <v>189</v>
      </c>
      <c r="P146" s="41" t="s">
        <v>183</v>
      </c>
      <c r="Q146" s="41" t="s">
        <v>184</v>
      </c>
      <c r="R146" s="41" t="s">
        <v>185</v>
      </c>
    </row>
    <row r="147" spans="1:18">
      <c r="A147" s="19"/>
      <c r="B147" s="48" t="str">
        <f>"Số lượng TP: "&amp;TEXT('[1]N-M'!Q6,"#,#")&amp;" TP"</f>
        <v>Số lượng TP: 995 TP</v>
      </c>
      <c r="C147" s="49"/>
      <c r="D147" s="49"/>
      <c r="E147" s="49"/>
      <c r="F147" s="49" t="str">
        <f>"  Giá thực hiện: "&amp;TEXT('[1]N-M'!R6,"##,#")&amp;" VNĐ/Trái phiếu"</f>
        <v xml:space="preserve">  Giá thực hiện: 1,197,933 VNĐ/Trái phiếu</v>
      </c>
      <c r="G147" s="49"/>
      <c r="H147" s="49"/>
      <c r="I147" s="49"/>
      <c r="J147" s="49"/>
      <c r="L147" s="29" t="s">
        <v>191</v>
      </c>
      <c r="M147" s="39" t="s">
        <v>180</v>
      </c>
      <c r="N147" s="41" t="s">
        <v>181</v>
      </c>
      <c r="O147" s="41" t="s">
        <v>189</v>
      </c>
      <c r="P147" s="41" t="s">
        <v>183</v>
      </c>
      <c r="Q147" s="41" t="s">
        <v>184</v>
      </c>
      <c r="R147" s="41" t="s">
        <v>185</v>
      </c>
    </row>
    <row r="148" spans="1:18">
      <c r="A148" s="19"/>
      <c r="B148" s="48" t="str">
        <f>"Tổng mệnh giá: "&amp;TEXT('[1]N-M'!S6,"##,#")&amp;" VND"</f>
        <v>Tổng mệnh giá: 995,000,000 VND</v>
      </c>
      <c r="C148" s="49"/>
      <c r="D148" s="49"/>
      <c r="E148" s="49"/>
      <c r="F148" s="49" t="str">
        <f>"  Tổng giá trị giao dịch: "&amp;TEXT('[1]N-M'!T6,"##,#")&amp;" VND"</f>
        <v xml:space="preserve">  Tổng giá trị giao dịch: 1,191,943,335 VND</v>
      </c>
      <c r="G148" s="49"/>
      <c r="H148" s="49"/>
      <c r="I148" s="49"/>
      <c r="J148" s="49"/>
      <c r="L148" s="29" t="s">
        <v>192</v>
      </c>
      <c r="M148" s="39" t="s">
        <v>180</v>
      </c>
      <c r="N148" s="41" t="s">
        <v>181</v>
      </c>
      <c r="O148" s="41" t="s">
        <v>193</v>
      </c>
      <c r="P148" s="41" t="s">
        <v>183</v>
      </c>
      <c r="Q148" s="41" t="s">
        <v>184</v>
      </c>
      <c r="R148" s="41" t="s">
        <v>185</v>
      </c>
    </row>
    <row r="149" spans="1:18">
      <c r="A149" s="19"/>
      <c r="B149" s="48" t="str">
        <f>"Tổng giá trị thanh toán: "&amp;TEXT('[1]N-M'!V6,"##,#")&amp;" VND"</f>
        <v>Tổng giá trị thanh toán: 1,190,602,142 VND</v>
      </c>
      <c r="C149" s="49"/>
      <c r="D149" s="49"/>
      <c r="E149" s="49"/>
      <c r="F149" s="49"/>
      <c r="G149" s="49"/>
      <c r="H149" s="49"/>
      <c r="I149" s="49"/>
      <c r="J149" s="49"/>
      <c r="L149" s="29" t="s">
        <v>194</v>
      </c>
      <c r="M149" s="39" t="s">
        <v>180</v>
      </c>
      <c r="N149" s="41" t="s">
        <v>181</v>
      </c>
      <c r="O149" s="41" t="s">
        <v>193</v>
      </c>
      <c r="P149" s="41" t="s">
        <v>183</v>
      </c>
      <c r="Q149" s="41" t="s">
        <v>184</v>
      </c>
      <c r="R149" s="41" t="s">
        <v>185</v>
      </c>
    </row>
    <row r="150" spans="1:18" ht="38.25" customHeight="1">
      <c r="F150" s="58" t="s">
        <v>74</v>
      </c>
      <c r="G150" s="46"/>
      <c r="H150" s="46"/>
      <c r="I150" s="46"/>
      <c r="J150" s="46"/>
      <c r="L150" s="29" t="s">
        <v>195</v>
      </c>
      <c r="M150" s="39" t="s">
        <v>180</v>
      </c>
      <c r="N150" s="41" t="s">
        <v>181</v>
      </c>
      <c r="O150" s="41" t="s">
        <v>193</v>
      </c>
      <c r="P150" s="41" t="s">
        <v>183</v>
      </c>
      <c r="Q150" s="41" t="s">
        <v>184</v>
      </c>
      <c r="R150" s="41" t="s">
        <v>185</v>
      </c>
    </row>
    <row r="151" spans="1:18">
      <c r="L151" s="29" t="s">
        <v>196</v>
      </c>
      <c r="M151" s="39" t="s">
        <v>180</v>
      </c>
      <c r="N151" s="41" t="s">
        <v>181</v>
      </c>
      <c r="O151" s="41" t="s">
        <v>197</v>
      </c>
      <c r="P151" s="41" t="s">
        <v>183</v>
      </c>
      <c r="Q151" s="41" t="s">
        <v>184</v>
      </c>
      <c r="R151" s="41" t="s">
        <v>185</v>
      </c>
    </row>
    <row r="152" spans="1:18">
      <c r="L152" s="29" t="s">
        <v>198</v>
      </c>
      <c r="M152" s="39" t="s">
        <v>180</v>
      </c>
      <c r="N152" s="41" t="s">
        <v>181</v>
      </c>
      <c r="O152" s="41" t="s">
        <v>197</v>
      </c>
      <c r="P152" s="41" t="s">
        <v>183</v>
      </c>
      <c r="Q152" s="41" t="s">
        <v>184</v>
      </c>
      <c r="R152" s="41" t="s">
        <v>185</v>
      </c>
    </row>
    <row r="153" spans="1:18">
      <c r="L153" s="29" t="s">
        <v>199</v>
      </c>
      <c r="M153" s="39" t="s">
        <v>180</v>
      </c>
      <c r="N153" s="41" t="s">
        <v>181</v>
      </c>
      <c r="O153" s="41" t="s">
        <v>197</v>
      </c>
      <c r="P153" s="41" t="s">
        <v>183</v>
      </c>
      <c r="Q153" s="41" t="s">
        <v>184</v>
      </c>
      <c r="R153" s="41" t="s">
        <v>185</v>
      </c>
    </row>
    <row r="154" spans="1:18">
      <c r="E154" s="1"/>
      <c r="F154" s="46" t="str">
        <f>F123</f>
        <v>Nguyễn Thế Dũng</v>
      </c>
      <c r="G154" s="46"/>
      <c r="H154" s="46"/>
      <c r="I154" s="46"/>
      <c r="J154" s="46"/>
      <c r="L154" s="29" t="s">
        <v>200</v>
      </c>
      <c r="M154" s="39" t="s">
        <v>180</v>
      </c>
      <c r="N154" s="41" t="s">
        <v>181</v>
      </c>
      <c r="O154" s="41" t="s">
        <v>201</v>
      </c>
      <c r="P154" s="41" t="s">
        <v>183</v>
      </c>
      <c r="Q154" s="41" t="s">
        <v>184</v>
      </c>
      <c r="R154" s="41" t="s">
        <v>185</v>
      </c>
    </row>
    <row r="155" spans="1:18" ht="24.75" customHeight="1">
      <c r="E155" s="1"/>
      <c r="F155" s="21"/>
      <c r="G155" s="21"/>
      <c r="H155" s="21"/>
      <c r="I155" s="21"/>
      <c r="J155" s="21"/>
      <c r="L155" s="29" t="s">
        <v>202</v>
      </c>
      <c r="M155" s="39" t="s">
        <v>180</v>
      </c>
      <c r="N155" s="41" t="s">
        <v>181</v>
      </c>
      <c r="O155" s="41" t="s">
        <v>201</v>
      </c>
      <c r="P155" s="41" t="s">
        <v>183</v>
      </c>
      <c r="Q155" s="41" t="s">
        <v>184</v>
      </c>
      <c r="R155" s="41" t="s">
        <v>185</v>
      </c>
    </row>
    <row r="156" spans="1:18">
      <c r="I156" s="44" t="s">
        <v>0</v>
      </c>
      <c r="J156" s="44"/>
      <c r="L156" s="29" t="s">
        <v>203</v>
      </c>
      <c r="M156" s="39" t="s">
        <v>180</v>
      </c>
      <c r="N156" s="41" t="s">
        <v>181</v>
      </c>
      <c r="O156" s="41" t="s">
        <v>201</v>
      </c>
      <c r="P156" s="41" t="s">
        <v>183</v>
      </c>
      <c r="Q156" s="41" t="s">
        <v>184</v>
      </c>
      <c r="R156" s="41" t="s">
        <v>185</v>
      </c>
    </row>
    <row r="157" spans="1:18">
      <c r="E157" s="45" t="s">
        <v>2</v>
      </c>
      <c r="F157" s="45"/>
      <c r="G157" s="45"/>
      <c r="H157" s="45"/>
      <c r="I157" s="45"/>
      <c r="J157" s="45"/>
      <c r="L157" s="29" t="s">
        <v>204</v>
      </c>
      <c r="M157" s="39" t="s">
        <v>180</v>
      </c>
      <c r="N157" s="41" t="s">
        <v>181</v>
      </c>
      <c r="O157" s="41" t="s">
        <v>205</v>
      </c>
      <c r="P157" s="41" t="s">
        <v>183</v>
      </c>
      <c r="Q157" s="41" t="s">
        <v>184</v>
      </c>
      <c r="R157" s="41" t="s">
        <v>185</v>
      </c>
    </row>
    <row r="158" spans="1:18">
      <c r="E158" s="45" t="s">
        <v>3</v>
      </c>
      <c r="F158" s="45"/>
      <c r="G158" s="45"/>
      <c r="H158" s="45"/>
      <c r="I158" s="45"/>
      <c r="J158" s="45"/>
      <c r="L158" s="29" t="s">
        <v>206</v>
      </c>
      <c r="M158" s="39" t="s">
        <v>180</v>
      </c>
      <c r="N158" s="41" t="s">
        <v>181</v>
      </c>
      <c r="O158" s="41" t="s">
        <v>205</v>
      </c>
      <c r="P158" s="41" t="s">
        <v>183</v>
      </c>
      <c r="Q158" s="41" t="s">
        <v>184</v>
      </c>
      <c r="R158" s="41" t="s">
        <v>185</v>
      </c>
    </row>
    <row r="159" spans="1:18">
      <c r="E159" s="45"/>
      <c r="F159" s="45"/>
      <c r="G159" s="45"/>
      <c r="H159" s="45"/>
      <c r="I159" s="45"/>
      <c r="J159" s="45"/>
      <c r="L159" s="29" t="s">
        <v>207</v>
      </c>
      <c r="M159" s="39" t="s">
        <v>180</v>
      </c>
      <c r="N159" s="41" t="s">
        <v>181</v>
      </c>
      <c r="O159" s="41" t="s">
        <v>205</v>
      </c>
      <c r="P159" s="41" t="s">
        <v>183</v>
      </c>
      <c r="Q159" s="41" t="s">
        <v>184</v>
      </c>
      <c r="R159" s="41" t="s">
        <v>185</v>
      </c>
    </row>
    <row r="160" spans="1:18">
      <c r="B160" s="46" t="s">
        <v>12</v>
      </c>
      <c r="C160" s="46"/>
      <c r="D160" s="46"/>
      <c r="L160" s="29" t="s">
        <v>208</v>
      </c>
      <c r="M160" s="39" t="s">
        <v>180</v>
      </c>
      <c r="N160" s="41" t="s">
        <v>181</v>
      </c>
      <c r="O160" s="41" t="s">
        <v>209</v>
      </c>
      <c r="P160" s="41" t="s">
        <v>183</v>
      </c>
      <c r="Q160" s="41" t="s">
        <v>184</v>
      </c>
      <c r="R160" s="41" t="s">
        <v>185</v>
      </c>
    </row>
    <row r="161" spans="1:18" ht="25.5" customHeight="1">
      <c r="E161" s="47" t="str">
        <f ca="1">"SỐ: "&amp;TEXT($M$1,"ddmm")&amp;CHAR(CODE($M$3)+5)&amp;"1"&amp;"/"&amp;YEAR($M$1)&amp;"/KDTPBL"</f>
        <v>SỐ: 2601F1/2021/KDTPBL</v>
      </c>
      <c r="F161" s="47"/>
      <c r="G161" s="47"/>
      <c r="H161" s="47"/>
      <c r="I161" s="47"/>
      <c r="J161" s="47"/>
      <c r="L161" s="29" t="s">
        <v>210</v>
      </c>
      <c r="M161" s="39" t="s">
        <v>180</v>
      </c>
      <c r="N161" s="41" t="s">
        <v>181</v>
      </c>
      <c r="O161" s="41" t="s">
        <v>209</v>
      </c>
      <c r="P161" s="41" t="s">
        <v>183</v>
      </c>
      <c r="Q161" s="41" t="s">
        <v>184</v>
      </c>
      <c r="R161" s="41" t="s">
        <v>185</v>
      </c>
    </row>
    <row r="162" spans="1:18" ht="49.5" customHeight="1">
      <c r="B162" s="50" t="s">
        <v>17</v>
      </c>
      <c r="C162" s="50"/>
      <c r="D162" s="50"/>
      <c r="E162" s="50"/>
      <c r="F162" s="50"/>
      <c r="G162" s="50"/>
      <c r="H162" s="50"/>
      <c r="I162" s="50"/>
      <c r="J162" s="50"/>
      <c r="L162" s="29" t="s">
        <v>211</v>
      </c>
      <c r="M162" s="39" t="s">
        <v>180</v>
      </c>
      <c r="N162" s="41" t="s">
        <v>181</v>
      </c>
      <c r="O162" s="41" t="s">
        <v>209</v>
      </c>
      <c r="P162" s="41" t="s">
        <v>183</v>
      </c>
      <c r="Q162" s="41" t="s">
        <v>184</v>
      </c>
      <c r="R162" s="41" t="s">
        <v>185</v>
      </c>
    </row>
    <row r="163" spans="1:18">
      <c r="B163" s="1" t="s">
        <v>398</v>
      </c>
      <c r="F163" s="1" t="s">
        <v>399</v>
      </c>
      <c r="H163" s="1" t="s">
        <v>27</v>
      </c>
      <c r="L163" s="29" t="s">
        <v>212</v>
      </c>
      <c r="M163" s="39" t="s">
        <v>180</v>
      </c>
      <c r="N163" s="41" t="s">
        <v>181</v>
      </c>
      <c r="O163" s="41" t="s">
        <v>213</v>
      </c>
      <c r="P163" s="41" t="s">
        <v>183</v>
      </c>
      <c r="Q163" s="41" t="s">
        <v>184</v>
      </c>
      <c r="R163" s="41" t="s">
        <v>185</v>
      </c>
    </row>
    <row r="164" spans="1:18">
      <c r="B164" s="1" t="s">
        <v>29</v>
      </c>
      <c r="D164" s="10" t="str">
        <f>'[1]N-M'!L7</f>
        <v>111405.05790.00488.A4BB69.NLSL.2020.E66/HDTP-M-02FE55/SHB.</v>
      </c>
      <c r="L164" s="29" t="s">
        <v>214</v>
      </c>
      <c r="M164" s="39" t="s">
        <v>180</v>
      </c>
      <c r="N164" s="41" t="s">
        <v>181</v>
      </c>
      <c r="O164" s="41" t="s">
        <v>213</v>
      </c>
      <c r="P164" s="41" t="s">
        <v>183</v>
      </c>
      <c r="Q164" s="41" t="s">
        <v>184</v>
      </c>
      <c r="R164" s="41" t="s">
        <v>185</v>
      </c>
    </row>
    <row r="165" spans="1:18" ht="30" customHeight="1">
      <c r="A165" s="11" t="s">
        <v>31</v>
      </c>
      <c r="L165" s="29" t="s">
        <v>215</v>
      </c>
      <c r="M165" s="39" t="s">
        <v>180</v>
      </c>
      <c r="N165" s="42" t="s">
        <v>181</v>
      </c>
      <c r="O165" s="42" t="s">
        <v>213</v>
      </c>
      <c r="P165" s="41" t="s">
        <v>183</v>
      </c>
      <c r="Q165" s="41" t="s">
        <v>184</v>
      </c>
      <c r="R165" s="41" t="s">
        <v>185</v>
      </c>
    </row>
    <row r="166" spans="1:18" ht="39.75" customHeight="1">
      <c r="A166" s="15"/>
      <c r="B166" s="51" t="str">
        <f>"Tổ chức phát hành: "&amp;VLOOKUP('[1]N-M'!M7,$L$4:$T$564,2,0)</f>
        <v>Tổ chức phát hành: Công ty TNHH Năng Lượng Sơn La</v>
      </c>
      <c r="C166" s="51"/>
      <c r="D166" s="51"/>
      <c r="E166" s="51"/>
      <c r="F166" s="52"/>
      <c r="G166" s="53" t="str">
        <f>"    Mã TP: "&amp;'[1]N-M'!M7</f>
        <v xml:space="preserve">    Mã TP: NLSL.2020.E66</v>
      </c>
      <c r="H166" s="54"/>
      <c r="I166" s="54"/>
      <c r="J166" s="55"/>
      <c r="L166" s="29" t="s">
        <v>216</v>
      </c>
      <c r="M166" s="39" t="s">
        <v>180</v>
      </c>
      <c r="N166" s="42" t="s">
        <v>181</v>
      </c>
      <c r="O166" s="42" t="s">
        <v>217</v>
      </c>
      <c r="P166" s="41" t="s">
        <v>183</v>
      </c>
      <c r="Q166" s="41" t="s">
        <v>184</v>
      </c>
      <c r="R166" s="41" t="s">
        <v>185</v>
      </c>
    </row>
    <row r="167" spans="1:18" ht="28.5" customHeight="1">
      <c r="A167" s="16"/>
      <c r="B167" s="56" t="str">
        <f>"Ngày phát hành: "&amp;VLOOKUP('[1]N-M'!M7,$L$4:$S$564,3,0)</f>
        <v>Ngày phát hành: 18/8/2020</v>
      </c>
      <c r="C167" s="56"/>
      <c r="D167" s="56"/>
      <c r="E167" s="56"/>
      <c r="F167" s="48"/>
      <c r="G167" s="57" t="str">
        <f>"    Ngày đáo hạn: "&amp;VLOOKUP('[1]N-M'!M7,$L$4:$T$564,4,0)</f>
        <v xml:space="preserve">    Ngày đáo hạn: 18/08/2026</v>
      </c>
      <c r="H167" s="57"/>
      <c r="I167" s="57"/>
      <c r="J167" s="57"/>
      <c r="L167" s="29" t="s">
        <v>218</v>
      </c>
      <c r="M167" s="39" t="s">
        <v>180</v>
      </c>
      <c r="N167" s="41" t="s">
        <v>181</v>
      </c>
      <c r="O167" s="41" t="s">
        <v>217</v>
      </c>
      <c r="P167" s="41" t="s">
        <v>183</v>
      </c>
      <c r="Q167" s="41" t="s">
        <v>184</v>
      </c>
      <c r="R167" s="41" t="s">
        <v>185</v>
      </c>
    </row>
    <row r="168" spans="1:18" ht="63.65" customHeight="1">
      <c r="A168" s="15"/>
      <c r="B168" s="51" t="str">
        <f>"Coupon: Lãi suất cho kỳ tính lãi đầu tiên là "&amp;VLOOKUP('[1]N-M'!M7,$L$4:$T$564,5,0)&amp;". Lãi suất cho các kỳ tính lãi tiếp theo bằng lãi suất thRM chiếu cộng (+) biên độ "&amp;VLOOKUP('[1]N-M'!M7,$L$4:$T$564,6,0)</f>
        <v>Coupon: Lãi suất cho kỳ tính lãi đầu tiên là 10,60%/năm. Lãi suất cho các kỳ tính lãi tiếp theo bằng lãi suất thRM chiếu cộng (+) biên độ 2,5%/năm</v>
      </c>
      <c r="C168" s="51"/>
      <c r="D168" s="51"/>
      <c r="E168" s="51"/>
      <c r="F168" s="52"/>
      <c r="G168" s="57" t="s">
        <v>41</v>
      </c>
      <c r="H168" s="57"/>
      <c r="I168" s="57"/>
      <c r="J168" s="57"/>
      <c r="L168" s="29" t="s">
        <v>219</v>
      </c>
      <c r="M168" s="39" t="s">
        <v>180</v>
      </c>
      <c r="N168" s="41" t="s">
        <v>181</v>
      </c>
      <c r="O168" s="41" t="s">
        <v>217</v>
      </c>
      <c r="P168" s="41" t="s">
        <v>183</v>
      </c>
      <c r="Q168" s="41" t="s">
        <v>184</v>
      </c>
      <c r="R168" s="41" t="s">
        <v>185</v>
      </c>
    </row>
    <row r="169" spans="1:18" ht="36.75" customHeight="1">
      <c r="A169" s="15"/>
      <c r="B169" s="51" t="str">
        <f>"Hạn mức mua còn lại trước giao dịch: "&amp;TEXT('[1]N-M'!W7,"#,#")&amp;" đ"</f>
        <v>Hạn mức mua còn lại trước giao dịch: 379,101,947,626 đ</v>
      </c>
      <c r="C169" s="51"/>
      <c r="D169" s="51"/>
      <c r="E169" s="51"/>
      <c r="F169" s="52"/>
      <c r="G169" s="57" t="str">
        <f>"   Hạn mức cấp: "&amp;TEXT('[1]N-M'!T7,"#,#")&amp;" đ"</f>
        <v xml:space="preserve">   Hạn mức cấp: 521,136,000 đ</v>
      </c>
      <c r="H169" s="57"/>
      <c r="I169" s="57"/>
      <c r="J169" s="57"/>
      <c r="L169" s="29" t="s">
        <v>220</v>
      </c>
      <c r="M169" s="39" t="s">
        <v>180</v>
      </c>
      <c r="N169" s="41" t="s">
        <v>181</v>
      </c>
      <c r="O169" s="41" t="s">
        <v>182</v>
      </c>
      <c r="P169" s="41" t="s">
        <v>183</v>
      </c>
      <c r="Q169" s="41" t="s">
        <v>184</v>
      </c>
      <c r="R169" s="41" t="s">
        <v>185</v>
      </c>
    </row>
    <row r="170" spans="1:18">
      <c r="L170" s="29" t="s">
        <v>221</v>
      </c>
      <c r="M170" s="39" t="s">
        <v>180</v>
      </c>
      <c r="N170" s="41" t="s">
        <v>181</v>
      </c>
      <c r="O170" s="41" t="s">
        <v>182</v>
      </c>
      <c r="P170" s="41" t="s">
        <v>183</v>
      </c>
      <c r="Q170" s="41" t="s">
        <v>184</v>
      </c>
      <c r="R170" s="41" t="s">
        <v>185</v>
      </c>
    </row>
    <row r="171" spans="1:18">
      <c r="A171" s="11" t="s">
        <v>47</v>
      </c>
      <c r="L171" s="29" t="s">
        <v>222</v>
      </c>
      <c r="M171" s="39" t="s">
        <v>180</v>
      </c>
      <c r="N171" s="41" t="s">
        <v>181</v>
      </c>
      <c r="O171" s="41" t="s">
        <v>182</v>
      </c>
      <c r="P171" s="41" t="s">
        <v>183</v>
      </c>
      <c r="Q171" s="41" t="s">
        <v>184</v>
      </c>
      <c r="R171" s="41" t="s">
        <v>185</v>
      </c>
    </row>
    <row r="172" spans="1:18">
      <c r="B172" s="1" t="str">
        <f>"Số quyết định: "&amp;VLOOKUP('[1]N-M'!M7,'P-M'!$L$4:$R$564,7,0)</f>
        <v>Số quyết định: 2413/2020/QĐ-TGĐ ngày 07/09/2020</v>
      </c>
      <c r="L172" s="29" t="s">
        <v>223</v>
      </c>
      <c r="M172" s="39" t="s">
        <v>180</v>
      </c>
      <c r="N172" s="41" t="s">
        <v>181</v>
      </c>
      <c r="O172" s="41" t="s">
        <v>189</v>
      </c>
      <c r="P172" s="41" t="s">
        <v>183</v>
      </c>
      <c r="Q172" s="41" t="s">
        <v>184</v>
      </c>
      <c r="R172" s="41" t="s">
        <v>185</v>
      </c>
    </row>
    <row r="173" spans="1:18">
      <c r="A173" s="19"/>
      <c r="B173" s="48" t="str">
        <f>"Đối tác giao dịch: "&amp;'[1]N-M'!J7</f>
        <v>Đối tác giao dịch: Nguyễn Thị Hồng</v>
      </c>
      <c r="C173" s="49"/>
      <c r="D173" s="49"/>
      <c r="E173" s="49"/>
      <c r="F173" s="49"/>
      <c r="G173" s="49"/>
      <c r="H173" s="49"/>
      <c r="I173" s="49"/>
      <c r="J173" s="49"/>
      <c r="L173" s="29" t="s">
        <v>224</v>
      </c>
      <c r="M173" s="39" t="s">
        <v>180</v>
      </c>
      <c r="N173" s="41" t="s">
        <v>181</v>
      </c>
      <c r="O173" s="41" t="s">
        <v>189</v>
      </c>
      <c r="P173" s="41" t="s">
        <v>183</v>
      </c>
      <c r="Q173" s="41" t="s">
        <v>184</v>
      </c>
      <c r="R173" s="41" t="s">
        <v>185</v>
      </c>
    </row>
    <row r="174" spans="1:18">
      <c r="A174" s="19"/>
      <c r="B174" s="48" t="str">
        <f>"Hợp đồng số: "&amp;'[1]N-M'!L7</f>
        <v>Hợp đồng số: 111405.05790.00488.A4BB69.NLSL.2020.E66/HDTP-M-02FE55/SHB.</v>
      </c>
      <c r="C174" s="49"/>
      <c r="D174" s="49"/>
      <c r="E174" s="49"/>
      <c r="F174" s="49"/>
      <c r="G174" s="49"/>
      <c r="H174" s="49"/>
      <c r="I174" s="49"/>
      <c r="J174" s="49"/>
      <c r="L174" s="29" t="s">
        <v>225</v>
      </c>
      <c r="M174" s="39" t="s">
        <v>180</v>
      </c>
      <c r="N174" s="41" t="s">
        <v>181</v>
      </c>
      <c r="O174" s="41" t="s">
        <v>189</v>
      </c>
      <c r="P174" s="41" t="s">
        <v>183</v>
      </c>
      <c r="Q174" s="41" t="s">
        <v>184</v>
      </c>
      <c r="R174" s="41" t="s">
        <v>185</v>
      </c>
    </row>
    <row r="175" spans="1:18">
      <c r="A175" s="19"/>
      <c r="B175" s="48" t="str">
        <f ca="1">"Ngày giao dịch: "&amp;TEXT($M$1,"dd/mm/yyyy")</f>
        <v>Ngày giao dịch: 26/01/2021</v>
      </c>
      <c r="C175" s="49"/>
      <c r="D175" s="49"/>
      <c r="E175" s="49"/>
      <c r="F175" s="49" t="str">
        <f>"  CIF KH: "&amp;'[1]N-M'!O7</f>
        <v xml:space="preserve">  CIF KH: '0500012389</v>
      </c>
      <c r="G175" s="49"/>
      <c r="H175" s="49"/>
      <c r="I175" s="49"/>
      <c r="J175" s="49"/>
      <c r="L175" s="29" t="s">
        <v>226</v>
      </c>
      <c r="M175" s="39" t="s">
        <v>180</v>
      </c>
      <c r="N175" s="41" t="s">
        <v>181</v>
      </c>
      <c r="O175" s="41" t="s">
        <v>193</v>
      </c>
      <c r="P175" s="41" t="s">
        <v>183</v>
      </c>
      <c r="Q175" s="41" t="s">
        <v>184</v>
      </c>
      <c r="R175" s="41" t="s">
        <v>185</v>
      </c>
    </row>
    <row r="176" spans="1:18">
      <c r="A176" s="19"/>
      <c r="B176" s="48" t="str">
        <f ca="1">"Ngày thanh toán: "&amp;TEXT($M$1,"dd/mm/yyyy")</f>
        <v>Ngày thanh toán: 26/01/2021</v>
      </c>
      <c r="C176" s="49"/>
      <c r="D176" s="49"/>
      <c r="E176" s="49"/>
      <c r="F176" s="49" t="s">
        <v>67</v>
      </c>
      <c r="G176" s="49"/>
      <c r="H176" s="49"/>
      <c r="I176" s="49"/>
      <c r="J176" s="49"/>
      <c r="L176" s="29" t="s">
        <v>227</v>
      </c>
      <c r="M176" s="39" t="s">
        <v>180</v>
      </c>
      <c r="N176" s="41" t="s">
        <v>181</v>
      </c>
      <c r="O176" s="41" t="s">
        <v>193</v>
      </c>
      <c r="P176" s="41" t="s">
        <v>183</v>
      </c>
      <c r="Q176" s="41" t="s">
        <v>184</v>
      </c>
      <c r="R176" s="41" t="s">
        <v>185</v>
      </c>
    </row>
    <row r="177" spans="1:18">
      <c r="A177" s="19"/>
      <c r="B177" s="48" t="str">
        <f>"Mã RM: "&amp;'[1]N-M'!B7</f>
        <v>Mã RM: 00488</v>
      </c>
      <c r="C177" s="49"/>
      <c r="D177" s="49"/>
      <c r="E177" s="49"/>
      <c r="F177" s="49" t="str">
        <f>"  Mã đơn vị: "&amp;'[1]N-M'!H7</f>
        <v xml:space="preserve">  Mã đơn vị: 111405</v>
      </c>
      <c r="G177" s="49"/>
      <c r="H177" s="49"/>
      <c r="I177" s="49"/>
      <c r="J177" s="49"/>
      <c r="L177" s="29" t="s">
        <v>228</v>
      </c>
      <c r="M177" s="39" t="s">
        <v>180</v>
      </c>
      <c r="N177" s="41" t="s">
        <v>181</v>
      </c>
      <c r="O177" s="41" t="s">
        <v>193</v>
      </c>
      <c r="P177" s="41" t="s">
        <v>183</v>
      </c>
      <c r="Q177" s="41" t="s">
        <v>184</v>
      </c>
      <c r="R177" s="41" t="s">
        <v>185</v>
      </c>
    </row>
    <row r="178" spans="1:18">
      <c r="A178" s="19"/>
      <c r="B178" s="48" t="str">
        <f>"Số lượng TP: "&amp;TEXT('[1]N-M'!Q7,"#,#")&amp;" TP"</f>
        <v>Số lượng TP: 470 TP</v>
      </c>
      <c r="C178" s="49"/>
      <c r="D178" s="49"/>
      <c r="E178" s="49"/>
      <c r="F178" s="49" t="str">
        <f>"  Giá thực hiện: "&amp;TEXT('[1]N-M'!R7,"##,#")&amp;" VNĐ/Trái phiếu"</f>
        <v xml:space="preserve">  Giá thực hiện: 1,108,800 VNĐ/Trái phiếu</v>
      </c>
      <c r="G178" s="49"/>
      <c r="H178" s="49"/>
      <c r="I178" s="49"/>
      <c r="J178" s="49"/>
      <c r="L178" s="31" t="s">
        <v>229</v>
      </c>
      <c r="M178" s="39" t="s">
        <v>180</v>
      </c>
      <c r="N178" s="41" t="s">
        <v>181</v>
      </c>
      <c r="O178" s="41" t="s">
        <v>197</v>
      </c>
      <c r="P178" s="41" t="s">
        <v>183</v>
      </c>
      <c r="Q178" s="41" t="s">
        <v>184</v>
      </c>
      <c r="R178" s="41" t="s">
        <v>185</v>
      </c>
    </row>
    <row r="179" spans="1:18">
      <c r="A179" s="19"/>
      <c r="B179" s="48" t="str">
        <f>"Tổng mệnh giá: "&amp;TEXT('[1]N-M'!S7,"##,#")&amp;" VND"</f>
        <v>Tổng mệnh giá: 470,000,000 VND</v>
      </c>
      <c r="C179" s="49"/>
      <c r="D179" s="49"/>
      <c r="E179" s="49"/>
      <c r="F179" s="49" t="str">
        <f>"  Tổng giá trị giao dịch: "&amp;TEXT('[1]N-M'!T7,"##,#")&amp;" VND"</f>
        <v xml:space="preserve">  Tổng giá trị giao dịch: 521,136,000 VND</v>
      </c>
      <c r="G179" s="49"/>
      <c r="H179" s="49"/>
      <c r="I179" s="49"/>
      <c r="J179" s="49"/>
      <c r="L179" s="31" t="s">
        <v>230</v>
      </c>
      <c r="M179" s="39" t="s">
        <v>180</v>
      </c>
      <c r="N179" s="41" t="s">
        <v>181</v>
      </c>
      <c r="O179" s="41" t="s">
        <v>197</v>
      </c>
      <c r="P179" s="41" t="s">
        <v>183</v>
      </c>
      <c r="Q179" s="41" t="s">
        <v>184</v>
      </c>
      <c r="R179" s="41" t="s">
        <v>185</v>
      </c>
    </row>
    <row r="180" spans="1:18">
      <c r="A180" s="19"/>
      <c r="B180" s="48" t="str">
        <f>"Tổng giá trị thanh toán: "&amp;TEXT('[1]N-M'!V7,"##,#")&amp;" VND"</f>
        <v>Tổng giá trị thanh toán: 520,544,364 VND</v>
      </c>
      <c r="C180" s="49"/>
      <c r="D180" s="49"/>
      <c r="E180" s="49"/>
      <c r="F180" s="49"/>
      <c r="G180" s="49"/>
      <c r="H180" s="49"/>
      <c r="I180" s="49"/>
      <c r="J180" s="49"/>
      <c r="L180" s="31" t="s">
        <v>231</v>
      </c>
      <c r="M180" s="39" t="s">
        <v>180</v>
      </c>
      <c r="N180" s="41" t="s">
        <v>181</v>
      </c>
      <c r="O180" s="41" t="s">
        <v>197</v>
      </c>
      <c r="P180" s="41" t="s">
        <v>183</v>
      </c>
      <c r="Q180" s="41" t="s">
        <v>184</v>
      </c>
      <c r="R180" s="41" t="s">
        <v>185</v>
      </c>
    </row>
    <row r="181" spans="1:18" ht="38.25" customHeight="1">
      <c r="F181" s="58" t="s">
        <v>74</v>
      </c>
      <c r="G181" s="46"/>
      <c r="H181" s="46"/>
      <c r="I181" s="46"/>
      <c r="J181" s="46"/>
      <c r="L181" s="31" t="s">
        <v>232</v>
      </c>
      <c r="M181" s="39" t="s">
        <v>180</v>
      </c>
      <c r="N181" s="41" t="s">
        <v>181</v>
      </c>
      <c r="O181" s="41" t="s">
        <v>201</v>
      </c>
      <c r="P181" s="41" t="s">
        <v>183</v>
      </c>
      <c r="Q181" s="41" t="s">
        <v>184</v>
      </c>
      <c r="R181" s="41" t="s">
        <v>185</v>
      </c>
    </row>
    <row r="182" spans="1:18">
      <c r="L182" s="31" t="s">
        <v>233</v>
      </c>
      <c r="M182" s="39" t="s">
        <v>180</v>
      </c>
      <c r="N182" s="41" t="s">
        <v>181</v>
      </c>
      <c r="O182" s="41" t="s">
        <v>201</v>
      </c>
      <c r="P182" s="41" t="s">
        <v>183</v>
      </c>
      <c r="Q182" s="41" t="s">
        <v>184</v>
      </c>
      <c r="R182" s="41" t="s">
        <v>185</v>
      </c>
    </row>
    <row r="183" spans="1:18">
      <c r="L183" s="31" t="s">
        <v>234</v>
      </c>
      <c r="M183" s="39" t="s">
        <v>180</v>
      </c>
      <c r="N183" s="41" t="s">
        <v>181</v>
      </c>
      <c r="O183" s="41" t="s">
        <v>201</v>
      </c>
      <c r="P183" s="41" t="s">
        <v>183</v>
      </c>
      <c r="Q183" s="41" t="s">
        <v>184</v>
      </c>
      <c r="R183" s="41" t="s">
        <v>185</v>
      </c>
    </row>
    <row r="184" spans="1:18">
      <c r="L184" s="31" t="s">
        <v>235</v>
      </c>
      <c r="M184" s="39" t="s">
        <v>180</v>
      </c>
      <c r="N184" s="41" t="s">
        <v>181</v>
      </c>
      <c r="O184" s="41" t="s">
        <v>205</v>
      </c>
      <c r="P184" s="41" t="s">
        <v>183</v>
      </c>
      <c r="Q184" s="41" t="s">
        <v>184</v>
      </c>
      <c r="R184" s="41" t="s">
        <v>185</v>
      </c>
    </row>
    <row r="185" spans="1:18">
      <c r="E185" s="1"/>
      <c r="F185" s="46" t="str">
        <f>F154</f>
        <v>Nguyễn Thế Dũng</v>
      </c>
      <c r="G185" s="46"/>
      <c r="H185" s="46"/>
      <c r="I185" s="46"/>
      <c r="J185" s="46"/>
      <c r="L185" s="31" t="s">
        <v>236</v>
      </c>
      <c r="M185" s="39" t="s">
        <v>180</v>
      </c>
      <c r="N185" s="41" t="s">
        <v>181</v>
      </c>
      <c r="O185" s="41" t="s">
        <v>205</v>
      </c>
      <c r="P185" s="41" t="s">
        <v>183</v>
      </c>
      <c r="Q185" s="41" t="s">
        <v>184</v>
      </c>
      <c r="R185" s="41" t="s">
        <v>185</v>
      </c>
    </row>
    <row r="186" spans="1:18" ht="28.5" customHeight="1">
      <c r="E186" s="1"/>
      <c r="F186" s="21"/>
      <c r="G186" s="21"/>
      <c r="H186" s="21"/>
      <c r="I186" s="21"/>
      <c r="J186" s="21"/>
      <c r="L186" s="31" t="s">
        <v>237</v>
      </c>
      <c r="M186" s="39" t="s">
        <v>180</v>
      </c>
      <c r="N186" s="41" t="s">
        <v>181</v>
      </c>
      <c r="O186" s="41" t="s">
        <v>205</v>
      </c>
      <c r="P186" s="41" t="s">
        <v>183</v>
      </c>
      <c r="Q186" s="41" t="s">
        <v>184</v>
      </c>
      <c r="R186" s="41" t="s">
        <v>185</v>
      </c>
    </row>
    <row r="187" spans="1:18">
      <c r="I187" s="44" t="s">
        <v>0</v>
      </c>
      <c r="J187" s="44"/>
      <c r="L187" s="31" t="s">
        <v>238</v>
      </c>
      <c r="M187" s="39" t="s">
        <v>180</v>
      </c>
      <c r="N187" s="41" t="s">
        <v>181</v>
      </c>
      <c r="O187" s="41" t="s">
        <v>209</v>
      </c>
      <c r="P187" s="41" t="s">
        <v>183</v>
      </c>
      <c r="Q187" s="41" t="s">
        <v>184</v>
      </c>
      <c r="R187" s="41" t="s">
        <v>185</v>
      </c>
    </row>
    <row r="188" spans="1:18">
      <c r="E188" s="45" t="s">
        <v>2</v>
      </c>
      <c r="F188" s="45"/>
      <c r="G188" s="45"/>
      <c r="H188" s="45"/>
      <c r="I188" s="45"/>
      <c r="J188" s="45"/>
      <c r="L188" s="31" t="s">
        <v>239</v>
      </c>
      <c r="M188" s="39" t="s">
        <v>180</v>
      </c>
      <c r="N188" s="41" t="s">
        <v>181</v>
      </c>
      <c r="O188" s="41" t="s">
        <v>209</v>
      </c>
      <c r="P188" s="41" t="s">
        <v>183</v>
      </c>
      <c r="Q188" s="41" t="s">
        <v>184</v>
      </c>
      <c r="R188" s="41" t="s">
        <v>185</v>
      </c>
    </row>
    <row r="189" spans="1:18">
      <c r="E189" s="45" t="s">
        <v>3</v>
      </c>
      <c r="F189" s="45"/>
      <c r="G189" s="45"/>
      <c r="H189" s="45"/>
      <c r="I189" s="45"/>
      <c r="J189" s="45"/>
      <c r="L189" s="31" t="s">
        <v>240</v>
      </c>
      <c r="M189" s="39" t="s">
        <v>180</v>
      </c>
      <c r="N189" s="41" t="s">
        <v>181</v>
      </c>
      <c r="O189" s="41" t="s">
        <v>209</v>
      </c>
      <c r="P189" s="41" t="s">
        <v>183</v>
      </c>
      <c r="Q189" s="41" t="s">
        <v>184</v>
      </c>
      <c r="R189" s="41" t="s">
        <v>185</v>
      </c>
    </row>
    <row r="190" spans="1:18">
      <c r="E190" s="45"/>
      <c r="F190" s="45"/>
      <c r="G190" s="45"/>
      <c r="H190" s="45"/>
      <c r="I190" s="45"/>
      <c r="J190" s="45"/>
      <c r="L190" s="31" t="s">
        <v>241</v>
      </c>
      <c r="M190" s="39" t="s">
        <v>180</v>
      </c>
      <c r="N190" s="41" t="s">
        <v>181</v>
      </c>
      <c r="O190" s="41" t="s">
        <v>213</v>
      </c>
      <c r="P190" s="41" t="s">
        <v>183</v>
      </c>
      <c r="Q190" s="41" t="s">
        <v>184</v>
      </c>
      <c r="R190" s="41" t="s">
        <v>185</v>
      </c>
    </row>
    <row r="191" spans="1:18">
      <c r="B191" s="46" t="s">
        <v>12</v>
      </c>
      <c r="C191" s="46"/>
      <c r="D191" s="46"/>
      <c r="L191" s="31" t="s">
        <v>242</v>
      </c>
      <c r="M191" s="39" t="s">
        <v>180</v>
      </c>
      <c r="N191" s="41" t="s">
        <v>181</v>
      </c>
      <c r="O191" s="41" t="s">
        <v>213</v>
      </c>
      <c r="P191" s="41" t="s">
        <v>183</v>
      </c>
      <c r="Q191" s="41" t="s">
        <v>184</v>
      </c>
      <c r="R191" s="41" t="s">
        <v>185</v>
      </c>
    </row>
    <row r="192" spans="1:18" ht="25.5" customHeight="1">
      <c r="E192" s="47" t="str">
        <f ca="1">"SỐ: "&amp;TEXT($M$1,"ddmm")&amp;CHAR(CODE($M$3)+6)&amp;"1"&amp;"/"&amp;YEAR($M$1)&amp;"/KDTPBL"</f>
        <v>SỐ: 2601G1/2021/KDTPBL</v>
      </c>
      <c r="F192" s="47"/>
      <c r="G192" s="47"/>
      <c r="H192" s="47"/>
      <c r="I192" s="47"/>
      <c r="J192" s="47"/>
      <c r="L192" s="31" t="s">
        <v>243</v>
      </c>
      <c r="M192" s="39" t="s">
        <v>180</v>
      </c>
      <c r="N192" s="41" t="s">
        <v>181</v>
      </c>
      <c r="O192" s="41" t="s">
        <v>213</v>
      </c>
      <c r="P192" s="41" t="s">
        <v>183</v>
      </c>
      <c r="Q192" s="41" t="s">
        <v>184</v>
      </c>
      <c r="R192" s="41" t="s">
        <v>185</v>
      </c>
    </row>
    <row r="193" spans="1:18" ht="49.5" customHeight="1">
      <c r="B193" s="50" t="s">
        <v>17</v>
      </c>
      <c r="C193" s="50"/>
      <c r="D193" s="50"/>
      <c r="E193" s="50"/>
      <c r="F193" s="50"/>
      <c r="G193" s="50"/>
      <c r="H193" s="50"/>
      <c r="I193" s="50"/>
      <c r="J193" s="50"/>
      <c r="L193" s="31" t="s">
        <v>244</v>
      </c>
      <c r="M193" s="39" t="s">
        <v>180</v>
      </c>
      <c r="N193" s="41" t="s">
        <v>181</v>
      </c>
      <c r="O193" s="41" t="s">
        <v>217</v>
      </c>
      <c r="P193" s="41" t="s">
        <v>183</v>
      </c>
      <c r="Q193" s="41" t="s">
        <v>184</v>
      </c>
      <c r="R193" s="41" t="s">
        <v>185</v>
      </c>
    </row>
    <row r="194" spans="1:18">
      <c r="B194" s="1" t="s">
        <v>398</v>
      </c>
      <c r="F194" s="1" t="s">
        <v>399</v>
      </c>
      <c r="H194" s="1" t="s">
        <v>27</v>
      </c>
      <c r="L194" s="31" t="s">
        <v>245</v>
      </c>
      <c r="M194" s="39" t="s">
        <v>180</v>
      </c>
      <c r="N194" s="41" t="s">
        <v>181</v>
      </c>
      <c r="O194" s="41" t="s">
        <v>217</v>
      </c>
      <c r="P194" s="41" t="s">
        <v>183</v>
      </c>
      <c r="Q194" s="41" t="s">
        <v>184</v>
      </c>
      <c r="R194" s="41" t="s">
        <v>185</v>
      </c>
    </row>
    <row r="195" spans="1:18">
      <c r="B195" s="1" t="s">
        <v>29</v>
      </c>
      <c r="D195" s="10" t="str">
        <f>'[1]N-M'!L8</f>
        <v>111000.01270.02523.E668FF.NSV01/HDTP-M-A6525E/SHB.</v>
      </c>
      <c r="L195" s="31" t="s">
        <v>246</v>
      </c>
      <c r="M195" s="39" t="s">
        <v>180</v>
      </c>
      <c r="N195" s="41" t="s">
        <v>181</v>
      </c>
      <c r="O195" s="41" t="s">
        <v>217</v>
      </c>
      <c r="P195" s="41" t="s">
        <v>183</v>
      </c>
      <c r="Q195" s="41" t="s">
        <v>184</v>
      </c>
      <c r="R195" s="41" t="s">
        <v>185</v>
      </c>
    </row>
    <row r="196" spans="1:18" ht="30" customHeight="1">
      <c r="A196" s="11" t="s">
        <v>31</v>
      </c>
      <c r="L196" s="31" t="s">
        <v>247</v>
      </c>
      <c r="M196" s="39" t="s">
        <v>180</v>
      </c>
      <c r="N196" s="42" t="s">
        <v>181</v>
      </c>
      <c r="O196" s="42" t="s">
        <v>182</v>
      </c>
      <c r="P196" s="41" t="s">
        <v>183</v>
      </c>
      <c r="Q196" s="41" t="s">
        <v>184</v>
      </c>
      <c r="R196" s="41" t="s">
        <v>185</v>
      </c>
    </row>
    <row r="197" spans="1:18" ht="39.75" customHeight="1">
      <c r="A197" s="15"/>
      <c r="B197" s="51" t="str">
        <f>"Tổ chức phát hành: "&amp;VLOOKUP('[1]N-M'!M8,$L$4:$T$564,2,0)</f>
        <v>Tổ chức phát hành: Công ty TNHH Đầu tư Bất động sản Ngôi sao Việt</v>
      </c>
      <c r="C197" s="51"/>
      <c r="D197" s="51"/>
      <c r="E197" s="51"/>
      <c r="F197" s="52"/>
      <c r="G197" s="53" t="str">
        <f>"    Mã TP: "&amp;'[1]N-M'!M8</f>
        <v xml:space="preserve">    Mã TP: NSV.BOND2017-01</v>
      </c>
      <c r="H197" s="54"/>
      <c r="I197" s="54"/>
      <c r="J197" s="55"/>
      <c r="L197" s="31" t="s">
        <v>248</v>
      </c>
      <c r="M197" s="39" t="s">
        <v>180</v>
      </c>
      <c r="N197" s="42" t="s">
        <v>181</v>
      </c>
      <c r="O197" s="42" t="s">
        <v>182</v>
      </c>
      <c r="P197" s="41" t="s">
        <v>183</v>
      </c>
      <c r="Q197" s="41" t="s">
        <v>184</v>
      </c>
      <c r="R197" s="41" t="s">
        <v>185</v>
      </c>
    </row>
    <row r="198" spans="1:18" ht="28.5" customHeight="1">
      <c r="A198" s="16"/>
      <c r="B198" s="56" t="str">
        <f>"Ngày phát hành: "&amp;VLOOKUP('[1]N-M'!M8,$L$4:$S$564,3,0)</f>
        <v>Ngày phát hành: 30/12/2017</v>
      </c>
      <c r="C198" s="56"/>
      <c r="D198" s="56"/>
      <c r="E198" s="56"/>
      <c r="F198" s="48"/>
      <c r="G198" s="57" t="str">
        <f>"    Ngày đáo hạn: "&amp;VLOOKUP('[1]N-M'!M8,$L$4:$T$564,4,0)</f>
        <v xml:space="preserve">    Ngày đáo hạn: 30/12/2020</v>
      </c>
      <c r="H198" s="57"/>
      <c r="I198" s="57"/>
      <c r="J198" s="57"/>
      <c r="L198" s="31" t="s">
        <v>249</v>
      </c>
      <c r="M198" s="39" t="s">
        <v>180</v>
      </c>
      <c r="N198" s="41" t="s">
        <v>181</v>
      </c>
      <c r="O198" s="41" t="s">
        <v>182</v>
      </c>
      <c r="P198" s="41" t="s">
        <v>183</v>
      </c>
      <c r="Q198" s="41" t="s">
        <v>184</v>
      </c>
      <c r="R198" s="41" t="s">
        <v>185</v>
      </c>
    </row>
    <row r="199" spans="1:18" ht="63.65" customHeight="1">
      <c r="A199" s="15"/>
      <c r="B199" s="51" t="str">
        <f>"Coupon: Lãi suất cho kỳ tính lãi đầu tiên là "&amp;VLOOKUP('[1]N-M'!M8,$L$4:$T$564,5,0)&amp;". Lãi suất cho các kỳ tính lãi tiếp theo bằng lãi suất thRM chiếu cộng (+) biên độ "&amp;VLOOKUP('[1]N-M'!M8,$L$4:$T$564,6,0)</f>
        <v>Coupon: Lãi suất cho kỳ tính lãi đầu tiên là 10,825%/năm. Lãi suất cho các kỳ tính lãi tiếp theo bằng lãi suất thRM chiếu cộng (+) biên độ 4%/năm</v>
      </c>
      <c r="C199" s="51"/>
      <c r="D199" s="51"/>
      <c r="E199" s="51"/>
      <c r="F199" s="52"/>
      <c r="G199" s="57" t="s">
        <v>41</v>
      </c>
      <c r="H199" s="57"/>
      <c r="I199" s="57"/>
      <c r="J199" s="57"/>
      <c r="L199" s="31" t="s">
        <v>250</v>
      </c>
      <c r="M199" s="39" t="s">
        <v>180</v>
      </c>
      <c r="N199" s="41" t="s">
        <v>181</v>
      </c>
      <c r="O199" s="41" t="s">
        <v>189</v>
      </c>
      <c r="P199" s="41" t="s">
        <v>183</v>
      </c>
      <c r="Q199" s="41" t="s">
        <v>184</v>
      </c>
      <c r="R199" s="41" t="s">
        <v>185</v>
      </c>
    </row>
    <row r="200" spans="1:18" ht="36.75" customHeight="1">
      <c r="A200" s="15"/>
      <c r="B200" s="51" t="str">
        <f>"Hạn mức mua còn lại trước giao dịch: "&amp;TEXT('[1]N-M'!W8,"#,#")&amp;" đ"</f>
        <v>Hạn mức mua còn lại trước giao dịch: 149,975,651,250 đ</v>
      </c>
      <c r="C200" s="51"/>
      <c r="D200" s="51"/>
      <c r="E200" s="51"/>
      <c r="F200" s="52"/>
      <c r="G200" s="57" t="str">
        <f>"   Hạn mức cấp: "&amp;TEXT('[1]N-M'!T8,"#,#")&amp;" đ"</f>
        <v xml:space="preserve">   Hạn mức cấp: 1,497,364,967 đ</v>
      </c>
      <c r="H200" s="57"/>
      <c r="I200" s="57"/>
      <c r="J200" s="57"/>
      <c r="L200" s="31" t="s">
        <v>251</v>
      </c>
      <c r="M200" s="39" t="s">
        <v>180</v>
      </c>
      <c r="N200" s="41" t="s">
        <v>181</v>
      </c>
      <c r="O200" s="41" t="s">
        <v>189</v>
      </c>
      <c r="P200" s="41" t="s">
        <v>183</v>
      </c>
      <c r="Q200" s="41" t="s">
        <v>184</v>
      </c>
      <c r="R200" s="41" t="s">
        <v>185</v>
      </c>
    </row>
    <row r="201" spans="1:18">
      <c r="L201" s="31" t="s">
        <v>252</v>
      </c>
      <c r="M201" s="39" t="s">
        <v>180</v>
      </c>
      <c r="N201" s="41" t="s">
        <v>181</v>
      </c>
      <c r="O201" s="41" t="s">
        <v>189</v>
      </c>
      <c r="P201" s="41" t="s">
        <v>183</v>
      </c>
      <c r="Q201" s="41" t="s">
        <v>184</v>
      </c>
      <c r="R201" s="41" t="s">
        <v>185</v>
      </c>
    </row>
    <row r="202" spans="1:18">
      <c r="A202" s="11" t="s">
        <v>47</v>
      </c>
      <c r="L202" s="31" t="s">
        <v>253</v>
      </c>
      <c r="M202" s="39" t="s">
        <v>180</v>
      </c>
      <c r="N202" s="41" t="s">
        <v>181</v>
      </c>
      <c r="O202" s="41" t="s">
        <v>193</v>
      </c>
      <c r="P202" s="41" t="s">
        <v>183</v>
      </c>
      <c r="Q202" s="41" t="s">
        <v>184</v>
      </c>
      <c r="R202" s="41" t="s">
        <v>185</v>
      </c>
    </row>
    <row r="203" spans="1:18">
      <c r="B203" s="1" t="str">
        <f>"Số quyết định: "&amp;VLOOKUP('[1]N-M'!M8,'P-M'!$L$4:$R$564,7,0)</f>
        <v>Số quyết định: 2379/2019/QĐ-TGĐ ngày 11/10/2019</v>
      </c>
      <c r="L203" s="31" t="s">
        <v>254</v>
      </c>
      <c r="M203" s="39" t="s">
        <v>180</v>
      </c>
      <c r="N203" s="41" t="s">
        <v>181</v>
      </c>
      <c r="O203" s="41" t="s">
        <v>193</v>
      </c>
      <c r="P203" s="41" t="s">
        <v>183</v>
      </c>
      <c r="Q203" s="41" t="s">
        <v>184</v>
      </c>
      <c r="R203" s="41" t="s">
        <v>185</v>
      </c>
    </row>
    <row r="204" spans="1:18">
      <c r="A204" s="19"/>
      <c r="B204" s="48" t="str">
        <f>"Đối tác giao dịch: "&amp;'[1]N-M'!J8</f>
        <v>Đối tác giao dịch: Chu Thị Thanh Tâm</v>
      </c>
      <c r="C204" s="49"/>
      <c r="D204" s="49"/>
      <c r="E204" s="49"/>
      <c r="F204" s="49"/>
      <c r="G204" s="49"/>
      <c r="H204" s="49"/>
      <c r="I204" s="49"/>
      <c r="J204" s="49"/>
      <c r="L204" s="31" t="s">
        <v>255</v>
      </c>
      <c r="M204" s="39" t="s">
        <v>180</v>
      </c>
      <c r="N204" s="41" t="s">
        <v>181</v>
      </c>
      <c r="O204" s="41" t="s">
        <v>193</v>
      </c>
      <c r="P204" s="41" t="s">
        <v>183</v>
      </c>
      <c r="Q204" s="41" t="s">
        <v>184</v>
      </c>
      <c r="R204" s="41" t="s">
        <v>185</v>
      </c>
    </row>
    <row r="205" spans="1:18">
      <c r="A205" s="19"/>
      <c r="B205" s="48" t="str">
        <f>"Hợp đồng số: "&amp;'[1]N-M'!L8</f>
        <v>Hợp đồng số: 111000.01270.02523.E668FF.NSV01/HDTP-M-A6525E/SHB.</v>
      </c>
      <c r="C205" s="49"/>
      <c r="D205" s="49"/>
      <c r="E205" s="49"/>
      <c r="F205" s="49"/>
      <c r="G205" s="49"/>
      <c r="H205" s="49"/>
      <c r="I205" s="49"/>
      <c r="J205" s="49"/>
      <c r="L205" s="31" t="s">
        <v>256</v>
      </c>
      <c r="M205" s="39" t="s">
        <v>180</v>
      </c>
      <c r="N205" s="41" t="s">
        <v>181</v>
      </c>
      <c r="O205" s="41" t="s">
        <v>197</v>
      </c>
      <c r="P205" s="41" t="s">
        <v>183</v>
      </c>
      <c r="Q205" s="41" t="s">
        <v>184</v>
      </c>
      <c r="R205" s="41" t="s">
        <v>185</v>
      </c>
    </row>
    <row r="206" spans="1:18">
      <c r="A206" s="19"/>
      <c r="B206" s="48" t="str">
        <f ca="1">"Ngày giao dịch: "&amp;TEXT($M$1,"dd/mm/yyyy")</f>
        <v>Ngày giao dịch: 26/01/2021</v>
      </c>
      <c r="C206" s="49"/>
      <c r="D206" s="49"/>
      <c r="E206" s="49"/>
      <c r="F206" s="49" t="str">
        <f>"  CIF KH: "&amp;'[1]N-M'!O8</f>
        <v xml:space="preserve">  CIF KH: '0104994245</v>
      </c>
      <c r="G206" s="49"/>
      <c r="H206" s="49"/>
      <c r="I206" s="49"/>
      <c r="J206" s="49"/>
      <c r="L206" s="31" t="s">
        <v>257</v>
      </c>
      <c r="M206" s="39" t="s">
        <v>180</v>
      </c>
      <c r="N206" s="41" t="s">
        <v>181</v>
      </c>
      <c r="O206" s="41" t="s">
        <v>197</v>
      </c>
      <c r="P206" s="41" t="s">
        <v>183</v>
      </c>
      <c r="Q206" s="41" t="s">
        <v>184</v>
      </c>
      <c r="R206" s="41" t="s">
        <v>185</v>
      </c>
    </row>
    <row r="207" spans="1:18">
      <c r="A207" s="19"/>
      <c r="B207" s="48" t="str">
        <f ca="1">"Ngày thanh toán: "&amp;TEXT($M$1,"dd/mm/yyyy")</f>
        <v>Ngày thanh toán: 26/01/2021</v>
      </c>
      <c r="C207" s="49"/>
      <c r="D207" s="49"/>
      <c r="E207" s="49"/>
      <c r="F207" s="49" t="s">
        <v>67</v>
      </c>
      <c r="G207" s="49"/>
      <c r="H207" s="49"/>
      <c r="I207" s="49"/>
      <c r="J207" s="49"/>
      <c r="L207" s="31" t="s">
        <v>258</v>
      </c>
      <c r="M207" s="39" t="s">
        <v>180</v>
      </c>
      <c r="N207" s="41" t="s">
        <v>181</v>
      </c>
      <c r="O207" s="41" t="s">
        <v>197</v>
      </c>
      <c r="P207" s="41" t="s">
        <v>183</v>
      </c>
      <c r="Q207" s="41" t="s">
        <v>184</v>
      </c>
      <c r="R207" s="41" t="s">
        <v>185</v>
      </c>
    </row>
    <row r="208" spans="1:18">
      <c r="A208" s="19"/>
      <c r="B208" s="48" t="str">
        <f>"Mã RM: "&amp;'[1]N-M'!B8</f>
        <v>Mã RM: 02523</v>
      </c>
      <c r="C208" s="49"/>
      <c r="D208" s="49"/>
      <c r="E208" s="49"/>
      <c r="F208" s="49" t="str">
        <f>"  Mã đơn vị: "&amp;'[1]N-M'!H8</f>
        <v xml:space="preserve">  Mã đơn vị: 111000</v>
      </c>
      <c r="G208" s="49"/>
      <c r="H208" s="49"/>
      <c r="I208" s="49"/>
      <c r="J208" s="49"/>
      <c r="L208" s="31" t="s">
        <v>259</v>
      </c>
      <c r="M208" s="39" t="s">
        <v>180</v>
      </c>
      <c r="N208" s="41" t="s">
        <v>181</v>
      </c>
      <c r="O208" s="41" t="s">
        <v>201</v>
      </c>
      <c r="P208" s="41" t="s">
        <v>183</v>
      </c>
      <c r="Q208" s="41" t="s">
        <v>184</v>
      </c>
      <c r="R208" s="41" t="s">
        <v>185</v>
      </c>
    </row>
    <row r="209" spans="1:19">
      <c r="A209" s="19"/>
      <c r="B209" s="48" t="str">
        <f>"Số lượng TP: "&amp;TEXT('[1]N-M'!Q8,"#,#")&amp;" TP"</f>
        <v>Số lượng TP: 1,373 TP</v>
      </c>
      <c r="C209" s="49"/>
      <c r="D209" s="49"/>
      <c r="E209" s="49"/>
      <c r="F209" s="49" t="str">
        <f>"  Giá thực hiện: "&amp;TEXT('[1]N-M'!R8,"##,#")&amp;" VNĐ/Trái phiếu"</f>
        <v xml:space="preserve">  Giá thực hiện: 1,090,579 VNĐ/Trái phiếu</v>
      </c>
      <c r="G209" s="49"/>
      <c r="H209" s="49"/>
      <c r="I209" s="49"/>
      <c r="J209" s="49"/>
      <c r="L209" s="31" t="s">
        <v>260</v>
      </c>
      <c r="M209" s="39" t="s">
        <v>180</v>
      </c>
      <c r="N209" s="41" t="s">
        <v>181</v>
      </c>
      <c r="O209" s="41" t="s">
        <v>201</v>
      </c>
      <c r="P209" s="41" t="s">
        <v>183</v>
      </c>
      <c r="Q209" s="41" t="s">
        <v>184</v>
      </c>
      <c r="R209" s="41" t="s">
        <v>185</v>
      </c>
    </row>
    <row r="210" spans="1:19">
      <c r="A210" s="19"/>
      <c r="B210" s="48" t="str">
        <f>"Tổng mệnh giá: "&amp;TEXT('[1]N-M'!S8,"##,#")&amp;" VND"</f>
        <v>Tổng mệnh giá: 1,373,000,000 VND</v>
      </c>
      <c r="C210" s="49"/>
      <c r="D210" s="49"/>
      <c r="E210" s="49"/>
      <c r="F210" s="49" t="str">
        <f>"  Tổng giá trị giao dịch: "&amp;TEXT('[1]N-M'!T8,"##,#")&amp;" VND"</f>
        <v xml:space="preserve">  Tổng giá trị giao dịch: 1,497,364,967 VND</v>
      </c>
      <c r="G210" s="49"/>
      <c r="H210" s="49"/>
      <c r="I210" s="49"/>
      <c r="J210" s="49"/>
      <c r="L210" s="31" t="s">
        <v>261</v>
      </c>
      <c r="M210" s="39" t="s">
        <v>180</v>
      </c>
      <c r="N210" s="41" t="s">
        <v>181</v>
      </c>
      <c r="O210" s="41" t="s">
        <v>201</v>
      </c>
      <c r="P210" s="41" t="s">
        <v>183</v>
      </c>
      <c r="Q210" s="41" t="s">
        <v>184</v>
      </c>
      <c r="R210" s="41" t="s">
        <v>185</v>
      </c>
    </row>
    <row r="211" spans="1:19">
      <c r="A211" s="19"/>
      <c r="B211" s="48" t="str">
        <f>"Tổng giá trị thanh toán: "&amp;TEXT('[1]N-M'!V8,"##,#")&amp;" VND"</f>
        <v>Tổng giá trị thanh toán: 1,495,661,652 VND</v>
      </c>
      <c r="C211" s="49"/>
      <c r="D211" s="49"/>
      <c r="E211" s="49"/>
      <c r="F211" s="49"/>
      <c r="G211" s="49"/>
      <c r="H211" s="49"/>
      <c r="I211" s="49"/>
      <c r="J211" s="49"/>
      <c r="L211" s="31" t="s">
        <v>262</v>
      </c>
      <c r="M211" s="39" t="s">
        <v>180</v>
      </c>
      <c r="N211" s="41" t="s">
        <v>181</v>
      </c>
      <c r="O211" s="41" t="s">
        <v>205</v>
      </c>
      <c r="P211" s="41" t="s">
        <v>183</v>
      </c>
      <c r="Q211" s="41" t="s">
        <v>184</v>
      </c>
      <c r="R211" s="41" t="s">
        <v>185</v>
      </c>
    </row>
    <row r="212" spans="1:19" ht="38.25" customHeight="1">
      <c r="F212" s="58" t="s">
        <v>74</v>
      </c>
      <c r="G212" s="46"/>
      <c r="H212" s="46"/>
      <c r="I212" s="46"/>
      <c r="J212" s="46"/>
      <c r="L212" s="31" t="s">
        <v>263</v>
      </c>
      <c r="M212" s="39" t="s">
        <v>180</v>
      </c>
      <c r="N212" s="41" t="s">
        <v>181</v>
      </c>
      <c r="O212" s="41" t="s">
        <v>205</v>
      </c>
      <c r="P212" s="41" t="s">
        <v>183</v>
      </c>
      <c r="Q212" s="41" t="s">
        <v>184</v>
      </c>
      <c r="R212" s="41" t="s">
        <v>185</v>
      </c>
    </row>
    <row r="213" spans="1:19">
      <c r="L213" s="31" t="s">
        <v>264</v>
      </c>
      <c r="M213" s="39" t="s">
        <v>180</v>
      </c>
      <c r="N213" s="41" t="s">
        <v>181</v>
      </c>
      <c r="O213" s="41" t="s">
        <v>205</v>
      </c>
      <c r="P213" s="41" t="s">
        <v>183</v>
      </c>
      <c r="Q213" s="41" t="s">
        <v>184</v>
      </c>
      <c r="R213" s="41" t="s">
        <v>185</v>
      </c>
    </row>
    <row r="214" spans="1:19">
      <c r="L214" s="31" t="s">
        <v>265</v>
      </c>
      <c r="M214" s="39" t="s">
        <v>180</v>
      </c>
      <c r="N214" s="41" t="s">
        <v>181</v>
      </c>
      <c r="O214" s="41" t="s">
        <v>209</v>
      </c>
      <c r="P214" s="41" t="s">
        <v>183</v>
      </c>
      <c r="Q214" s="41" t="s">
        <v>184</v>
      </c>
      <c r="R214" s="41" t="s">
        <v>185</v>
      </c>
    </row>
    <row r="215" spans="1:19">
      <c r="L215" s="31" t="s">
        <v>266</v>
      </c>
      <c r="M215" s="39" t="s">
        <v>180</v>
      </c>
      <c r="N215" s="41" t="s">
        <v>181</v>
      </c>
      <c r="O215" s="41" t="s">
        <v>209</v>
      </c>
      <c r="P215" s="41" t="s">
        <v>183</v>
      </c>
      <c r="Q215" s="41" t="s">
        <v>184</v>
      </c>
      <c r="R215" s="41" t="s">
        <v>185</v>
      </c>
    </row>
    <row r="216" spans="1:19">
      <c r="E216" s="1"/>
      <c r="F216" s="46" t="str">
        <f>F185</f>
        <v>Nguyễn Thế Dũng</v>
      </c>
      <c r="G216" s="46"/>
      <c r="H216" s="46"/>
      <c r="I216" s="46"/>
      <c r="J216" s="46"/>
      <c r="L216" s="31" t="s">
        <v>267</v>
      </c>
      <c r="M216" s="39" t="s">
        <v>180</v>
      </c>
      <c r="N216" s="41" t="s">
        <v>181</v>
      </c>
      <c r="O216" s="41" t="s">
        <v>209</v>
      </c>
      <c r="P216" s="41" t="s">
        <v>183</v>
      </c>
      <c r="Q216" s="41" t="s">
        <v>184</v>
      </c>
      <c r="R216" s="41" t="s">
        <v>185</v>
      </c>
    </row>
    <row r="217" spans="1:19" ht="23.25" customHeight="1">
      <c r="L217" s="31" t="s">
        <v>268</v>
      </c>
      <c r="M217" s="39" t="s">
        <v>180</v>
      </c>
      <c r="N217" s="41" t="s">
        <v>181</v>
      </c>
      <c r="O217" s="41" t="s">
        <v>213</v>
      </c>
      <c r="P217" s="41" t="s">
        <v>183</v>
      </c>
      <c r="Q217" s="41" t="s">
        <v>184</v>
      </c>
      <c r="R217" s="41" t="s">
        <v>185</v>
      </c>
    </row>
    <row r="218" spans="1:19">
      <c r="I218" s="44" t="s">
        <v>0</v>
      </c>
      <c r="J218" s="44"/>
      <c r="L218" s="31" t="s">
        <v>269</v>
      </c>
      <c r="M218" s="39" t="s">
        <v>180</v>
      </c>
      <c r="N218" s="41" t="s">
        <v>181</v>
      </c>
      <c r="O218" s="41" t="s">
        <v>213</v>
      </c>
      <c r="P218" s="41" t="s">
        <v>183</v>
      </c>
      <c r="Q218" s="41" t="s">
        <v>184</v>
      </c>
      <c r="R218" s="41" t="s">
        <v>185</v>
      </c>
    </row>
    <row r="219" spans="1:19">
      <c r="E219" s="45" t="s">
        <v>2</v>
      </c>
      <c r="F219" s="45"/>
      <c r="G219" s="45"/>
      <c r="H219" s="45"/>
      <c r="I219" s="45"/>
      <c r="J219" s="45"/>
      <c r="L219" s="31" t="s">
        <v>270</v>
      </c>
      <c r="M219" s="39" t="s">
        <v>180</v>
      </c>
      <c r="N219" s="41" t="s">
        <v>181</v>
      </c>
      <c r="O219" s="41" t="s">
        <v>213</v>
      </c>
      <c r="P219" s="41" t="s">
        <v>183</v>
      </c>
      <c r="Q219" s="41" t="s">
        <v>184</v>
      </c>
      <c r="R219" s="41" t="s">
        <v>185</v>
      </c>
    </row>
    <row r="220" spans="1:19">
      <c r="E220" s="45" t="s">
        <v>3</v>
      </c>
      <c r="F220" s="45"/>
      <c r="G220" s="45"/>
      <c r="H220" s="45"/>
      <c r="I220" s="45"/>
      <c r="J220" s="45"/>
      <c r="L220" s="31" t="s">
        <v>271</v>
      </c>
      <c r="M220" s="39" t="s">
        <v>180</v>
      </c>
      <c r="N220" s="41" t="s">
        <v>181</v>
      </c>
      <c r="O220" s="41" t="s">
        <v>217</v>
      </c>
      <c r="P220" s="41" t="s">
        <v>183</v>
      </c>
      <c r="Q220" s="41" t="s">
        <v>184</v>
      </c>
      <c r="R220" s="41" t="s">
        <v>185</v>
      </c>
    </row>
    <row r="221" spans="1:19">
      <c r="E221" s="45"/>
      <c r="F221" s="45"/>
      <c r="G221" s="45"/>
      <c r="H221" s="45"/>
      <c r="I221" s="45"/>
      <c r="J221" s="45"/>
      <c r="L221" s="31" t="s">
        <v>272</v>
      </c>
      <c r="M221" s="39" t="s">
        <v>180</v>
      </c>
      <c r="N221" s="41" t="s">
        <v>181</v>
      </c>
      <c r="O221" s="41" t="s">
        <v>217</v>
      </c>
      <c r="P221" s="41" t="s">
        <v>183</v>
      </c>
      <c r="Q221" s="41" t="s">
        <v>184</v>
      </c>
      <c r="R221" s="41" t="s">
        <v>185</v>
      </c>
    </row>
    <row r="222" spans="1:19">
      <c r="B222" s="46" t="s">
        <v>12</v>
      </c>
      <c r="C222" s="46"/>
      <c r="D222" s="46"/>
      <c r="L222" s="31" t="s">
        <v>273</v>
      </c>
      <c r="M222" s="39" t="s">
        <v>180</v>
      </c>
      <c r="N222" s="41" t="s">
        <v>181</v>
      </c>
      <c r="O222" s="41" t="s">
        <v>217</v>
      </c>
      <c r="P222" s="41" t="s">
        <v>183</v>
      </c>
      <c r="Q222" s="41" t="s">
        <v>184</v>
      </c>
      <c r="R222" s="41" t="s">
        <v>185</v>
      </c>
    </row>
    <row r="223" spans="1:19" ht="25.5" customHeight="1">
      <c r="E223" s="47" t="str">
        <f ca="1">"SỐ: "&amp;TEXT($M$1,"ddmm")&amp;CHAR(CODE($M$3)+7)&amp;"1"&amp;"/"&amp;YEAR($M$1)&amp;"/KDTPBL"</f>
        <v>SỐ: 2601H1/2021/KDTPBL</v>
      </c>
      <c r="F223" s="47"/>
      <c r="G223" s="47"/>
      <c r="H223" s="47"/>
      <c r="I223" s="47"/>
      <c r="J223" s="47"/>
      <c r="L223" s="32" t="s">
        <v>274</v>
      </c>
      <c r="M223" s="4" t="s">
        <v>275</v>
      </c>
      <c r="N223" s="30" t="s">
        <v>181</v>
      </c>
      <c r="O223" s="1" t="s">
        <v>182</v>
      </c>
      <c r="P223" s="1" t="s">
        <v>276</v>
      </c>
      <c r="Q223" s="1" t="s">
        <v>277</v>
      </c>
      <c r="R223" s="7" t="s">
        <v>278</v>
      </c>
      <c r="S223" s="8">
        <v>1000000</v>
      </c>
    </row>
    <row r="224" spans="1:19" ht="49.5" customHeight="1">
      <c r="B224" s="50" t="s">
        <v>17</v>
      </c>
      <c r="C224" s="50"/>
      <c r="D224" s="50"/>
      <c r="E224" s="50"/>
      <c r="F224" s="50"/>
      <c r="G224" s="50"/>
      <c r="H224" s="50"/>
      <c r="I224" s="50"/>
      <c r="J224" s="50"/>
      <c r="L224" s="32" t="s">
        <v>279</v>
      </c>
      <c r="M224" s="4" t="s">
        <v>275</v>
      </c>
      <c r="N224" s="1" t="s">
        <v>181</v>
      </c>
      <c r="O224" s="1" t="s">
        <v>182</v>
      </c>
      <c r="P224" s="1" t="s">
        <v>276</v>
      </c>
      <c r="Q224" s="1" t="s">
        <v>277</v>
      </c>
      <c r="R224" s="7" t="s">
        <v>278</v>
      </c>
      <c r="S224" s="8">
        <v>1000000</v>
      </c>
    </row>
    <row r="225" spans="1:19" ht="19.75">
      <c r="B225" s="1" t="s">
        <v>398</v>
      </c>
      <c r="F225" s="1" t="s">
        <v>399</v>
      </c>
      <c r="H225" s="1" t="s">
        <v>27</v>
      </c>
      <c r="L225" s="32" t="s">
        <v>280</v>
      </c>
      <c r="M225" s="4" t="s">
        <v>275</v>
      </c>
      <c r="N225" s="1" t="s">
        <v>181</v>
      </c>
      <c r="O225" s="1" t="s">
        <v>182</v>
      </c>
      <c r="P225" s="1" t="s">
        <v>276</v>
      </c>
      <c r="Q225" s="1" t="s">
        <v>277</v>
      </c>
      <c r="R225" s="7" t="s">
        <v>278</v>
      </c>
      <c r="S225" s="8">
        <v>1000000</v>
      </c>
    </row>
    <row r="226" spans="1:19" ht="19.75">
      <c r="B226" s="1" t="s">
        <v>29</v>
      </c>
      <c r="D226" s="10" t="str">
        <f>'[1]N-M'!L9</f>
        <v>112100.05671.04491.1FEFFC.XTDL.2020.E113/HDTP-M-5AD1CE/SHB.</v>
      </c>
      <c r="L226" s="32" t="s">
        <v>281</v>
      </c>
      <c r="M226" s="4" t="s">
        <v>275</v>
      </c>
      <c r="N226" s="1" t="s">
        <v>181</v>
      </c>
      <c r="O226" s="1" t="s">
        <v>189</v>
      </c>
      <c r="P226" s="1" t="s">
        <v>276</v>
      </c>
      <c r="Q226" s="1" t="s">
        <v>277</v>
      </c>
      <c r="R226" s="7" t="s">
        <v>278</v>
      </c>
      <c r="S226" s="8">
        <v>1000000</v>
      </c>
    </row>
    <row r="227" spans="1:19" ht="30" customHeight="1">
      <c r="A227" s="11" t="s">
        <v>31</v>
      </c>
      <c r="L227" s="32" t="s">
        <v>282</v>
      </c>
      <c r="M227" s="4" t="s">
        <v>275</v>
      </c>
      <c r="N227" s="1" t="s">
        <v>181</v>
      </c>
      <c r="O227" s="1" t="s">
        <v>189</v>
      </c>
      <c r="P227" s="1" t="s">
        <v>276</v>
      </c>
      <c r="Q227" s="1" t="s">
        <v>277</v>
      </c>
      <c r="R227" s="7" t="s">
        <v>278</v>
      </c>
      <c r="S227" s="8">
        <v>1000000</v>
      </c>
    </row>
    <row r="228" spans="1:19" ht="39.75" customHeight="1">
      <c r="A228" s="15"/>
      <c r="B228" s="51" t="str">
        <f>"Tổ chức phát hành: "&amp;VLOOKUP('[1]N-M'!M9,$L$4:$T$341,2,0)</f>
        <v>Tổ chức phát hành: Công ty TNHH Xuân Thiện Đăk Lăk</v>
      </c>
      <c r="C228" s="51"/>
      <c r="D228" s="51"/>
      <c r="E228" s="51"/>
      <c r="F228" s="52"/>
      <c r="G228" s="53" t="str">
        <f>"    Mã TP: "&amp;'[1]N-M'!M9</f>
        <v xml:space="preserve">    Mã TP: XTDL.2020.E113</v>
      </c>
      <c r="H228" s="54"/>
      <c r="I228" s="54"/>
      <c r="J228" s="55"/>
      <c r="L228" s="32" t="s">
        <v>283</v>
      </c>
      <c r="M228" s="4" t="s">
        <v>275</v>
      </c>
      <c r="N228" s="1" t="s">
        <v>181</v>
      </c>
      <c r="O228" s="1" t="s">
        <v>189</v>
      </c>
      <c r="P228" s="1" t="s">
        <v>276</v>
      </c>
      <c r="Q228" s="1" t="s">
        <v>277</v>
      </c>
      <c r="R228" s="7" t="s">
        <v>278</v>
      </c>
      <c r="S228" s="8">
        <v>1000000</v>
      </c>
    </row>
    <row r="229" spans="1:19" ht="28.5" customHeight="1">
      <c r="A229" s="16"/>
      <c r="B229" s="56" t="str">
        <f>"Ngày phát hành: "&amp;VLOOKUP('[1]N-M'!M9,$L$4:$S$341,3,0)</f>
        <v>Ngày phát hành: 18/08/2020</v>
      </c>
      <c r="C229" s="56"/>
      <c r="D229" s="56"/>
      <c r="E229" s="56"/>
      <c r="F229" s="48"/>
      <c r="G229" s="57" t="str">
        <f>"    Ngày đáo hạn: "&amp;VLOOKUP('[1]N-M'!M9,$L$4:$T$341,4,0)</f>
        <v xml:space="preserve">    Ngày đáo hạn: 18/08/2031</v>
      </c>
      <c r="H229" s="57"/>
      <c r="I229" s="57"/>
      <c r="J229" s="57"/>
      <c r="L229" s="32" t="s">
        <v>284</v>
      </c>
      <c r="M229" s="4" t="s">
        <v>275</v>
      </c>
      <c r="N229" s="1" t="s">
        <v>181</v>
      </c>
      <c r="O229" s="1" t="s">
        <v>193</v>
      </c>
      <c r="P229" s="1" t="s">
        <v>276</v>
      </c>
      <c r="Q229" s="1" t="s">
        <v>277</v>
      </c>
      <c r="R229" s="7" t="s">
        <v>278</v>
      </c>
      <c r="S229" s="8">
        <v>1000000</v>
      </c>
    </row>
    <row r="230" spans="1:19" ht="63.65" customHeight="1">
      <c r="A230" s="15"/>
      <c r="B230" s="51" t="str">
        <f>"Coupon: Lãi suất cho kỳ tính lãi đầu tiên là "&amp;VLOOKUP('[1]N-M'!M9,$L$4:$T$341,5,0)&amp;". Lãi suất cho các kỳ tính lãi tiếp theo bằng lãi suất thRM chiếu cộng (+) biên độ "&amp;VLOOKUP('[1]N-M'!M9,$L$4:$T$341,6,0)</f>
        <v>Coupon: Lãi suất cho kỳ tính lãi đầu tiên là 10,60%/năm. Lãi suất cho các kỳ tính lãi tiếp theo bằng lãi suất thRM chiếu cộng (+) biên độ 2,5%/năm</v>
      </c>
      <c r="C230" s="51"/>
      <c r="D230" s="51"/>
      <c r="E230" s="51"/>
      <c r="F230" s="52"/>
      <c r="G230" s="57" t="s">
        <v>41</v>
      </c>
      <c r="H230" s="57"/>
      <c r="I230" s="57"/>
      <c r="J230" s="57"/>
      <c r="L230" s="32" t="s">
        <v>285</v>
      </c>
      <c r="M230" s="4" t="s">
        <v>275</v>
      </c>
      <c r="N230" s="1" t="s">
        <v>181</v>
      </c>
      <c r="O230" s="1" t="s">
        <v>193</v>
      </c>
      <c r="P230" s="1" t="s">
        <v>276</v>
      </c>
      <c r="Q230" s="1" t="s">
        <v>277</v>
      </c>
      <c r="R230" s="7" t="s">
        <v>278</v>
      </c>
      <c r="S230" s="8">
        <v>1000000</v>
      </c>
    </row>
    <row r="231" spans="1:19" ht="36.75" customHeight="1">
      <c r="A231" s="15"/>
      <c r="B231" s="51" t="str">
        <f>"Hạn mức mua còn lại trước giao dịch: "&amp;TEXT('[1]N-M'!W9,"#,#")&amp;" đ"</f>
        <v>Hạn mức mua còn lại trước giao dịch: 378,580,811,626 đ</v>
      </c>
      <c r="C231" s="51"/>
      <c r="D231" s="51"/>
      <c r="E231" s="51"/>
      <c r="F231" s="52"/>
      <c r="G231" s="57" t="str">
        <f>"   Hạn mức cấp: "&amp;TEXT('[1]N-M'!T9,"#,#")&amp;" đ"</f>
        <v xml:space="preserve">   Hạn mức cấp: 1,058,104,477 đ</v>
      </c>
      <c r="H231" s="57"/>
      <c r="I231" s="57"/>
      <c r="J231" s="57"/>
      <c r="L231" s="32" t="s">
        <v>286</v>
      </c>
      <c r="M231" s="4" t="s">
        <v>275</v>
      </c>
      <c r="N231" s="1" t="s">
        <v>181</v>
      </c>
      <c r="O231" s="1" t="s">
        <v>193</v>
      </c>
      <c r="P231" s="1" t="s">
        <v>276</v>
      </c>
      <c r="Q231" s="1" t="s">
        <v>277</v>
      </c>
      <c r="R231" s="7" t="s">
        <v>278</v>
      </c>
      <c r="S231" s="8">
        <v>1000000</v>
      </c>
    </row>
    <row r="232" spans="1:19" ht="19.75">
      <c r="L232" s="32" t="s">
        <v>287</v>
      </c>
      <c r="M232" s="4" t="s">
        <v>275</v>
      </c>
      <c r="N232" s="1" t="s">
        <v>181</v>
      </c>
      <c r="O232" s="1" t="s">
        <v>197</v>
      </c>
      <c r="P232" s="1" t="s">
        <v>276</v>
      </c>
      <c r="Q232" s="1" t="s">
        <v>277</v>
      </c>
      <c r="R232" s="7" t="s">
        <v>278</v>
      </c>
      <c r="S232" s="8">
        <v>1000000</v>
      </c>
    </row>
    <row r="233" spans="1:19" ht="19.75">
      <c r="A233" s="11" t="s">
        <v>47</v>
      </c>
      <c r="L233" s="32" t="s">
        <v>288</v>
      </c>
      <c r="M233" s="4" t="s">
        <v>275</v>
      </c>
      <c r="N233" s="1" t="s">
        <v>181</v>
      </c>
      <c r="O233" s="1" t="s">
        <v>197</v>
      </c>
      <c r="P233" s="1" t="s">
        <v>276</v>
      </c>
      <c r="Q233" s="1" t="s">
        <v>277</v>
      </c>
      <c r="R233" s="7" t="s">
        <v>278</v>
      </c>
      <c r="S233" s="8">
        <v>1000000</v>
      </c>
    </row>
    <row r="234" spans="1:19" ht="19.75">
      <c r="B234" s="1" t="str">
        <f>"Số quyết định: "&amp;VLOOKUP('[1]N-M'!M9,'P-M'!$L$4:$R$564,7,0)</f>
        <v>Số quyết định: 2413/2020/QĐ-TGĐ ngày 07/09/2020</v>
      </c>
      <c r="L234" s="33" t="s">
        <v>289</v>
      </c>
      <c r="M234" s="4" t="s">
        <v>275</v>
      </c>
      <c r="N234" s="1" t="s">
        <v>181</v>
      </c>
      <c r="O234" s="1" t="s">
        <v>197</v>
      </c>
      <c r="P234" s="1" t="s">
        <v>276</v>
      </c>
      <c r="Q234" s="1" t="s">
        <v>277</v>
      </c>
      <c r="R234" s="7" t="s">
        <v>278</v>
      </c>
      <c r="S234" s="8">
        <v>1000000</v>
      </c>
    </row>
    <row r="235" spans="1:19" ht="19.75">
      <c r="A235" s="19"/>
      <c r="B235" s="48" t="str">
        <f>"Đối tác giao dịch: "&amp;'[1]N-M'!J9</f>
        <v>Đối tác giao dịch: Trần Thị Liên</v>
      </c>
      <c r="C235" s="49"/>
      <c r="D235" s="49"/>
      <c r="E235" s="49"/>
      <c r="F235" s="49"/>
      <c r="G235" s="49"/>
      <c r="H235" s="49"/>
      <c r="I235" s="49"/>
      <c r="J235" s="49"/>
      <c r="L235" s="32" t="s">
        <v>290</v>
      </c>
      <c r="M235" s="4" t="s">
        <v>275</v>
      </c>
      <c r="N235" s="1" t="s">
        <v>181</v>
      </c>
      <c r="O235" s="1" t="s">
        <v>201</v>
      </c>
      <c r="P235" s="1" t="s">
        <v>276</v>
      </c>
      <c r="Q235" s="1" t="s">
        <v>277</v>
      </c>
      <c r="R235" s="7" t="s">
        <v>278</v>
      </c>
      <c r="S235" s="8">
        <v>1000000</v>
      </c>
    </row>
    <row r="236" spans="1:19" ht="19.75">
      <c r="A236" s="19"/>
      <c r="B236" s="48" t="str">
        <f>"Hợp đồng số: "&amp;'[1]N-M'!L9</f>
        <v>Hợp đồng số: 112100.05671.04491.1FEFFC.XTDL.2020.E113/HDTP-M-5AD1CE/SHB.</v>
      </c>
      <c r="C236" s="49"/>
      <c r="D236" s="49"/>
      <c r="E236" s="49"/>
      <c r="F236" s="49"/>
      <c r="G236" s="49"/>
      <c r="H236" s="49"/>
      <c r="I236" s="49"/>
      <c r="J236" s="49"/>
      <c r="L236" s="32" t="s">
        <v>291</v>
      </c>
      <c r="M236" s="4" t="s">
        <v>275</v>
      </c>
      <c r="N236" s="1" t="s">
        <v>181</v>
      </c>
      <c r="O236" s="1" t="s">
        <v>201</v>
      </c>
      <c r="P236" s="1" t="s">
        <v>276</v>
      </c>
      <c r="Q236" s="1" t="s">
        <v>277</v>
      </c>
      <c r="R236" s="7" t="s">
        <v>278</v>
      </c>
      <c r="S236" s="8">
        <v>1000000</v>
      </c>
    </row>
    <row r="237" spans="1:19" ht="19.75">
      <c r="A237" s="19"/>
      <c r="B237" s="48" t="str">
        <f ca="1">"Ngày giao dịch: "&amp;TEXT($M$1,"dd/mm/yyyy")</f>
        <v>Ngày giao dịch: 26/01/2021</v>
      </c>
      <c r="C237" s="49"/>
      <c r="D237" s="49"/>
      <c r="E237" s="49"/>
      <c r="F237" s="49" t="str">
        <f>"  CIF KH: "&amp;'[1]N-M'!O9</f>
        <v xml:space="preserve">  CIF KH: '0108344228</v>
      </c>
      <c r="G237" s="49"/>
      <c r="H237" s="49"/>
      <c r="I237" s="49"/>
      <c r="J237" s="49"/>
      <c r="L237" s="32" t="s">
        <v>292</v>
      </c>
      <c r="M237" s="4" t="s">
        <v>275</v>
      </c>
      <c r="N237" s="1" t="s">
        <v>181</v>
      </c>
      <c r="O237" s="1" t="s">
        <v>201</v>
      </c>
      <c r="P237" s="1" t="s">
        <v>276</v>
      </c>
      <c r="Q237" s="1" t="s">
        <v>277</v>
      </c>
      <c r="R237" s="7" t="s">
        <v>278</v>
      </c>
      <c r="S237" s="8">
        <v>1000000</v>
      </c>
    </row>
    <row r="238" spans="1:19" ht="19.75">
      <c r="A238" s="19"/>
      <c r="B238" s="48" t="str">
        <f ca="1">"Ngày thanh toán: "&amp;TEXT($M$1,"dd/mm/yyyy")</f>
        <v>Ngày thanh toán: 26/01/2021</v>
      </c>
      <c r="C238" s="49"/>
      <c r="D238" s="49"/>
      <c r="E238" s="49"/>
      <c r="F238" s="49" t="s">
        <v>67</v>
      </c>
      <c r="G238" s="49"/>
      <c r="H238" s="49"/>
      <c r="I238" s="49"/>
      <c r="J238" s="49"/>
      <c r="L238" s="34" t="s">
        <v>293</v>
      </c>
      <c r="M238" s="4" t="s">
        <v>275</v>
      </c>
      <c r="N238" s="30" t="s">
        <v>181</v>
      </c>
      <c r="O238" s="1" t="s">
        <v>182</v>
      </c>
      <c r="P238" s="1" t="s">
        <v>276</v>
      </c>
      <c r="Q238" s="1" t="s">
        <v>277</v>
      </c>
      <c r="R238" s="7" t="s">
        <v>278</v>
      </c>
      <c r="S238" s="8">
        <v>1000000</v>
      </c>
    </row>
    <row r="239" spans="1:19" ht="19.75">
      <c r="A239" s="19"/>
      <c r="B239" s="48" t="str">
        <f>"Mã RM: "&amp;'[1]N-M'!B9</f>
        <v>Mã RM: 04491</v>
      </c>
      <c r="C239" s="49"/>
      <c r="D239" s="49"/>
      <c r="E239" s="49"/>
      <c r="F239" s="49" t="str">
        <f>"  Mã đơn vị: "&amp;'[1]N-M'!H9</f>
        <v xml:space="preserve">  Mã đơn vị: 112100</v>
      </c>
      <c r="G239" s="49"/>
      <c r="H239" s="49"/>
      <c r="I239" s="49"/>
      <c r="J239" s="49"/>
      <c r="L239" s="34" t="s">
        <v>294</v>
      </c>
      <c r="M239" s="4" t="s">
        <v>275</v>
      </c>
      <c r="N239" s="1" t="s">
        <v>181</v>
      </c>
      <c r="O239" s="1" t="s">
        <v>182</v>
      </c>
      <c r="P239" s="1" t="s">
        <v>276</v>
      </c>
      <c r="Q239" s="1" t="s">
        <v>277</v>
      </c>
      <c r="R239" s="7" t="s">
        <v>278</v>
      </c>
      <c r="S239" s="8">
        <v>1000000</v>
      </c>
    </row>
    <row r="240" spans="1:19" ht="19.75">
      <c r="A240" s="19"/>
      <c r="B240" s="48" t="str">
        <f>"Số lượng TP: "&amp;TEXT('[1]N-M'!Q9,"#,#")&amp;" TP"</f>
        <v>Số lượng TP: 857 TP</v>
      </c>
      <c r="C240" s="49"/>
      <c r="D240" s="49"/>
      <c r="E240" s="49"/>
      <c r="F240" s="49" t="str">
        <f>"  Giá thực hiện: "&amp;TEXT('[1]N-M'!R9,"##,#")&amp;" VNĐ/Trái phiếu"</f>
        <v xml:space="preserve">  Giá thực hiện: 1,234,661 VNĐ/Trái phiếu</v>
      </c>
      <c r="G240" s="49"/>
      <c r="H240" s="49"/>
      <c r="I240" s="49"/>
      <c r="J240" s="49"/>
      <c r="L240" s="34" t="s">
        <v>295</v>
      </c>
      <c r="M240" s="4" t="s">
        <v>275</v>
      </c>
      <c r="N240" s="1" t="s">
        <v>181</v>
      </c>
      <c r="O240" s="1" t="s">
        <v>182</v>
      </c>
      <c r="P240" s="1" t="s">
        <v>276</v>
      </c>
      <c r="Q240" s="1" t="s">
        <v>277</v>
      </c>
      <c r="R240" s="7" t="s">
        <v>278</v>
      </c>
      <c r="S240" s="8">
        <v>1000000</v>
      </c>
    </row>
    <row r="241" spans="1:19" ht="19.75">
      <c r="A241" s="19"/>
      <c r="B241" s="48" t="str">
        <f>"Tổng mệnh giá: "&amp;TEXT('[1]N-M'!S9,"##,#")&amp;" VND"</f>
        <v>Tổng mệnh giá: 857,000,000 VND</v>
      </c>
      <c r="C241" s="49"/>
      <c r="D241" s="49"/>
      <c r="E241" s="49"/>
      <c r="F241" s="49" t="str">
        <f>"  Tổng giá trị giao dịch: "&amp;TEXT('[1]N-M'!T9,"##,#")&amp;" VND"</f>
        <v xml:space="preserve">  Tổng giá trị giao dịch: 1,058,104,477 VND</v>
      </c>
      <c r="G241" s="49"/>
      <c r="H241" s="49"/>
      <c r="I241" s="49"/>
      <c r="J241" s="49"/>
      <c r="L241" s="34" t="s">
        <v>296</v>
      </c>
      <c r="M241" s="4" t="s">
        <v>275</v>
      </c>
      <c r="N241" s="1" t="s">
        <v>181</v>
      </c>
      <c r="O241" s="1" t="s">
        <v>189</v>
      </c>
      <c r="P241" s="1" t="s">
        <v>276</v>
      </c>
      <c r="Q241" s="1" t="s">
        <v>277</v>
      </c>
      <c r="R241" s="7" t="s">
        <v>278</v>
      </c>
      <c r="S241" s="8">
        <v>1000000</v>
      </c>
    </row>
    <row r="242" spans="1:19" ht="19.75">
      <c r="A242" s="19"/>
      <c r="B242" s="48" t="str">
        <f>"Tổng giá trị thanh toán: "&amp;TEXT('[1]N-M'!V9,"##,#")&amp;" VND"</f>
        <v>Tổng giá trị thanh toán: 1,056,917,823 VND</v>
      </c>
      <c r="C242" s="49"/>
      <c r="D242" s="49"/>
      <c r="E242" s="49"/>
      <c r="F242" s="49"/>
      <c r="G242" s="49"/>
      <c r="H242" s="49"/>
      <c r="I242" s="49"/>
      <c r="J242" s="49"/>
      <c r="L242" s="34" t="s">
        <v>297</v>
      </c>
      <c r="M242" s="4" t="s">
        <v>275</v>
      </c>
      <c r="N242" s="1" t="s">
        <v>181</v>
      </c>
      <c r="O242" s="1" t="s">
        <v>189</v>
      </c>
      <c r="P242" s="1" t="s">
        <v>276</v>
      </c>
      <c r="Q242" s="1" t="s">
        <v>277</v>
      </c>
      <c r="R242" s="7" t="s">
        <v>278</v>
      </c>
      <c r="S242" s="8">
        <v>1000000</v>
      </c>
    </row>
    <row r="243" spans="1:19" ht="38.25" customHeight="1">
      <c r="F243" s="58" t="s">
        <v>74</v>
      </c>
      <c r="G243" s="46"/>
      <c r="H243" s="46"/>
      <c r="I243" s="46"/>
      <c r="J243" s="46"/>
      <c r="L243" s="34" t="s">
        <v>298</v>
      </c>
      <c r="M243" s="4" t="s">
        <v>275</v>
      </c>
      <c r="N243" s="1" t="s">
        <v>181</v>
      </c>
      <c r="O243" s="1" t="s">
        <v>189</v>
      </c>
      <c r="P243" s="1" t="s">
        <v>276</v>
      </c>
      <c r="Q243" s="1" t="s">
        <v>277</v>
      </c>
      <c r="R243" s="7" t="s">
        <v>278</v>
      </c>
      <c r="S243" s="8">
        <v>1000000</v>
      </c>
    </row>
    <row r="244" spans="1:19" ht="19.75">
      <c r="L244" s="34" t="s">
        <v>299</v>
      </c>
      <c r="M244" s="4" t="s">
        <v>275</v>
      </c>
      <c r="N244" s="1" t="s">
        <v>181</v>
      </c>
      <c r="O244" s="1" t="s">
        <v>193</v>
      </c>
      <c r="P244" s="1" t="s">
        <v>276</v>
      </c>
      <c r="Q244" s="1" t="s">
        <v>277</v>
      </c>
      <c r="R244" s="7" t="s">
        <v>278</v>
      </c>
      <c r="S244" s="8">
        <v>1000000</v>
      </c>
    </row>
    <row r="245" spans="1:19" ht="19.75">
      <c r="L245" s="34" t="s">
        <v>300</v>
      </c>
      <c r="M245" s="4" t="s">
        <v>275</v>
      </c>
      <c r="N245" s="1" t="s">
        <v>181</v>
      </c>
      <c r="O245" s="1" t="s">
        <v>193</v>
      </c>
      <c r="P245" s="1" t="s">
        <v>276</v>
      </c>
      <c r="Q245" s="1" t="s">
        <v>277</v>
      </c>
      <c r="R245" s="7" t="s">
        <v>278</v>
      </c>
      <c r="S245" s="8">
        <v>1000000</v>
      </c>
    </row>
    <row r="246" spans="1:19" ht="19.75">
      <c r="L246" s="34" t="s">
        <v>301</v>
      </c>
      <c r="M246" s="4" t="s">
        <v>275</v>
      </c>
      <c r="N246" s="1" t="s">
        <v>181</v>
      </c>
      <c r="O246" s="1" t="s">
        <v>193</v>
      </c>
      <c r="P246" s="1" t="s">
        <v>276</v>
      </c>
      <c r="Q246" s="1" t="s">
        <v>277</v>
      </c>
      <c r="R246" s="7" t="s">
        <v>278</v>
      </c>
      <c r="S246" s="8">
        <v>1000000</v>
      </c>
    </row>
    <row r="247" spans="1:19" ht="19.75">
      <c r="E247" s="1"/>
      <c r="F247" s="46" t="str">
        <f>F216</f>
        <v>Nguyễn Thế Dũng</v>
      </c>
      <c r="G247" s="46"/>
      <c r="H247" s="46"/>
      <c r="I247" s="46"/>
      <c r="J247" s="46"/>
      <c r="L247" s="34" t="s">
        <v>302</v>
      </c>
      <c r="M247" s="4" t="s">
        <v>275</v>
      </c>
      <c r="N247" s="1" t="s">
        <v>181</v>
      </c>
      <c r="O247" s="1" t="s">
        <v>197</v>
      </c>
      <c r="P247" s="1" t="s">
        <v>276</v>
      </c>
      <c r="Q247" s="1" t="s">
        <v>277</v>
      </c>
      <c r="R247" s="7" t="s">
        <v>278</v>
      </c>
      <c r="S247" s="8">
        <v>1000000</v>
      </c>
    </row>
    <row r="248" spans="1:19" ht="8.25" customHeight="1">
      <c r="E248" s="1"/>
      <c r="F248" s="21"/>
      <c r="G248" s="21"/>
      <c r="H248" s="21"/>
      <c r="I248" s="21"/>
      <c r="J248" s="21"/>
      <c r="L248" s="34" t="s">
        <v>303</v>
      </c>
      <c r="M248" s="4" t="s">
        <v>275</v>
      </c>
      <c r="N248" s="1" t="s">
        <v>181</v>
      </c>
      <c r="O248" s="1" t="s">
        <v>197</v>
      </c>
      <c r="P248" s="1" t="s">
        <v>276</v>
      </c>
      <c r="Q248" s="1" t="s">
        <v>277</v>
      </c>
      <c r="R248" s="7" t="s">
        <v>278</v>
      </c>
      <c r="S248" s="8">
        <v>1000000</v>
      </c>
    </row>
    <row r="249" spans="1:19" ht="19.75">
      <c r="I249" s="44" t="s">
        <v>0</v>
      </c>
      <c r="J249" s="44"/>
      <c r="L249" s="34" t="s">
        <v>304</v>
      </c>
      <c r="M249" s="4" t="s">
        <v>275</v>
      </c>
      <c r="N249" s="1" t="s">
        <v>181</v>
      </c>
      <c r="O249" s="1" t="s">
        <v>197</v>
      </c>
      <c r="P249" s="1" t="s">
        <v>276</v>
      </c>
      <c r="Q249" s="1" t="s">
        <v>277</v>
      </c>
      <c r="R249" s="7" t="s">
        <v>278</v>
      </c>
      <c r="S249" s="8">
        <v>1000000</v>
      </c>
    </row>
    <row r="250" spans="1:19" ht="19.75">
      <c r="E250" s="45" t="s">
        <v>2</v>
      </c>
      <c r="F250" s="45"/>
      <c r="G250" s="45"/>
      <c r="H250" s="45"/>
      <c r="I250" s="45"/>
      <c r="J250" s="45"/>
      <c r="L250" s="34" t="s">
        <v>305</v>
      </c>
      <c r="M250" s="4" t="s">
        <v>275</v>
      </c>
      <c r="N250" s="1" t="s">
        <v>181</v>
      </c>
      <c r="O250" s="1" t="s">
        <v>201</v>
      </c>
      <c r="P250" s="1" t="s">
        <v>276</v>
      </c>
      <c r="Q250" s="1" t="s">
        <v>277</v>
      </c>
      <c r="R250" s="7" t="s">
        <v>278</v>
      </c>
      <c r="S250" s="8">
        <v>1000000</v>
      </c>
    </row>
    <row r="251" spans="1:19" ht="19.75">
      <c r="E251" s="45" t="s">
        <v>3</v>
      </c>
      <c r="F251" s="45"/>
      <c r="G251" s="45"/>
      <c r="H251" s="45"/>
      <c r="I251" s="45"/>
      <c r="J251" s="45"/>
      <c r="L251" s="34" t="s">
        <v>306</v>
      </c>
      <c r="M251" s="4" t="s">
        <v>275</v>
      </c>
      <c r="N251" s="1" t="s">
        <v>181</v>
      </c>
      <c r="O251" s="1" t="s">
        <v>201</v>
      </c>
      <c r="P251" s="1" t="s">
        <v>276</v>
      </c>
      <c r="Q251" s="1" t="s">
        <v>277</v>
      </c>
      <c r="R251" s="7" t="s">
        <v>278</v>
      </c>
      <c r="S251" s="8">
        <v>1000000</v>
      </c>
    </row>
    <row r="252" spans="1:19" ht="19.75">
      <c r="E252" s="45"/>
      <c r="F252" s="45"/>
      <c r="G252" s="45"/>
      <c r="H252" s="45"/>
      <c r="I252" s="45"/>
      <c r="J252" s="45"/>
      <c r="L252" s="34" t="s">
        <v>307</v>
      </c>
      <c r="M252" s="4" t="s">
        <v>275</v>
      </c>
      <c r="N252" s="1" t="s">
        <v>181</v>
      </c>
      <c r="O252" s="1" t="s">
        <v>201</v>
      </c>
      <c r="P252" s="1" t="s">
        <v>276</v>
      </c>
      <c r="Q252" s="1" t="s">
        <v>277</v>
      </c>
      <c r="R252" s="7" t="s">
        <v>278</v>
      </c>
      <c r="S252" s="8">
        <v>1000000</v>
      </c>
    </row>
    <row r="253" spans="1:19" ht="19.75">
      <c r="B253" s="46" t="s">
        <v>12</v>
      </c>
      <c r="C253" s="46"/>
      <c r="D253" s="46"/>
      <c r="L253" s="34" t="s">
        <v>308</v>
      </c>
      <c r="M253" s="4" t="s">
        <v>275</v>
      </c>
      <c r="N253" s="30" t="s">
        <v>181</v>
      </c>
      <c r="O253" s="1" t="s">
        <v>182</v>
      </c>
      <c r="P253" s="1" t="s">
        <v>276</v>
      </c>
      <c r="Q253" s="1" t="s">
        <v>277</v>
      </c>
      <c r="R253" s="7" t="s">
        <v>278</v>
      </c>
      <c r="S253" s="8">
        <v>1000000</v>
      </c>
    </row>
    <row r="254" spans="1:19" ht="25.5" customHeight="1">
      <c r="E254" s="47" t="str">
        <f ca="1">"SỐ: "&amp;TEXT($M$1,"ddmm")&amp;CHAR(CODE($M$3)+8)&amp;"1"&amp;"/"&amp;YEAR($M$1)&amp;"/KDTPBL"</f>
        <v>SỐ: 2601I1/2021/KDTPBL</v>
      </c>
      <c r="F254" s="47"/>
      <c r="G254" s="47"/>
      <c r="H254" s="47"/>
      <c r="I254" s="47"/>
      <c r="J254" s="47"/>
      <c r="L254" s="34" t="s">
        <v>309</v>
      </c>
      <c r="M254" s="4" t="s">
        <v>275</v>
      </c>
      <c r="N254" s="1" t="s">
        <v>181</v>
      </c>
      <c r="O254" s="1" t="s">
        <v>182</v>
      </c>
      <c r="P254" s="1" t="s">
        <v>276</v>
      </c>
      <c r="Q254" s="1" t="s">
        <v>277</v>
      </c>
      <c r="R254" s="7" t="s">
        <v>278</v>
      </c>
      <c r="S254" s="8">
        <v>1000000</v>
      </c>
    </row>
    <row r="255" spans="1:19" ht="49.5" customHeight="1">
      <c r="B255" s="50" t="s">
        <v>17</v>
      </c>
      <c r="C255" s="50"/>
      <c r="D255" s="50"/>
      <c r="E255" s="50"/>
      <c r="F255" s="50"/>
      <c r="G255" s="50"/>
      <c r="H255" s="50"/>
      <c r="I255" s="50"/>
      <c r="J255" s="50"/>
      <c r="L255" s="34" t="s">
        <v>310</v>
      </c>
      <c r="M255" s="4" t="s">
        <v>275</v>
      </c>
      <c r="N255" s="1" t="s">
        <v>181</v>
      </c>
      <c r="O255" s="1" t="s">
        <v>182</v>
      </c>
      <c r="P255" s="1" t="s">
        <v>276</v>
      </c>
      <c r="Q255" s="1" t="s">
        <v>277</v>
      </c>
      <c r="R255" s="7" t="s">
        <v>278</v>
      </c>
      <c r="S255" s="8">
        <v>1000000</v>
      </c>
    </row>
    <row r="256" spans="1:19" ht="19.75">
      <c r="B256" s="1" t="s">
        <v>398</v>
      </c>
      <c r="F256" s="1" t="s">
        <v>399</v>
      </c>
      <c r="H256" s="1" t="s">
        <v>27</v>
      </c>
      <c r="L256" s="34" t="s">
        <v>311</v>
      </c>
      <c r="M256" s="4" t="s">
        <v>275</v>
      </c>
      <c r="N256" s="1" t="s">
        <v>181</v>
      </c>
      <c r="O256" s="1" t="s">
        <v>189</v>
      </c>
      <c r="P256" s="1" t="s">
        <v>276</v>
      </c>
      <c r="Q256" s="1" t="s">
        <v>277</v>
      </c>
      <c r="R256" s="7" t="s">
        <v>278</v>
      </c>
      <c r="S256" s="8">
        <v>1000000</v>
      </c>
    </row>
    <row r="257" spans="1:19" ht="19.75">
      <c r="B257" s="1" t="s">
        <v>29</v>
      </c>
      <c r="D257" s="10" t="str">
        <f>'[1]N-M'!L10</f>
        <v/>
      </c>
      <c r="L257" s="34" t="s">
        <v>312</v>
      </c>
      <c r="M257" s="4" t="s">
        <v>275</v>
      </c>
      <c r="N257" s="1" t="s">
        <v>181</v>
      </c>
      <c r="O257" s="1" t="s">
        <v>189</v>
      </c>
      <c r="P257" s="1" t="s">
        <v>276</v>
      </c>
      <c r="Q257" s="1" t="s">
        <v>277</v>
      </c>
      <c r="R257" s="7" t="s">
        <v>278</v>
      </c>
      <c r="S257" s="8">
        <v>1000000</v>
      </c>
    </row>
    <row r="258" spans="1:19" ht="30" customHeight="1">
      <c r="A258" s="11" t="s">
        <v>31</v>
      </c>
      <c r="L258" s="34" t="s">
        <v>313</v>
      </c>
      <c r="M258" s="4" t="s">
        <v>275</v>
      </c>
      <c r="N258" s="1" t="s">
        <v>181</v>
      </c>
      <c r="O258" s="1" t="s">
        <v>189</v>
      </c>
      <c r="P258" s="1" t="s">
        <v>276</v>
      </c>
      <c r="Q258" s="1" t="s">
        <v>277</v>
      </c>
      <c r="R258" s="7" t="s">
        <v>278</v>
      </c>
      <c r="S258" s="8">
        <v>1000000</v>
      </c>
    </row>
    <row r="259" spans="1:19" ht="39.75" customHeight="1">
      <c r="A259" s="15"/>
      <c r="B259" s="51" t="e">
        <f>"Tổ chức phát hành: "&amp;VLOOKUP('[1]N-M'!M10,$L$4:$T$341,2,0)</f>
        <v>#N/A</v>
      </c>
      <c r="C259" s="51"/>
      <c r="D259" s="51"/>
      <c r="E259" s="51"/>
      <c r="F259" s="52"/>
      <c r="G259" s="53" t="str">
        <f>"    Mã TP: "&amp;'[1]N-M'!M10</f>
        <v xml:space="preserve">    Mã TP: </v>
      </c>
      <c r="H259" s="54"/>
      <c r="I259" s="54"/>
      <c r="J259" s="55"/>
      <c r="L259" s="34" t="s">
        <v>314</v>
      </c>
      <c r="M259" s="4" t="s">
        <v>275</v>
      </c>
      <c r="N259" s="1" t="s">
        <v>181</v>
      </c>
      <c r="O259" s="1" t="s">
        <v>193</v>
      </c>
      <c r="P259" s="1" t="s">
        <v>276</v>
      </c>
      <c r="Q259" s="1" t="s">
        <v>277</v>
      </c>
      <c r="R259" s="7" t="s">
        <v>278</v>
      </c>
      <c r="S259" s="8">
        <v>1000000</v>
      </c>
    </row>
    <row r="260" spans="1:19" ht="28.5" customHeight="1">
      <c r="A260" s="16"/>
      <c r="B260" s="56" t="e">
        <f>"Ngày phát hành: "&amp;VLOOKUP('[1]N-M'!M10,$L$4:$S$341,3,0)</f>
        <v>#N/A</v>
      </c>
      <c r="C260" s="56"/>
      <c r="D260" s="56"/>
      <c r="E260" s="56"/>
      <c r="F260" s="48"/>
      <c r="G260" s="57" t="e">
        <f>"    Ngày đáo hạn: "&amp;VLOOKUP('[1]N-M'!M10,$L$4:$T$341,4,0)</f>
        <v>#N/A</v>
      </c>
      <c r="H260" s="57"/>
      <c r="I260" s="57"/>
      <c r="J260" s="57"/>
      <c r="L260" s="34" t="s">
        <v>315</v>
      </c>
      <c r="M260" s="4" t="s">
        <v>275</v>
      </c>
      <c r="N260" s="1" t="s">
        <v>181</v>
      </c>
      <c r="O260" s="1" t="s">
        <v>193</v>
      </c>
      <c r="P260" s="1" t="s">
        <v>276</v>
      </c>
      <c r="Q260" s="1" t="s">
        <v>277</v>
      </c>
      <c r="R260" s="7" t="s">
        <v>278</v>
      </c>
      <c r="S260" s="8">
        <v>1000000</v>
      </c>
    </row>
    <row r="261" spans="1:19" ht="63.65" customHeight="1">
      <c r="A261" s="15"/>
      <c r="B261" s="51" t="e">
        <f>"Coupon: Lãi suất cho kỳ tính lãi đầu tiên là "&amp;VLOOKUP('[1]N-M'!M10,$L$4:$T$341,5,0)&amp;". Lãi suất cho các kỳ tính lãi tiếp theo bằng lãi suất thRM chiếu cộng (+) biên độ "&amp;VLOOKUP('[1]N-M'!M10,$L$4:$T$341,6,0)</f>
        <v>#N/A</v>
      </c>
      <c r="C261" s="51"/>
      <c r="D261" s="51"/>
      <c r="E261" s="51"/>
      <c r="F261" s="52"/>
      <c r="G261" s="57" t="s">
        <v>41</v>
      </c>
      <c r="H261" s="57"/>
      <c r="I261" s="57"/>
      <c r="J261" s="57"/>
      <c r="L261" s="34" t="s">
        <v>316</v>
      </c>
      <c r="M261" s="4" t="s">
        <v>275</v>
      </c>
      <c r="N261" s="1" t="s">
        <v>181</v>
      </c>
      <c r="O261" s="1" t="s">
        <v>193</v>
      </c>
      <c r="P261" s="1" t="s">
        <v>276</v>
      </c>
      <c r="Q261" s="1" t="s">
        <v>277</v>
      </c>
      <c r="R261" s="7" t="s">
        <v>278</v>
      </c>
      <c r="S261" s="8">
        <v>1000000</v>
      </c>
    </row>
    <row r="262" spans="1:19" ht="36.75" customHeight="1">
      <c r="A262" s="15"/>
      <c r="B262" s="51" t="str">
        <f>"Hạn mức mua còn lại trước giao dịch: "&amp;TEXT('[1]N-M'!W10,"#,#")&amp;" đ"</f>
        <v>Hạn mức mua còn lại trước giao dịch:  đ</v>
      </c>
      <c r="C262" s="51"/>
      <c r="D262" s="51"/>
      <c r="E262" s="51"/>
      <c r="F262" s="52"/>
      <c r="G262" s="57" t="str">
        <f>"   Hạn mức cấp: "&amp;TEXT('[1]N-M'!T10,"#,#")&amp;" đ"</f>
        <v xml:space="preserve">   Hạn mức cấp:  đ</v>
      </c>
      <c r="H262" s="57"/>
      <c r="I262" s="57"/>
      <c r="J262" s="57"/>
      <c r="L262" s="34" t="s">
        <v>317</v>
      </c>
      <c r="M262" s="4" t="s">
        <v>275</v>
      </c>
      <c r="N262" s="1" t="s">
        <v>181</v>
      </c>
      <c r="O262" s="1" t="s">
        <v>197</v>
      </c>
      <c r="P262" s="1" t="s">
        <v>276</v>
      </c>
      <c r="Q262" s="1" t="s">
        <v>277</v>
      </c>
      <c r="R262" s="7" t="s">
        <v>278</v>
      </c>
      <c r="S262" s="8">
        <v>1000000</v>
      </c>
    </row>
    <row r="263" spans="1:19" ht="19.75">
      <c r="L263" s="34" t="s">
        <v>318</v>
      </c>
      <c r="M263" s="4" t="s">
        <v>275</v>
      </c>
      <c r="N263" s="1" t="s">
        <v>181</v>
      </c>
      <c r="O263" s="1" t="s">
        <v>197</v>
      </c>
      <c r="P263" s="1" t="s">
        <v>276</v>
      </c>
      <c r="Q263" s="1" t="s">
        <v>277</v>
      </c>
      <c r="R263" s="7" t="s">
        <v>278</v>
      </c>
      <c r="S263" s="8">
        <v>1000000</v>
      </c>
    </row>
    <row r="264" spans="1:19" ht="19.75">
      <c r="A264" s="11" t="s">
        <v>47</v>
      </c>
      <c r="L264" s="34" t="s">
        <v>319</v>
      </c>
      <c r="M264" s="4" t="s">
        <v>275</v>
      </c>
      <c r="N264" s="1" t="s">
        <v>181</v>
      </c>
      <c r="O264" s="1" t="s">
        <v>197</v>
      </c>
      <c r="P264" s="1" t="s">
        <v>276</v>
      </c>
      <c r="Q264" s="1" t="s">
        <v>277</v>
      </c>
      <c r="R264" s="7" t="s">
        <v>278</v>
      </c>
      <c r="S264" s="8">
        <v>1000000</v>
      </c>
    </row>
    <row r="265" spans="1:19" ht="19.75">
      <c r="B265" s="1" t="e">
        <f>"Số quyết định: "&amp;VLOOKUP('[1]N-M'!M10,'P-M'!$L$4:$R$100,7,0)</f>
        <v>#N/A</v>
      </c>
      <c r="L265" s="34" t="s">
        <v>320</v>
      </c>
      <c r="M265" s="4" t="s">
        <v>275</v>
      </c>
      <c r="N265" s="1" t="s">
        <v>181</v>
      </c>
      <c r="O265" s="1" t="s">
        <v>201</v>
      </c>
      <c r="P265" s="1" t="s">
        <v>276</v>
      </c>
      <c r="Q265" s="1" t="s">
        <v>277</v>
      </c>
      <c r="R265" s="7" t="s">
        <v>278</v>
      </c>
      <c r="S265" s="8">
        <v>1000000</v>
      </c>
    </row>
    <row r="266" spans="1:19" ht="19.75">
      <c r="A266" s="19"/>
      <c r="B266" s="48" t="str">
        <f>"Đối tác giao dịch: "&amp;'[1]N-M'!J10</f>
        <v xml:space="preserve">Đối tác giao dịch: </v>
      </c>
      <c r="C266" s="49"/>
      <c r="D266" s="49"/>
      <c r="E266" s="49"/>
      <c r="F266" s="49"/>
      <c r="G266" s="49"/>
      <c r="H266" s="49"/>
      <c r="I266" s="49"/>
      <c r="J266" s="49"/>
      <c r="L266" s="34" t="s">
        <v>321</v>
      </c>
      <c r="M266" s="4" t="s">
        <v>275</v>
      </c>
      <c r="N266" s="1" t="s">
        <v>181</v>
      </c>
      <c r="O266" s="1" t="s">
        <v>201</v>
      </c>
      <c r="P266" s="1" t="s">
        <v>276</v>
      </c>
      <c r="Q266" s="1" t="s">
        <v>277</v>
      </c>
      <c r="R266" s="7" t="s">
        <v>278</v>
      </c>
      <c r="S266" s="8">
        <v>1000000</v>
      </c>
    </row>
    <row r="267" spans="1:19" ht="19.75">
      <c r="A267" s="19"/>
      <c r="B267" s="48" t="str">
        <f>"Hợp đồng số: "&amp;'[1]N-M'!L10</f>
        <v xml:space="preserve">Hợp đồng số: </v>
      </c>
      <c r="C267" s="49"/>
      <c r="D267" s="49"/>
      <c r="E267" s="49"/>
      <c r="F267" s="49"/>
      <c r="G267" s="49"/>
      <c r="H267" s="49"/>
      <c r="I267" s="49"/>
      <c r="J267" s="49"/>
      <c r="L267" s="34" t="s">
        <v>322</v>
      </c>
      <c r="M267" s="4" t="s">
        <v>275</v>
      </c>
      <c r="N267" s="1" t="s">
        <v>181</v>
      </c>
      <c r="O267" s="1" t="s">
        <v>201</v>
      </c>
      <c r="P267" s="1" t="s">
        <v>276</v>
      </c>
      <c r="Q267" s="1" t="s">
        <v>277</v>
      </c>
      <c r="R267" s="7" t="s">
        <v>278</v>
      </c>
      <c r="S267" s="8">
        <v>1000000</v>
      </c>
    </row>
    <row r="268" spans="1:19" ht="19.75">
      <c r="A268" s="19"/>
      <c r="B268" s="48" t="str">
        <f ca="1">"Ngày giao dịch: "&amp;TEXT($M$1,"dd/mm/yyyy")</f>
        <v>Ngày giao dịch: 26/01/2021</v>
      </c>
      <c r="C268" s="49"/>
      <c r="D268" s="49"/>
      <c r="E268" s="49"/>
      <c r="F268" s="49" t="str">
        <f>"  CIF KH: "&amp;'[1]N-M'!O10</f>
        <v xml:space="preserve">  CIF KH: </v>
      </c>
      <c r="G268" s="49"/>
      <c r="H268" s="49"/>
      <c r="I268" s="49"/>
      <c r="J268" s="49"/>
      <c r="L268" s="34" t="s">
        <v>323</v>
      </c>
      <c r="M268" s="4" t="s">
        <v>275</v>
      </c>
      <c r="N268" s="30" t="s">
        <v>181</v>
      </c>
      <c r="O268" s="1" t="s">
        <v>182</v>
      </c>
      <c r="P268" s="1" t="s">
        <v>276</v>
      </c>
      <c r="Q268" s="1" t="s">
        <v>277</v>
      </c>
      <c r="R268" s="7" t="s">
        <v>278</v>
      </c>
      <c r="S268" s="8">
        <v>1000000</v>
      </c>
    </row>
    <row r="269" spans="1:19" ht="19.75">
      <c r="A269" s="19"/>
      <c r="B269" s="48" t="str">
        <f ca="1">"Ngày thanh toán: "&amp;TEXT($M$1,"dd/mm/yyyy")</f>
        <v>Ngày thanh toán: 26/01/2021</v>
      </c>
      <c r="C269" s="49"/>
      <c r="D269" s="49"/>
      <c r="E269" s="49"/>
      <c r="F269" s="49" t="s">
        <v>67</v>
      </c>
      <c r="G269" s="49"/>
      <c r="H269" s="49"/>
      <c r="I269" s="49"/>
      <c r="J269" s="49"/>
      <c r="L269" s="34" t="s">
        <v>324</v>
      </c>
      <c r="M269" s="4" t="s">
        <v>275</v>
      </c>
      <c r="N269" s="1" t="s">
        <v>181</v>
      </c>
      <c r="O269" s="1" t="s">
        <v>182</v>
      </c>
      <c r="P269" s="1" t="s">
        <v>276</v>
      </c>
      <c r="Q269" s="1" t="s">
        <v>277</v>
      </c>
      <c r="R269" s="7" t="s">
        <v>278</v>
      </c>
      <c r="S269" s="8">
        <v>1000000</v>
      </c>
    </row>
    <row r="270" spans="1:19" ht="19.75">
      <c r="A270" s="19"/>
      <c r="B270" s="48" t="str">
        <f>"Mã RM: "&amp;'[1]N-M'!B10</f>
        <v xml:space="preserve">Mã RM: </v>
      </c>
      <c r="C270" s="49"/>
      <c r="D270" s="49"/>
      <c r="E270" s="49"/>
      <c r="F270" s="49" t="str">
        <f>"  Mã đơn vị: "&amp;'[1]N-M'!H10</f>
        <v xml:space="preserve">  Mã đơn vị: </v>
      </c>
      <c r="G270" s="49"/>
      <c r="H270" s="49"/>
      <c r="I270" s="49"/>
      <c r="J270" s="49"/>
      <c r="L270" s="34" t="s">
        <v>325</v>
      </c>
      <c r="M270" s="4" t="s">
        <v>275</v>
      </c>
      <c r="N270" s="1" t="s">
        <v>181</v>
      </c>
      <c r="O270" s="1" t="s">
        <v>182</v>
      </c>
      <c r="P270" s="1" t="s">
        <v>276</v>
      </c>
      <c r="Q270" s="1" t="s">
        <v>277</v>
      </c>
      <c r="R270" s="7" t="s">
        <v>278</v>
      </c>
      <c r="S270" s="8">
        <v>1000000</v>
      </c>
    </row>
    <row r="271" spans="1:19" ht="19.75">
      <c r="A271" s="19"/>
      <c r="B271" s="48" t="str">
        <f>"Số lượng TP: "&amp;TEXT('[1]N-M'!Q10,"#,#")&amp;" TP"</f>
        <v>Số lượng TP:  TP</v>
      </c>
      <c r="C271" s="49"/>
      <c r="D271" s="49"/>
      <c r="E271" s="49"/>
      <c r="F271" s="49" t="str">
        <f>"  Giá thực hiện: "&amp;TEXT('[1]N-M'!R10,"##,#")&amp;" VNĐ/Trái phiếu"</f>
        <v xml:space="preserve">  Giá thực hiện:  VNĐ/Trái phiếu</v>
      </c>
      <c r="G271" s="49"/>
      <c r="H271" s="49"/>
      <c r="I271" s="49"/>
      <c r="J271" s="49"/>
      <c r="L271" s="34" t="s">
        <v>326</v>
      </c>
      <c r="M271" s="4" t="s">
        <v>275</v>
      </c>
      <c r="N271" s="1" t="s">
        <v>181</v>
      </c>
      <c r="O271" s="1" t="s">
        <v>189</v>
      </c>
      <c r="P271" s="1" t="s">
        <v>276</v>
      </c>
      <c r="Q271" s="1" t="s">
        <v>277</v>
      </c>
      <c r="R271" s="7" t="s">
        <v>278</v>
      </c>
      <c r="S271" s="8">
        <v>1000000</v>
      </c>
    </row>
    <row r="272" spans="1:19" ht="19.75">
      <c r="A272" s="19"/>
      <c r="B272" s="48" t="str">
        <f>"Tổng mệnh giá: "&amp;TEXT('[1]N-M'!S10,"##,#")&amp;" VND"</f>
        <v>Tổng mệnh giá:  VND</v>
      </c>
      <c r="C272" s="49"/>
      <c r="D272" s="49"/>
      <c r="E272" s="49"/>
      <c r="F272" s="49" t="str">
        <f>"  Tổng giá trị giao dịch: "&amp;TEXT('[1]N-M'!T10,"##,#")&amp;" VND"</f>
        <v xml:space="preserve">  Tổng giá trị giao dịch:  VND</v>
      </c>
      <c r="G272" s="49"/>
      <c r="H272" s="49"/>
      <c r="I272" s="49"/>
      <c r="J272" s="49"/>
      <c r="L272" s="34" t="s">
        <v>327</v>
      </c>
      <c r="M272" s="4" t="s">
        <v>275</v>
      </c>
      <c r="N272" s="1" t="s">
        <v>181</v>
      </c>
      <c r="O272" s="1" t="s">
        <v>189</v>
      </c>
      <c r="P272" s="1" t="s">
        <v>276</v>
      </c>
      <c r="Q272" s="1" t="s">
        <v>277</v>
      </c>
      <c r="R272" s="7" t="s">
        <v>278</v>
      </c>
      <c r="S272" s="8">
        <v>1000000</v>
      </c>
    </row>
    <row r="273" spans="1:19" ht="19.75">
      <c r="A273" s="19"/>
      <c r="B273" s="48" t="e">
        <f>"Tổng giá trị thanh toán: "&amp;TEXT('[1]N-M'!V10,"##,#")&amp;" VND"</f>
        <v>#VALUE!</v>
      </c>
      <c r="C273" s="49"/>
      <c r="D273" s="49"/>
      <c r="E273" s="49"/>
      <c r="F273" s="49"/>
      <c r="G273" s="49"/>
      <c r="H273" s="49"/>
      <c r="I273" s="49"/>
      <c r="J273" s="49"/>
      <c r="L273" s="34" t="s">
        <v>328</v>
      </c>
      <c r="M273" s="4" t="s">
        <v>275</v>
      </c>
      <c r="N273" s="1" t="s">
        <v>181</v>
      </c>
      <c r="O273" s="1" t="s">
        <v>189</v>
      </c>
      <c r="P273" s="1" t="s">
        <v>276</v>
      </c>
      <c r="Q273" s="1" t="s">
        <v>277</v>
      </c>
      <c r="R273" s="7" t="s">
        <v>278</v>
      </c>
      <c r="S273" s="8">
        <v>1000000</v>
      </c>
    </row>
    <row r="274" spans="1:19" ht="38.25" customHeight="1">
      <c r="F274" s="58" t="s">
        <v>368</v>
      </c>
      <c r="G274" s="46"/>
      <c r="H274" s="46"/>
      <c r="I274" s="46"/>
      <c r="J274" s="46"/>
      <c r="L274" s="34" t="s">
        <v>329</v>
      </c>
      <c r="M274" s="4" t="s">
        <v>275</v>
      </c>
      <c r="N274" s="1" t="s">
        <v>181</v>
      </c>
      <c r="O274" s="1" t="s">
        <v>193</v>
      </c>
      <c r="P274" s="1" t="s">
        <v>276</v>
      </c>
      <c r="Q274" s="1" t="s">
        <v>277</v>
      </c>
      <c r="R274" s="7" t="s">
        <v>278</v>
      </c>
      <c r="S274" s="8">
        <v>1000000</v>
      </c>
    </row>
    <row r="275" spans="1:19" ht="19.75">
      <c r="L275" s="34" t="s">
        <v>330</v>
      </c>
      <c r="M275" s="4" t="s">
        <v>275</v>
      </c>
      <c r="N275" s="1" t="s">
        <v>181</v>
      </c>
      <c r="O275" s="1" t="s">
        <v>193</v>
      </c>
      <c r="P275" s="1" t="s">
        <v>276</v>
      </c>
      <c r="Q275" s="1" t="s">
        <v>277</v>
      </c>
      <c r="R275" s="7" t="s">
        <v>278</v>
      </c>
      <c r="S275" s="8">
        <v>1000000</v>
      </c>
    </row>
    <row r="276" spans="1:19" ht="19.75">
      <c r="L276" s="34" t="s">
        <v>331</v>
      </c>
      <c r="M276" s="4" t="s">
        <v>275</v>
      </c>
      <c r="N276" s="1" t="s">
        <v>181</v>
      </c>
      <c r="O276" s="1" t="s">
        <v>193</v>
      </c>
      <c r="P276" s="1" t="s">
        <v>276</v>
      </c>
      <c r="Q276" s="1" t="s">
        <v>277</v>
      </c>
      <c r="R276" s="7" t="s">
        <v>278</v>
      </c>
      <c r="S276" s="8">
        <v>1000000</v>
      </c>
    </row>
    <row r="277" spans="1:19" ht="19.75">
      <c r="L277" s="34" t="s">
        <v>332</v>
      </c>
      <c r="M277" s="4" t="s">
        <v>275</v>
      </c>
      <c r="N277" s="1" t="s">
        <v>181</v>
      </c>
      <c r="O277" s="1" t="s">
        <v>197</v>
      </c>
      <c r="P277" s="1" t="s">
        <v>276</v>
      </c>
      <c r="Q277" s="1" t="s">
        <v>277</v>
      </c>
      <c r="R277" s="7" t="s">
        <v>278</v>
      </c>
      <c r="S277" s="8">
        <v>1000000</v>
      </c>
    </row>
    <row r="278" spans="1:19" ht="19.75">
      <c r="E278" s="1"/>
      <c r="F278" s="46" t="str">
        <f>F247</f>
        <v>Nguyễn Thế Dũng</v>
      </c>
      <c r="G278" s="46"/>
      <c r="H278" s="46"/>
      <c r="I278" s="46"/>
      <c r="J278" s="46"/>
      <c r="L278" s="34" t="s">
        <v>333</v>
      </c>
      <c r="M278" s="4" t="s">
        <v>275</v>
      </c>
      <c r="N278" s="1" t="s">
        <v>181</v>
      </c>
      <c r="O278" s="1" t="s">
        <v>197</v>
      </c>
      <c r="P278" s="1" t="s">
        <v>276</v>
      </c>
      <c r="Q278" s="1" t="s">
        <v>277</v>
      </c>
      <c r="R278" s="7" t="s">
        <v>278</v>
      </c>
      <c r="S278" s="8">
        <v>1000000</v>
      </c>
    </row>
    <row r="279" spans="1:19" ht="4.5" customHeight="1">
      <c r="E279" s="1"/>
      <c r="F279" s="21"/>
      <c r="G279" s="21"/>
      <c r="H279" s="21"/>
      <c r="I279" s="21"/>
      <c r="J279" s="21"/>
      <c r="L279" s="34" t="s">
        <v>334</v>
      </c>
      <c r="M279" s="4" t="s">
        <v>275</v>
      </c>
      <c r="N279" s="1" t="s">
        <v>181</v>
      </c>
      <c r="O279" s="1" t="s">
        <v>197</v>
      </c>
      <c r="P279" s="1" t="s">
        <v>276</v>
      </c>
      <c r="Q279" s="1" t="s">
        <v>277</v>
      </c>
      <c r="R279" s="7" t="s">
        <v>278</v>
      </c>
      <c r="S279" s="8">
        <v>1000000</v>
      </c>
    </row>
    <row r="280" spans="1:19" ht="19.75">
      <c r="I280" s="44" t="s">
        <v>0</v>
      </c>
      <c r="J280" s="44"/>
      <c r="L280" s="34" t="s">
        <v>335</v>
      </c>
      <c r="M280" s="4" t="s">
        <v>275</v>
      </c>
      <c r="N280" s="1" t="s">
        <v>181</v>
      </c>
      <c r="O280" s="1" t="s">
        <v>201</v>
      </c>
      <c r="P280" s="1" t="s">
        <v>276</v>
      </c>
      <c r="Q280" s="1" t="s">
        <v>277</v>
      </c>
      <c r="R280" s="7" t="s">
        <v>278</v>
      </c>
      <c r="S280" s="8">
        <v>1000000</v>
      </c>
    </row>
    <row r="281" spans="1:19" ht="19.75">
      <c r="E281" s="45" t="s">
        <v>2</v>
      </c>
      <c r="F281" s="45"/>
      <c r="G281" s="45"/>
      <c r="H281" s="45"/>
      <c r="I281" s="45"/>
      <c r="J281" s="45"/>
      <c r="L281" s="34" t="s">
        <v>336</v>
      </c>
      <c r="M281" s="4" t="s">
        <v>275</v>
      </c>
      <c r="N281" s="1" t="s">
        <v>181</v>
      </c>
      <c r="O281" s="1" t="s">
        <v>201</v>
      </c>
      <c r="P281" s="1" t="s">
        <v>276</v>
      </c>
      <c r="Q281" s="1" t="s">
        <v>277</v>
      </c>
      <c r="R281" s="7" t="s">
        <v>278</v>
      </c>
      <c r="S281" s="8">
        <v>1000000</v>
      </c>
    </row>
    <row r="282" spans="1:19" ht="19.75">
      <c r="E282" s="45" t="s">
        <v>3</v>
      </c>
      <c r="F282" s="45"/>
      <c r="G282" s="45"/>
      <c r="H282" s="45"/>
      <c r="I282" s="45"/>
      <c r="J282" s="45"/>
      <c r="L282" s="34" t="s">
        <v>337</v>
      </c>
      <c r="M282" s="4" t="s">
        <v>275</v>
      </c>
      <c r="N282" s="1" t="s">
        <v>181</v>
      </c>
      <c r="O282" s="1" t="s">
        <v>201</v>
      </c>
      <c r="P282" s="1" t="s">
        <v>276</v>
      </c>
      <c r="Q282" s="1" t="s">
        <v>277</v>
      </c>
      <c r="R282" s="7" t="s">
        <v>278</v>
      </c>
      <c r="S282" s="8">
        <v>1000000</v>
      </c>
    </row>
    <row r="283" spans="1:19" ht="19.75">
      <c r="E283" s="45"/>
      <c r="F283" s="45"/>
      <c r="G283" s="45"/>
      <c r="H283" s="45"/>
      <c r="I283" s="45"/>
      <c r="J283" s="45"/>
      <c r="L283" s="29" t="s">
        <v>338</v>
      </c>
      <c r="M283" s="4" t="s">
        <v>339</v>
      </c>
      <c r="N283" s="30" t="s">
        <v>181</v>
      </c>
      <c r="O283" s="1" t="s">
        <v>182</v>
      </c>
      <c r="P283" s="1" t="s">
        <v>183</v>
      </c>
      <c r="Q283" s="1" t="s">
        <v>340</v>
      </c>
      <c r="R283" s="7" t="s">
        <v>341</v>
      </c>
      <c r="S283" s="8">
        <v>1000000</v>
      </c>
    </row>
    <row r="284" spans="1:19" ht="19.75">
      <c r="B284" s="46" t="s">
        <v>12</v>
      </c>
      <c r="C284" s="46"/>
      <c r="D284" s="46"/>
      <c r="L284" s="29" t="s">
        <v>342</v>
      </c>
      <c r="M284" s="4" t="s">
        <v>339</v>
      </c>
      <c r="N284" s="1" t="s">
        <v>181</v>
      </c>
      <c r="O284" s="1" t="s">
        <v>182</v>
      </c>
      <c r="P284" s="1" t="s">
        <v>183</v>
      </c>
      <c r="Q284" s="1" t="s">
        <v>340</v>
      </c>
      <c r="R284" s="7" t="s">
        <v>341</v>
      </c>
      <c r="S284" s="8">
        <v>1000000</v>
      </c>
    </row>
    <row r="285" spans="1:19" ht="25.5" customHeight="1">
      <c r="E285" s="47" t="str">
        <f ca="1">"SỐ: "&amp;TEXT($M$1,"ddmm")&amp;CHAR(CODE($M$3)+9)&amp;"1"&amp;"/"&amp;YEAR($M$1)&amp;"/KDTPBL"</f>
        <v>SỐ: 2601J1/2021/KDTPBL</v>
      </c>
      <c r="F285" s="47"/>
      <c r="G285" s="47"/>
      <c r="H285" s="47"/>
      <c r="I285" s="47"/>
      <c r="J285" s="47"/>
      <c r="L285" s="29" t="s">
        <v>343</v>
      </c>
      <c r="M285" s="4" t="s">
        <v>339</v>
      </c>
      <c r="N285" s="1" t="s">
        <v>181</v>
      </c>
      <c r="O285" s="1" t="s">
        <v>182</v>
      </c>
      <c r="P285" s="1" t="s">
        <v>183</v>
      </c>
      <c r="Q285" s="1" t="s">
        <v>340</v>
      </c>
      <c r="R285" s="7" t="s">
        <v>341</v>
      </c>
      <c r="S285" s="8">
        <v>1000000</v>
      </c>
    </row>
    <row r="286" spans="1:19" ht="42.75" customHeight="1">
      <c r="B286" s="50" t="s">
        <v>17</v>
      </c>
      <c r="C286" s="50"/>
      <c r="D286" s="50"/>
      <c r="E286" s="50"/>
      <c r="F286" s="50"/>
      <c r="G286" s="50"/>
      <c r="H286" s="50"/>
      <c r="I286" s="50"/>
      <c r="J286" s="50"/>
      <c r="L286" s="29" t="s">
        <v>344</v>
      </c>
      <c r="M286" s="4" t="s">
        <v>339</v>
      </c>
      <c r="N286" s="1" t="s">
        <v>181</v>
      </c>
      <c r="O286" s="1" t="s">
        <v>189</v>
      </c>
      <c r="P286" s="1" t="s">
        <v>183</v>
      </c>
      <c r="Q286" s="1" t="s">
        <v>340</v>
      </c>
      <c r="R286" s="7" t="s">
        <v>341</v>
      </c>
      <c r="S286" s="8">
        <v>1000000</v>
      </c>
    </row>
    <row r="287" spans="1:19" ht="19.75">
      <c r="B287" s="1" t="s">
        <v>398</v>
      </c>
      <c r="F287" s="1" t="s">
        <v>399</v>
      </c>
      <c r="H287" s="1" t="s">
        <v>27</v>
      </c>
      <c r="L287" s="29" t="s">
        <v>345</v>
      </c>
      <c r="M287" s="4" t="s">
        <v>339</v>
      </c>
      <c r="N287" s="1" t="s">
        <v>181</v>
      </c>
      <c r="O287" s="1" t="s">
        <v>189</v>
      </c>
      <c r="P287" s="1" t="s">
        <v>183</v>
      </c>
      <c r="Q287" s="1" t="s">
        <v>340</v>
      </c>
      <c r="R287" s="7" t="s">
        <v>341</v>
      </c>
      <c r="S287" s="8">
        <v>1000000</v>
      </c>
    </row>
    <row r="288" spans="1:19" ht="19.75">
      <c r="B288" s="1" t="s">
        <v>29</v>
      </c>
      <c r="D288" s="10" t="str">
        <f>'[1]N-M'!L11</f>
        <v/>
      </c>
      <c r="L288" s="29" t="s">
        <v>346</v>
      </c>
      <c r="M288" s="4" t="s">
        <v>339</v>
      </c>
      <c r="N288" s="1" t="s">
        <v>181</v>
      </c>
      <c r="O288" s="1" t="s">
        <v>189</v>
      </c>
      <c r="P288" s="1" t="s">
        <v>183</v>
      </c>
      <c r="Q288" s="1" t="s">
        <v>340</v>
      </c>
      <c r="R288" s="7" t="s">
        <v>341</v>
      </c>
      <c r="S288" s="8">
        <v>1000000</v>
      </c>
    </row>
    <row r="289" spans="1:19" ht="30" customHeight="1">
      <c r="A289" s="11" t="s">
        <v>31</v>
      </c>
      <c r="L289" s="29" t="s">
        <v>347</v>
      </c>
      <c r="M289" s="4" t="s">
        <v>339</v>
      </c>
      <c r="N289" s="1" t="s">
        <v>181</v>
      </c>
      <c r="O289" s="1" t="s">
        <v>193</v>
      </c>
      <c r="P289" s="1" t="s">
        <v>183</v>
      </c>
      <c r="Q289" s="1" t="s">
        <v>340</v>
      </c>
      <c r="R289" s="7" t="s">
        <v>341</v>
      </c>
      <c r="S289" s="8">
        <v>1000000</v>
      </c>
    </row>
    <row r="290" spans="1:19" ht="39.75" customHeight="1">
      <c r="A290" s="15"/>
      <c r="B290" s="51" t="e">
        <f>"Tổ chức phát hành: "&amp;VLOOKUP('[1]N-M'!M11,$L$4:$T$341,2,0)</f>
        <v>#N/A</v>
      </c>
      <c r="C290" s="51"/>
      <c r="D290" s="51"/>
      <c r="E290" s="51"/>
      <c r="F290" s="52"/>
      <c r="G290" s="53" t="str">
        <f>"    Mã TP: "&amp;'[1]N-M'!M11</f>
        <v xml:space="preserve">    Mã TP: </v>
      </c>
      <c r="H290" s="54"/>
      <c r="I290" s="54"/>
      <c r="J290" s="55"/>
      <c r="L290" s="29" t="s">
        <v>348</v>
      </c>
      <c r="M290" s="4" t="s">
        <v>339</v>
      </c>
      <c r="N290" s="1" t="s">
        <v>181</v>
      </c>
      <c r="O290" s="1" t="s">
        <v>193</v>
      </c>
      <c r="P290" s="1" t="s">
        <v>183</v>
      </c>
      <c r="Q290" s="1" t="s">
        <v>340</v>
      </c>
      <c r="R290" s="7" t="s">
        <v>341</v>
      </c>
      <c r="S290" s="8">
        <v>1000000</v>
      </c>
    </row>
    <row r="291" spans="1:19" ht="28.5" customHeight="1">
      <c r="A291" s="16"/>
      <c r="B291" s="56" t="e">
        <f>"Ngày phát hành: "&amp;VLOOKUP('[1]N-M'!M11,$L$4:$S$341,3,0)</f>
        <v>#N/A</v>
      </c>
      <c r="C291" s="56"/>
      <c r="D291" s="56"/>
      <c r="E291" s="56"/>
      <c r="F291" s="48"/>
      <c r="G291" s="57" t="e">
        <f>"    Ngày đáo hạn: "&amp;VLOOKUP('[1]N-M'!M11,$L$4:$T$341,4,0)</f>
        <v>#N/A</v>
      </c>
      <c r="H291" s="57"/>
      <c r="I291" s="57"/>
      <c r="J291" s="57"/>
      <c r="L291" s="29" t="s">
        <v>349</v>
      </c>
      <c r="M291" s="4" t="s">
        <v>339</v>
      </c>
      <c r="N291" s="1" t="s">
        <v>181</v>
      </c>
      <c r="O291" s="1" t="s">
        <v>193</v>
      </c>
      <c r="P291" s="1" t="s">
        <v>183</v>
      </c>
      <c r="Q291" s="1" t="s">
        <v>340</v>
      </c>
      <c r="R291" s="7" t="s">
        <v>341</v>
      </c>
      <c r="S291" s="8">
        <v>1000000</v>
      </c>
    </row>
    <row r="292" spans="1:19" ht="63.65" customHeight="1">
      <c r="A292" s="15"/>
      <c r="B292" s="51" t="e">
        <f>"Coupon: Lãi suất cho kỳ tính lãi đầu tiên là "&amp;VLOOKUP('[1]N-M'!M11,$L$4:$T$341,5,0)&amp;". Lãi suất cho các kỳ tính lãi tiếp theo bằng lãi suất thRM chiếu cộng (+) biên độ "&amp;VLOOKUP('[1]N-M'!M11,$L$4:$T$341,6,0)</f>
        <v>#N/A</v>
      </c>
      <c r="C292" s="51"/>
      <c r="D292" s="51"/>
      <c r="E292" s="51"/>
      <c r="F292" s="52"/>
      <c r="G292" s="57" t="s">
        <v>41</v>
      </c>
      <c r="H292" s="57"/>
      <c r="I292" s="57"/>
      <c r="J292" s="57"/>
      <c r="L292" s="29" t="s">
        <v>350</v>
      </c>
      <c r="M292" s="4" t="s">
        <v>339</v>
      </c>
      <c r="N292" s="1" t="s">
        <v>181</v>
      </c>
      <c r="O292" s="1" t="s">
        <v>205</v>
      </c>
      <c r="P292" s="1" t="s">
        <v>183</v>
      </c>
      <c r="Q292" s="1" t="s">
        <v>340</v>
      </c>
      <c r="R292" s="7" t="s">
        <v>341</v>
      </c>
      <c r="S292" s="8">
        <v>1000000</v>
      </c>
    </row>
    <row r="293" spans="1:19" ht="36.75" customHeight="1">
      <c r="A293" s="15"/>
      <c r="B293" s="51" t="str">
        <f>"Hạn mức mua còn lại trước giao dịch: "&amp;TEXT('[1]N-M'!W11,"#,#")&amp;" đ"</f>
        <v>Hạn mức mua còn lại trước giao dịch:  đ</v>
      </c>
      <c r="C293" s="51"/>
      <c r="D293" s="51"/>
      <c r="E293" s="51"/>
      <c r="F293" s="52"/>
      <c r="G293" s="57" t="str">
        <f>"   Hạn mức cấp: "&amp;TEXT('[1]N-M'!T11,"#,#")&amp;" đ"</f>
        <v xml:space="preserve">   Hạn mức cấp:  đ</v>
      </c>
      <c r="H293" s="57"/>
      <c r="I293" s="57"/>
      <c r="J293" s="57"/>
      <c r="L293" s="29" t="s">
        <v>351</v>
      </c>
      <c r="M293" s="4" t="s">
        <v>339</v>
      </c>
      <c r="N293" s="1" t="s">
        <v>181</v>
      </c>
      <c r="O293" s="1" t="s">
        <v>205</v>
      </c>
      <c r="P293" s="1" t="s">
        <v>183</v>
      </c>
      <c r="Q293" s="1" t="s">
        <v>340</v>
      </c>
      <c r="R293" s="7" t="s">
        <v>341</v>
      </c>
      <c r="S293" s="8">
        <v>1000000</v>
      </c>
    </row>
    <row r="294" spans="1:19" ht="19.75">
      <c r="L294" s="29" t="s">
        <v>352</v>
      </c>
      <c r="M294" s="4" t="s">
        <v>339</v>
      </c>
      <c r="N294" s="1" t="s">
        <v>181</v>
      </c>
      <c r="O294" s="1" t="s">
        <v>205</v>
      </c>
      <c r="P294" s="1" t="s">
        <v>183</v>
      </c>
      <c r="Q294" s="1" t="s">
        <v>340</v>
      </c>
      <c r="R294" s="7" t="s">
        <v>341</v>
      </c>
      <c r="S294" s="8">
        <v>1000000</v>
      </c>
    </row>
    <row r="295" spans="1:19" ht="19.75">
      <c r="A295" s="11" t="s">
        <v>47</v>
      </c>
      <c r="L295" s="29" t="s">
        <v>353</v>
      </c>
      <c r="M295" s="4" t="s">
        <v>339</v>
      </c>
      <c r="N295" s="1" t="s">
        <v>181</v>
      </c>
      <c r="O295" s="1" t="s">
        <v>209</v>
      </c>
      <c r="P295" s="1" t="s">
        <v>183</v>
      </c>
      <c r="Q295" s="1" t="s">
        <v>340</v>
      </c>
      <c r="R295" s="7" t="s">
        <v>341</v>
      </c>
      <c r="S295" s="8">
        <v>1000000</v>
      </c>
    </row>
    <row r="296" spans="1:19" ht="19.75">
      <c r="B296" s="1" t="e">
        <f>"Số quyết định: "&amp;VLOOKUP('[1]N-M'!M11,'P-M'!$L$4:$R$341,7,0)</f>
        <v>#N/A</v>
      </c>
      <c r="L296" s="29" t="s">
        <v>354</v>
      </c>
      <c r="M296" s="4" t="s">
        <v>339</v>
      </c>
      <c r="N296" s="1" t="s">
        <v>181</v>
      </c>
      <c r="O296" s="1" t="s">
        <v>209</v>
      </c>
      <c r="P296" s="1" t="s">
        <v>183</v>
      </c>
      <c r="Q296" s="1" t="s">
        <v>340</v>
      </c>
      <c r="R296" s="7" t="s">
        <v>341</v>
      </c>
      <c r="S296" s="8">
        <v>1000000</v>
      </c>
    </row>
    <row r="297" spans="1:19" ht="19.75">
      <c r="A297" s="19"/>
      <c r="B297" s="48" t="str">
        <f>"Đối tác giao dịch: "&amp;'[1]N-M'!J11</f>
        <v xml:space="preserve">Đối tác giao dịch: </v>
      </c>
      <c r="C297" s="49"/>
      <c r="D297" s="49"/>
      <c r="E297" s="49"/>
      <c r="F297" s="49"/>
      <c r="G297" s="49"/>
      <c r="H297" s="49"/>
      <c r="I297" s="49"/>
      <c r="J297" s="49"/>
      <c r="L297" s="29" t="s">
        <v>355</v>
      </c>
      <c r="M297" s="4" t="s">
        <v>339</v>
      </c>
      <c r="N297" s="1" t="s">
        <v>181</v>
      </c>
      <c r="O297" s="1" t="s">
        <v>209</v>
      </c>
      <c r="P297" s="1" t="s">
        <v>183</v>
      </c>
      <c r="Q297" s="1" t="s">
        <v>340</v>
      </c>
      <c r="R297" s="7" t="s">
        <v>341</v>
      </c>
      <c r="S297" s="8">
        <v>1000000</v>
      </c>
    </row>
    <row r="298" spans="1:19" ht="19.75">
      <c r="A298" s="19"/>
      <c r="B298" s="48" t="str">
        <f>"Hợp đồng số: "&amp;'[1]N-M'!L11</f>
        <v xml:space="preserve">Hợp đồng số: </v>
      </c>
      <c r="C298" s="49"/>
      <c r="D298" s="49"/>
      <c r="E298" s="49"/>
      <c r="F298" s="49"/>
      <c r="G298" s="49"/>
      <c r="H298" s="49"/>
      <c r="I298" s="49"/>
      <c r="J298" s="49"/>
      <c r="L298" s="29" t="s">
        <v>356</v>
      </c>
      <c r="M298" s="4" t="s">
        <v>339</v>
      </c>
      <c r="N298" s="1" t="s">
        <v>181</v>
      </c>
      <c r="O298" s="1" t="s">
        <v>213</v>
      </c>
      <c r="P298" s="1" t="s">
        <v>183</v>
      </c>
      <c r="Q298" s="1" t="s">
        <v>340</v>
      </c>
      <c r="R298" s="7" t="s">
        <v>341</v>
      </c>
      <c r="S298" s="8">
        <v>1000000</v>
      </c>
    </row>
    <row r="299" spans="1:19" ht="19.75">
      <c r="A299" s="19"/>
      <c r="B299" s="48" t="str">
        <f ca="1">"Ngày giao dịch: "&amp;TEXT($M$1,"dd/mm/yyyy")</f>
        <v>Ngày giao dịch: 26/01/2021</v>
      </c>
      <c r="C299" s="49"/>
      <c r="D299" s="49"/>
      <c r="E299" s="49"/>
      <c r="F299" s="49" t="str">
        <f>"  CIF KH: "&amp;'[1]N-M'!O11</f>
        <v xml:space="preserve">  CIF KH: </v>
      </c>
      <c r="G299" s="49"/>
      <c r="H299" s="49"/>
      <c r="I299" s="49"/>
      <c r="J299" s="49"/>
      <c r="L299" s="29" t="s">
        <v>357</v>
      </c>
      <c r="M299" s="4" t="s">
        <v>339</v>
      </c>
      <c r="N299" s="1" t="s">
        <v>181</v>
      </c>
      <c r="O299" s="1" t="s">
        <v>213</v>
      </c>
      <c r="P299" s="1" t="s">
        <v>183</v>
      </c>
      <c r="Q299" s="1" t="s">
        <v>340</v>
      </c>
      <c r="R299" s="7" t="s">
        <v>341</v>
      </c>
      <c r="S299" s="8">
        <v>1000000</v>
      </c>
    </row>
    <row r="300" spans="1:19" ht="19.75">
      <c r="A300" s="19"/>
      <c r="B300" s="48" t="str">
        <f ca="1">"Ngày thanh toán: "&amp;TEXT($M$1,"dd/mm/yyyy")</f>
        <v>Ngày thanh toán: 26/01/2021</v>
      </c>
      <c r="C300" s="49"/>
      <c r="D300" s="49"/>
      <c r="E300" s="49"/>
      <c r="F300" s="49" t="s">
        <v>67</v>
      </c>
      <c r="G300" s="49"/>
      <c r="H300" s="49"/>
      <c r="I300" s="49"/>
      <c r="J300" s="49"/>
      <c r="L300" s="29" t="s">
        <v>358</v>
      </c>
      <c r="M300" s="4" t="s">
        <v>339</v>
      </c>
      <c r="N300" s="1" t="s">
        <v>181</v>
      </c>
      <c r="O300" s="1" t="s">
        <v>213</v>
      </c>
      <c r="P300" s="1" t="s">
        <v>183</v>
      </c>
      <c r="Q300" s="1" t="s">
        <v>340</v>
      </c>
      <c r="R300" s="7" t="s">
        <v>341</v>
      </c>
      <c r="S300" s="8">
        <v>1000000</v>
      </c>
    </row>
    <row r="301" spans="1:19" ht="19.75">
      <c r="A301" s="19"/>
      <c r="B301" s="48" t="str">
        <f>"Mã RM: "&amp;'[1]N-M'!B11</f>
        <v xml:space="preserve">Mã RM: </v>
      </c>
      <c r="C301" s="49"/>
      <c r="D301" s="49"/>
      <c r="E301" s="49"/>
      <c r="F301" s="49" t="str">
        <f>"  Mã đơn vị: "&amp;'[1]N-M'!H11</f>
        <v xml:space="preserve">  Mã đơn vị: </v>
      </c>
      <c r="G301" s="49"/>
      <c r="H301" s="49"/>
      <c r="I301" s="49"/>
      <c r="J301" s="49"/>
      <c r="L301" s="29" t="s">
        <v>359</v>
      </c>
      <c r="M301" s="4" t="s">
        <v>339</v>
      </c>
      <c r="N301" s="30" t="s">
        <v>181</v>
      </c>
      <c r="O301" s="1" t="s">
        <v>182</v>
      </c>
      <c r="P301" s="1" t="s">
        <v>183</v>
      </c>
      <c r="Q301" s="1" t="s">
        <v>340</v>
      </c>
      <c r="R301" s="7" t="s">
        <v>341</v>
      </c>
      <c r="S301" s="8">
        <v>1000000</v>
      </c>
    </row>
    <row r="302" spans="1:19" ht="19.75">
      <c r="A302" s="19"/>
      <c r="B302" s="48" t="str">
        <f>"Số lượng TP: "&amp;TEXT('[1]N-M'!Q11,"#,#")&amp;" TP"</f>
        <v>Số lượng TP:  TP</v>
      </c>
      <c r="C302" s="49"/>
      <c r="D302" s="49"/>
      <c r="E302" s="49"/>
      <c r="F302" s="49" t="str">
        <f>"  Giá thực hiện: "&amp;TEXT('[1]N-M'!R11,"##,#")&amp;" VNĐ/Trái phiếu"</f>
        <v xml:space="preserve">  Giá thực hiện:  VNĐ/Trái phiếu</v>
      </c>
      <c r="G302" s="49"/>
      <c r="H302" s="49"/>
      <c r="I302" s="49"/>
      <c r="J302" s="49"/>
      <c r="L302" s="29" t="s">
        <v>360</v>
      </c>
      <c r="M302" s="4" t="s">
        <v>339</v>
      </c>
      <c r="N302" s="1" t="s">
        <v>181</v>
      </c>
      <c r="O302" s="1" t="s">
        <v>182</v>
      </c>
      <c r="P302" s="1" t="s">
        <v>183</v>
      </c>
      <c r="Q302" s="1" t="s">
        <v>340</v>
      </c>
      <c r="R302" s="7" t="s">
        <v>341</v>
      </c>
      <c r="S302" s="8">
        <v>1000000</v>
      </c>
    </row>
    <row r="303" spans="1:19" ht="19.75">
      <c r="A303" s="19"/>
      <c r="B303" s="48" t="str">
        <f>"Tổng mệnh giá: "&amp;TEXT('[1]N-M'!S11,"##,#")&amp;" VND"</f>
        <v>Tổng mệnh giá:  VND</v>
      </c>
      <c r="C303" s="49"/>
      <c r="D303" s="49"/>
      <c r="E303" s="49"/>
      <c r="F303" s="49" t="str">
        <f>"  Tổng giá trị giao dịch: "&amp;TEXT('[1]N-M'!T11,"##,#")&amp;" VND"</f>
        <v xml:space="preserve">  Tổng giá trị giao dịch:  VND</v>
      </c>
      <c r="G303" s="49"/>
      <c r="H303" s="49"/>
      <c r="I303" s="49"/>
      <c r="J303" s="49"/>
      <c r="L303" s="29" t="s">
        <v>361</v>
      </c>
      <c r="M303" s="4" t="s">
        <v>339</v>
      </c>
      <c r="N303" s="1" t="s">
        <v>181</v>
      </c>
      <c r="O303" s="1" t="s">
        <v>182</v>
      </c>
      <c r="P303" s="1" t="s">
        <v>183</v>
      </c>
      <c r="Q303" s="1" t="s">
        <v>340</v>
      </c>
      <c r="R303" s="7" t="s">
        <v>341</v>
      </c>
      <c r="S303" s="8">
        <v>1000000</v>
      </c>
    </row>
    <row r="304" spans="1:19" ht="19.75">
      <c r="A304" s="19"/>
      <c r="B304" s="48" t="e">
        <f>"Tổng giá trị thanh toán: "&amp;TEXT('[1]N-M'!V11,"##,#")&amp;" VND"</f>
        <v>#VALUE!</v>
      </c>
      <c r="C304" s="49"/>
      <c r="D304" s="49"/>
      <c r="E304" s="49"/>
      <c r="F304" s="49"/>
      <c r="G304" s="49"/>
      <c r="H304" s="49"/>
      <c r="I304" s="49"/>
      <c r="J304" s="49"/>
      <c r="L304" s="29" t="s">
        <v>362</v>
      </c>
      <c r="M304" s="4" t="s">
        <v>339</v>
      </c>
      <c r="N304" s="1" t="s">
        <v>181</v>
      </c>
      <c r="O304" s="1" t="s">
        <v>189</v>
      </c>
      <c r="P304" s="1" t="s">
        <v>183</v>
      </c>
      <c r="Q304" s="1" t="s">
        <v>340</v>
      </c>
      <c r="R304" s="7" t="s">
        <v>341</v>
      </c>
      <c r="S304" s="8">
        <v>1000000</v>
      </c>
    </row>
    <row r="305" spans="1:19" ht="38.25" customHeight="1">
      <c r="F305" s="58" t="s">
        <v>368</v>
      </c>
      <c r="G305" s="46"/>
      <c r="H305" s="46"/>
      <c r="I305" s="46"/>
      <c r="J305" s="46"/>
      <c r="L305" s="29" t="s">
        <v>363</v>
      </c>
      <c r="M305" s="4" t="s">
        <v>339</v>
      </c>
      <c r="N305" s="1" t="s">
        <v>181</v>
      </c>
      <c r="O305" s="1" t="s">
        <v>189</v>
      </c>
      <c r="P305" s="1" t="s">
        <v>183</v>
      </c>
      <c r="Q305" s="1" t="s">
        <v>340</v>
      </c>
      <c r="R305" s="7" t="s">
        <v>341</v>
      </c>
      <c r="S305" s="8">
        <v>1000000</v>
      </c>
    </row>
    <row r="306" spans="1:19" ht="19.75">
      <c r="L306" s="29" t="s">
        <v>364</v>
      </c>
      <c r="M306" s="4" t="s">
        <v>339</v>
      </c>
      <c r="N306" s="1" t="s">
        <v>181</v>
      </c>
      <c r="O306" s="1" t="s">
        <v>189</v>
      </c>
      <c r="P306" s="1" t="s">
        <v>183</v>
      </c>
      <c r="Q306" s="1" t="s">
        <v>340</v>
      </c>
      <c r="R306" s="7" t="s">
        <v>341</v>
      </c>
      <c r="S306" s="8">
        <v>1000000</v>
      </c>
    </row>
    <row r="307" spans="1:19" ht="19.75">
      <c r="L307" s="29" t="s">
        <v>365</v>
      </c>
      <c r="M307" s="4" t="s">
        <v>339</v>
      </c>
      <c r="N307" s="1" t="s">
        <v>181</v>
      </c>
      <c r="O307" s="1" t="s">
        <v>193</v>
      </c>
      <c r="P307" s="1" t="s">
        <v>183</v>
      </c>
      <c r="Q307" s="1" t="s">
        <v>340</v>
      </c>
      <c r="R307" s="7" t="s">
        <v>341</v>
      </c>
      <c r="S307" s="8">
        <v>1000000</v>
      </c>
    </row>
    <row r="308" spans="1:19" ht="19.75">
      <c r="L308" s="29" t="s">
        <v>366</v>
      </c>
      <c r="M308" s="4" t="s">
        <v>339</v>
      </c>
      <c r="N308" s="1" t="s">
        <v>181</v>
      </c>
      <c r="O308" s="1" t="s">
        <v>193</v>
      </c>
      <c r="P308" s="1" t="s">
        <v>183</v>
      </c>
      <c r="Q308" s="1" t="s">
        <v>340</v>
      </c>
      <c r="R308" s="7" t="s">
        <v>341</v>
      </c>
      <c r="S308" s="8">
        <v>1000000</v>
      </c>
    </row>
    <row r="309" spans="1:19" ht="19.75">
      <c r="E309" s="1"/>
      <c r="F309" s="46" t="str">
        <f>F278</f>
        <v>Nguyễn Thế Dũng</v>
      </c>
      <c r="G309" s="46"/>
      <c r="H309" s="46"/>
      <c r="I309" s="46"/>
      <c r="J309" s="46"/>
      <c r="L309" s="29" t="s">
        <v>367</v>
      </c>
      <c r="M309" s="4" t="s">
        <v>339</v>
      </c>
      <c r="N309" s="1" t="s">
        <v>181</v>
      </c>
      <c r="O309" s="1" t="s">
        <v>193</v>
      </c>
      <c r="P309" s="1" t="s">
        <v>183</v>
      </c>
      <c r="Q309" s="1" t="s">
        <v>340</v>
      </c>
      <c r="R309" s="7" t="s">
        <v>341</v>
      </c>
      <c r="S309" s="8">
        <v>1000000</v>
      </c>
    </row>
    <row r="310" spans="1:19" ht="13.5" customHeight="1">
      <c r="E310" s="1"/>
      <c r="F310" s="21"/>
      <c r="G310" s="21"/>
      <c r="H310" s="21"/>
      <c r="I310" s="21"/>
      <c r="J310" s="21"/>
      <c r="L310" s="31" t="s">
        <v>369</v>
      </c>
      <c r="M310" s="4" t="s">
        <v>339</v>
      </c>
      <c r="N310" s="1" t="s">
        <v>181</v>
      </c>
      <c r="O310" s="1" t="s">
        <v>205</v>
      </c>
      <c r="P310" s="1" t="s">
        <v>183</v>
      </c>
      <c r="Q310" s="1" t="s">
        <v>340</v>
      </c>
      <c r="R310" s="7" t="s">
        <v>341</v>
      </c>
      <c r="S310" s="8">
        <v>1000000</v>
      </c>
    </row>
    <row r="311" spans="1:19" ht="19.75">
      <c r="I311" s="44" t="s">
        <v>0</v>
      </c>
      <c r="J311" s="44"/>
      <c r="L311" s="31" t="s">
        <v>370</v>
      </c>
      <c r="M311" s="4" t="s">
        <v>339</v>
      </c>
      <c r="N311" s="1" t="s">
        <v>181</v>
      </c>
      <c r="O311" s="1" t="s">
        <v>205</v>
      </c>
      <c r="P311" s="1" t="s">
        <v>183</v>
      </c>
      <c r="Q311" s="1" t="s">
        <v>340</v>
      </c>
      <c r="R311" s="7" t="s">
        <v>341</v>
      </c>
      <c r="S311" s="8">
        <v>1000000</v>
      </c>
    </row>
    <row r="312" spans="1:19" ht="19.75">
      <c r="E312" s="45" t="s">
        <v>2</v>
      </c>
      <c r="F312" s="45"/>
      <c r="G312" s="45"/>
      <c r="H312" s="45"/>
      <c r="I312" s="45"/>
      <c r="J312" s="45"/>
      <c r="L312" s="31" t="s">
        <v>371</v>
      </c>
      <c r="M312" s="4" t="s">
        <v>339</v>
      </c>
      <c r="N312" s="1" t="s">
        <v>181</v>
      </c>
      <c r="O312" s="1" t="s">
        <v>205</v>
      </c>
      <c r="P312" s="1" t="s">
        <v>183</v>
      </c>
      <c r="Q312" s="1" t="s">
        <v>340</v>
      </c>
      <c r="R312" s="7" t="s">
        <v>341</v>
      </c>
      <c r="S312" s="8">
        <v>1000000</v>
      </c>
    </row>
    <row r="313" spans="1:19" ht="19.75">
      <c r="E313" s="45" t="s">
        <v>3</v>
      </c>
      <c r="F313" s="45"/>
      <c r="G313" s="45"/>
      <c r="H313" s="45"/>
      <c r="I313" s="45"/>
      <c r="J313" s="45"/>
      <c r="L313" s="31" t="s">
        <v>372</v>
      </c>
      <c r="M313" s="4" t="s">
        <v>339</v>
      </c>
      <c r="N313" s="1" t="s">
        <v>181</v>
      </c>
      <c r="O313" s="1" t="s">
        <v>209</v>
      </c>
      <c r="P313" s="1" t="s">
        <v>183</v>
      </c>
      <c r="Q313" s="1" t="s">
        <v>340</v>
      </c>
      <c r="R313" s="7" t="s">
        <v>341</v>
      </c>
      <c r="S313" s="8">
        <v>1000000</v>
      </c>
    </row>
    <row r="314" spans="1:19" ht="19.75">
      <c r="E314" s="45"/>
      <c r="F314" s="45"/>
      <c r="G314" s="45"/>
      <c r="H314" s="45"/>
      <c r="I314" s="45"/>
      <c r="J314" s="45"/>
      <c r="L314" s="31" t="s">
        <v>373</v>
      </c>
      <c r="M314" s="4" t="s">
        <v>339</v>
      </c>
      <c r="N314" s="1" t="s">
        <v>181</v>
      </c>
      <c r="O314" s="1" t="s">
        <v>209</v>
      </c>
      <c r="P314" s="1" t="s">
        <v>183</v>
      </c>
      <c r="Q314" s="1" t="s">
        <v>340</v>
      </c>
      <c r="R314" s="7" t="s">
        <v>341</v>
      </c>
      <c r="S314" s="8">
        <v>1000000</v>
      </c>
    </row>
    <row r="315" spans="1:19" ht="19.75">
      <c r="B315" s="46" t="s">
        <v>12</v>
      </c>
      <c r="C315" s="46"/>
      <c r="D315" s="46"/>
      <c r="L315" s="31" t="s">
        <v>374</v>
      </c>
      <c r="M315" s="4" t="s">
        <v>339</v>
      </c>
      <c r="N315" s="1" t="s">
        <v>181</v>
      </c>
      <c r="O315" s="1" t="s">
        <v>209</v>
      </c>
      <c r="P315" s="1" t="s">
        <v>183</v>
      </c>
      <c r="Q315" s="1" t="s">
        <v>340</v>
      </c>
      <c r="R315" s="7" t="s">
        <v>341</v>
      </c>
      <c r="S315" s="8">
        <v>1000000</v>
      </c>
    </row>
    <row r="316" spans="1:19" ht="25.5" customHeight="1">
      <c r="E316" s="47" t="str">
        <f ca="1">"SỐ: "&amp;TEXT($M$1,"ddmm")&amp;CHAR(CODE($M$3)+10)&amp;"1"&amp;"/"&amp;YEAR($M$1)&amp;"/KDTPBL"</f>
        <v>SỐ: 2601K1/2021/KDTPBL</v>
      </c>
      <c r="F316" s="47"/>
      <c r="G316" s="47"/>
      <c r="H316" s="47"/>
      <c r="I316" s="47"/>
      <c r="J316" s="47"/>
      <c r="L316" s="31" t="s">
        <v>375</v>
      </c>
      <c r="M316" s="4" t="s">
        <v>339</v>
      </c>
      <c r="N316" s="1" t="s">
        <v>181</v>
      </c>
      <c r="O316" s="1" t="s">
        <v>213</v>
      </c>
      <c r="P316" s="1" t="s">
        <v>183</v>
      </c>
      <c r="Q316" s="1" t="s">
        <v>340</v>
      </c>
      <c r="R316" s="7" t="s">
        <v>341</v>
      </c>
      <c r="S316" s="8">
        <v>1000000</v>
      </c>
    </row>
    <row r="317" spans="1:19" ht="39.75" customHeight="1">
      <c r="B317" s="50" t="s">
        <v>17</v>
      </c>
      <c r="C317" s="50"/>
      <c r="D317" s="50"/>
      <c r="E317" s="50"/>
      <c r="F317" s="50"/>
      <c r="G317" s="50"/>
      <c r="H317" s="50"/>
      <c r="I317" s="50"/>
      <c r="J317" s="50"/>
      <c r="L317" s="31" t="s">
        <v>376</v>
      </c>
      <c r="M317" s="4" t="s">
        <v>339</v>
      </c>
      <c r="N317" s="1" t="s">
        <v>181</v>
      </c>
      <c r="O317" s="1" t="s">
        <v>213</v>
      </c>
      <c r="P317" s="1" t="s">
        <v>183</v>
      </c>
      <c r="Q317" s="1" t="s">
        <v>340</v>
      </c>
      <c r="R317" s="7" t="s">
        <v>341</v>
      </c>
      <c r="S317" s="8">
        <v>1000000</v>
      </c>
    </row>
    <row r="318" spans="1:19" ht="19.75">
      <c r="B318" s="1" t="s">
        <v>398</v>
      </c>
      <c r="F318" s="1" t="s">
        <v>399</v>
      </c>
      <c r="H318" s="1" t="s">
        <v>27</v>
      </c>
      <c r="L318" s="31" t="s">
        <v>377</v>
      </c>
      <c r="M318" s="4" t="s">
        <v>339</v>
      </c>
      <c r="N318" s="1" t="s">
        <v>181</v>
      </c>
      <c r="O318" s="1" t="s">
        <v>213</v>
      </c>
      <c r="P318" s="1" t="s">
        <v>183</v>
      </c>
      <c r="Q318" s="1" t="s">
        <v>340</v>
      </c>
      <c r="R318" s="7" t="s">
        <v>341</v>
      </c>
      <c r="S318" s="8">
        <v>1000000</v>
      </c>
    </row>
    <row r="319" spans="1:19" ht="19.75">
      <c r="B319" s="1" t="s">
        <v>29</v>
      </c>
      <c r="D319" s="10" t="str">
        <f>'[1]N-M'!L12</f>
        <v/>
      </c>
      <c r="L319" s="31" t="s">
        <v>378</v>
      </c>
      <c r="M319" s="4" t="s">
        <v>339</v>
      </c>
      <c r="N319" s="30" t="s">
        <v>181</v>
      </c>
      <c r="O319" s="1" t="s">
        <v>182</v>
      </c>
      <c r="P319" s="1" t="s">
        <v>183</v>
      </c>
      <c r="Q319" s="1" t="s">
        <v>340</v>
      </c>
      <c r="R319" s="7" t="s">
        <v>341</v>
      </c>
      <c r="S319" s="8">
        <v>1000000</v>
      </c>
    </row>
    <row r="320" spans="1:19" ht="30" customHeight="1">
      <c r="A320" s="11" t="s">
        <v>31</v>
      </c>
      <c r="L320" s="31" t="s">
        <v>379</v>
      </c>
      <c r="M320" s="4" t="s">
        <v>339</v>
      </c>
      <c r="N320" s="1" t="s">
        <v>181</v>
      </c>
      <c r="O320" s="1" t="s">
        <v>182</v>
      </c>
      <c r="P320" s="1" t="s">
        <v>183</v>
      </c>
      <c r="Q320" s="1" t="s">
        <v>340</v>
      </c>
      <c r="R320" s="7" t="s">
        <v>341</v>
      </c>
      <c r="S320" s="8">
        <v>1000000</v>
      </c>
    </row>
    <row r="321" spans="1:19" ht="39.75" customHeight="1">
      <c r="A321" s="15"/>
      <c r="B321" s="51" t="e">
        <f>"Tổ chức phát hành: "&amp;VLOOKUP('[1]N-M'!M12,$L$4:$T$341,2,0)</f>
        <v>#N/A</v>
      </c>
      <c r="C321" s="51"/>
      <c r="D321" s="51"/>
      <c r="E321" s="51"/>
      <c r="F321" s="52"/>
      <c r="G321" s="53" t="str">
        <f>"    Mã TP: "&amp;'[1]N-M'!M12</f>
        <v xml:space="preserve">    Mã TP: </v>
      </c>
      <c r="H321" s="54"/>
      <c r="I321" s="54"/>
      <c r="J321" s="55"/>
      <c r="L321" s="31" t="s">
        <v>380</v>
      </c>
      <c r="M321" s="4" t="s">
        <v>339</v>
      </c>
      <c r="N321" s="1" t="s">
        <v>181</v>
      </c>
      <c r="O321" s="1" t="s">
        <v>182</v>
      </c>
      <c r="P321" s="1" t="s">
        <v>183</v>
      </c>
      <c r="Q321" s="1" t="s">
        <v>340</v>
      </c>
      <c r="R321" s="7" t="s">
        <v>341</v>
      </c>
      <c r="S321" s="8">
        <v>1000000</v>
      </c>
    </row>
    <row r="322" spans="1:19" ht="28.5" customHeight="1">
      <c r="A322" s="16"/>
      <c r="B322" s="56" t="e">
        <f>"Ngày phát hành: "&amp;VLOOKUP('[1]N-M'!M12,$L$4:$S$341,3,0)</f>
        <v>#N/A</v>
      </c>
      <c r="C322" s="56"/>
      <c r="D322" s="56"/>
      <c r="E322" s="56"/>
      <c r="F322" s="48"/>
      <c r="G322" s="57" t="e">
        <f>"    Ngày đáo hạn: "&amp;VLOOKUP('[1]N-M'!M12,$L$4:$T$341,4,0)</f>
        <v>#N/A</v>
      </c>
      <c r="H322" s="57"/>
      <c r="I322" s="57"/>
      <c r="J322" s="57"/>
      <c r="L322" s="31" t="s">
        <v>381</v>
      </c>
      <c r="M322" s="4" t="s">
        <v>339</v>
      </c>
      <c r="N322" s="1" t="s">
        <v>181</v>
      </c>
      <c r="O322" s="1" t="s">
        <v>189</v>
      </c>
      <c r="P322" s="1" t="s">
        <v>183</v>
      </c>
      <c r="Q322" s="1" t="s">
        <v>340</v>
      </c>
      <c r="R322" s="7" t="s">
        <v>341</v>
      </c>
      <c r="S322" s="8">
        <v>1000000</v>
      </c>
    </row>
    <row r="323" spans="1:19" ht="63.65" customHeight="1">
      <c r="A323" s="15"/>
      <c r="B323" s="51" t="e">
        <f>"Coupon: Lãi suất cho kỳ tính lãi đầu tiên là "&amp;VLOOKUP('[1]N-M'!M12,$L$4:$T$341,5,0)&amp;". Lãi suất cho các kỳ tính lãi tiếp theo bằng lãi suất thRM chiếu cộng (+) biên độ "&amp;VLOOKUP('[1]N-M'!M12,$L$4:$T$341,6,0)</f>
        <v>#N/A</v>
      </c>
      <c r="C323" s="51"/>
      <c r="D323" s="51"/>
      <c r="E323" s="51"/>
      <c r="F323" s="52"/>
      <c r="G323" s="57" t="s">
        <v>41</v>
      </c>
      <c r="H323" s="57"/>
      <c r="I323" s="57"/>
      <c r="J323" s="57"/>
      <c r="L323" s="31" t="s">
        <v>382</v>
      </c>
      <c r="M323" s="4" t="s">
        <v>339</v>
      </c>
      <c r="N323" s="1" t="s">
        <v>181</v>
      </c>
      <c r="O323" s="1" t="s">
        <v>189</v>
      </c>
      <c r="P323" s="1" t="s">
        <v>183</v>
      </c>
      <c r="Q323" s="1" t="s">
        <v>340</v>
      </c>
      <c r="R323" s="7" t="s">
        <v>341</v>
      </c>
      <c r="S323" s="8">
        <v>1000000</v>
      </c>
    </row>
    <row r="324" spans="1:19" ht="36.75" customHeight="1">
      <c r="A324" s="15"/>
      <c r="B324" s="51" t="str">
        <f>"Hạn mức mua còn lại trước giao dịch: "&amp;TEXT('[1]N-M'!W12,"#,#")&amp;" đ"</f>
        <v>Hạn mức mua còn lại trước giao dịch:  đ</v>
      </c>
      <c r="C324" s="51"/>
      <c r="D324" s="51"/>
      <c r="E324" s="51"/>
      <c r="F324" s="52"/>
      <c r="G324" s="57" t="str">
        <f>"   Hạn mức cấp: "&amp;TEXT('[1]N-M'!T12,"#,#")&amp;" đ"</f>
        <v xml:space="preserve">   Hạn mức cấp:  đ</v>
      </c>
      <c r="H324" s="57"/>
      <c r="I324" s="57"/>
      <c r="J324" s="57"/>
      <c r="L324" s="31" t="s">
        <v>383</v>
      </c>
      <c r="M324" s="4" t="s">
        <v>339</v>
      </c>
      <c r="N324" s="1" t="s">
        <v>181</v>
      </c>
      <c r="O324" s="1" t="s">
        <v>189</v>
      </c>
      <c r="P324" s="1" t="s">
        <v>183</v>
      </c>
      <c r="Q324" s="1" t="s">
        <v>340</v>
      </c>
      <c r="R324" s="7" t="s">
        <v>341</v>
      </c>
      <c r="S324" s="8">
        <v>1000000</v>
      </c>
    </row>
    <row r="325" spans="1:19" ht="10.5" customHeight="1">
      <c r="L325" s="31" t="s">
        <v>384</v>
      </c>
      <c r="M325" s="4" t="s">
        <v>339</v>
      </c>
      <c r="N325" s="1" t="s">
        <v>181</v>
      </c>
      <c r="O325" s="1" t="s">
        <v>193</v>
      </c>
      <c r="P325" s="1" t="s">
        <v>183</v>
      </c>
      <c r="Q325" s="1" t="s">
        <v>340</v>
      </c>
      <c r="R325" s="7" t="s">
        <v>341</v>
      </c>
      <c r="S325" s="8">
        <v>1000000</v>
      </c>
    </row>
    <row r="326" spans="1:19" ht="19.75">
      <c r="A326" s="11" t="s">
        <v>47</v>
      </c>
      <c r="L326" s="31" t="s">
        <v>385</v>
      </c>
      <c r="M326" s="4" t="s">
        <v>339</v>
      </c>
      <c r="N326" s="1" t="s">
        <v>181</v>
      </c>
      <c r="O326" s="1" t="s">
        <v>193</v>
      </c>
      <c r="P326" s="1" t="s">
        <v>183</v>
      </c>
      <c r="Q326" s="1" t="s">
        <v>340</v>
      </c>
      <c r="R326" s="7" t="s">
        <v>341</v>
      </c>
      <c r="S326" s="8">
        <v>1000000</v>
      </c>
    </row>
    <row r="327" spans="1:19" ht="19.75">
      <c r="B327" s="1" t="e">
        <f>"Số quyết định: "&amp;VLOOKUP('[1]N-M'!M12,'P-M'!$L$4:$R$341,7,0)</f>
        <v>#N/A</v>
      </c>
      <c r="L327" s="31" t="s">
        <v>386</v>
      </c>
      <c r="M327" s="4" t="s">
        <v>339</v>
      </c>
      <c r="N327" s="1" t="s">
        <v>181</v>
      </c>
      <c r="O327" s="1" t="s">
        <v>193</v>
      </c>
      <c r="P327" s="1" t="s">
        <v>183</v>
      </c>
      <c r="Q327" s="1" t="s">
        <v>340</v>
      </c>
      <c r="R327" s="7" t="s">
        <v>341</v>
      </c>
      <c r="S327" s="8">
        <v>1000000</v>
      </c>
    </row>
    <row r="328" spans="1:19" ht="19.75">
      <c r="A328" s="19"/>
      <c r="B328" s="48" t="str">
        <f>"Đối tác giao dịch: "&amp;'[1]N-M'!J12</f>
        <v xml:space="preserve">Đối tác giao dịch: </v>
      </c>
      <c r="C328" s="49"/>
      <c r="D328" s="49"/>
      <c r="E328" s="49"/>
      <c r="F328" s="49"/>
      <c r="G328" s="49"/>
      <c r="H328" s="49"/>
      <c r="I328" s="49"/>
      <c r="J328" s="49"/>
      <c r="L328" s="31" t="s">
        <v>387</v>
      </c>
      <c r="M328" s="4" t="s">
        <v>339</v>
      </c>
      <c r="N328" s="1" t="s">
        <v>181</v>
      </c>
      <c r="O328" s="1" t="s">
        <v>205</v>
      </c>
      <c r="P328" s="1" t="s">
        <v>183</v>
      </c>
      <c r="Q328" s="1" t="s">
        <v>340</v>
      </c>
      <c r="R328" s="7" t="s">
        <v>341</v>
      </c>
      <c r="S328" s="8">
        <v>1000000</v>
      </c>
    </row>
    <row r="329" spans="1:19" ht="19.75">
      <c r="A329" s="19"/>
      <c r="B329" s="48" t="str">
        <f>"Hợp đồng số: "&amp;'[1]N-M'!L12</f>
        <v xml:space="preserve">Hợp đồng số: </v>
      </c>
      <c r="C329" s="49"/>
      <c r="D329" s="49"/>
      <c r="E329" s="49"/>
      <c r="F329" s="49"/>
      <c r="G329" s="49"/>
      <c r="H329" s="49"/>
      <c r="I329" s="49"/>
      <c r="J329" s="49"/>
      <c r="L329" s="31" t="s">
        <v>388</v>
      </c>
      <c r="M329" s="4" t="s">
        <v>339</v>
      </c>
      <c r="N329" s="1" t="s">
        <v>181</v>
      </c>
      <c r="O329" s="1" t="s">
        <v>205</v>
      </c>
      <c r="P329" s="1" t="s">
        <v>183</v>
      </c>
      <c r="Q329" s="1" t="s">
        <v>340</v>
      </c>
      <c r="R329" s="7" t="s">
        <v>341</v>
      </c>
      <c r="S329" s="8">
        <v>1000000</v>
      </c>
    </row>
    <row r="330" spans="1:19" ht="19.75">
      <c r="A330" s="19"/>
      <c r="B330" s="48" t="str">
        <f ca="1">"Ngày giao dịch: "&amp;TEXT($M$1,"dd/mm/yyyy")</f>
        <v>Ngày giao dịch: 26/01/2021</v>
      </c>
      <c r="C330" s="49"/>
      <c r="D330" s="49"/>
      <c r="E330" s="49"/>
      <c r="F330" s="49" t="str">
        <f>"  CIF KH: "&amp;'[1]N-M'!O12</f>
        <v xml:space="preserve">  CIF KH: </v>
      </c>
      <c r="G330" s="49"/>
      <c r="H330" s="49"/>
      <c r="I330" s="49"/>
      <c r="J330" s="49"/>
      <c r="L330" s="31" t="s">
        <v>389</v>
      </c>
      <c r="M330" s="4" t="s">
        <v>339</v>
      </c>
      <c r="N330" s="1" t="s">
        <v>181</v>
      </c>
      <c r="O330" s="1" t="s">
        <v>205</v>
      </c>
      <c r="P330" s="1" t="s">
        <v>183</v>
      </c>
      <c r="Q330" s="1" t="s">
        <v>340</v>
      </c>
      <c r="R330" s="7" t="s">
        <v>341</v>
      </c>
      <c r="S330" s="8">
        <v>1000000</v>
      </c>
    </row>
    <row r="331" spans="1:19" ht="19.75">
      <c r="A331" s="19"/>
      <c r="B331" s="48" t="str">
        <f ca="1">"Ngày thanh toán: "&amp;TEXT($M$1,"dd/mm/yyyy")</f>
        <v>Ngày thanh toán: 26/01/2021</v>
      </c>
      <c r="C331" s="49"/>
      <c r="D331" s="49"/>
      <c r="E331" s="49"/>
      <c r="F331" s="49" t="s">
        <v>67</v>
      </c>
      <c r="G331" s="49"/>
      <c r="H331" s="49"/>
      <c r="I331" s="49"/>
      <c r="J331" s="49"/>
      <c r="L331" s="31" t="s">
        <v>390</v>
      </c>
      <c r="M331" s="4" t="s">
        <v>339</v>
      </c>
      <c r="N331" s="1" t="s">
        <v>181</v>
      </c>
      <c r="O331" s="1" t="s">
        <v>209</v>
      </c>
      <c r="P331" s="1" t="s">
        <v>183</v>
      </c>
      <c r="Q331" s="1" t="s">
        <v>340</v>
      </c>
      <c r="R331" s="7" t="s">
        <v>341</v>
      </c>
      <c r="S331" s="8">
        <v>1000000</v>
      </c>
    </row>
    <row r="332" spans="1:19" ht="19.75">
      <c r="A332" s="19"/>
      <c r="B332" s="48" t="str">
        <f>"Mã RM: "&amp;'[1]N-M'!B12</f>
        <v xml:space="preserve">Mã RM: </v>
      </c>
      <c r="C332" s="49"/>
      <c r="D332" s="49"/>
      <c r="E332" s="49"/>
      <c r="F332" s="49" t="str">
        <f>"  Mã đơn vị: "&amp;'[1]N-M'!H12</f>
        <v xml:space="preserve">  Mã đơn vị: </v>
      </c>
      <c r="G332" s="49"/>
      <c r="H332" s="49"/>
      <c r="I332" s="49"/>
      <c r="J332" s="49"/>
      <c r="L332" s="31" t="s">
        <v>391</v>
      </c>
      <c r="M332" s="4" t="s">
        <v>339</v>
      </c>
      <c r="N332" s="1" t="s">
        <v>181</v>
      </c>
      <c r="O332" s="1" t="s">
        <v>209</v>
      </c>
      <c r="P332" s="1" t="s">
        <v>183</v>
      </c>
      <c r="Q332" s="1" t="s">
        <v>340</v>
      </c>
      <c r="R332" s="7" t="s">
        <v>341</v>
      </c>
      <c r="S332" s="8">
        <v>1000000</v>
      </c>
    </row>
    <row r="333" spans="1:19" ht="19.75">
      <c r="A333" s="19"/>
      <c r="B333" s="48" t="str">
        <f>"Số lượng TP: "&amp;TEXT('[1]N-M'!Q12,"#,#")&amp;" TP"</f>
        <v>Số lượng TP:  TP</v>
      </c>
      <c r="C333" s="49"/>
      <c r="D333" s="49"/>
      <c r="E333" s="49"/>
      <c r="F333" s="49" t="str">
        <f>"  Giá thực hiện: "&amp;TEXT('[1]N-M'!R12,"##,#")&amp;" VNĐ/Trái phiếu"</f>
        <v xml:space="preserve">  Giá thực hiện:  VNĐ/Trái phiếu</v>
      </c>
      <c r="G333" s="49"/>
      <c r="H333" s="49"/>
      <c r="I333" s="49"/>
      <c r="J333" s="49"/>
      <c r="L333" s="31" t="s">
        <v>392</v>
      </c>
      <c r="M333" s="4" t="s">
        <v>339</v>
      </c>
      <c r="N333" s="1" t="s">
        <v>181</v>
      </c>
      <c r="O333" s="1" t="s">
        <v>209</v>
      </c>
      <c r="P333" s="1" t="s">
        <v>183</v>
      </c>
      <c r="Q333" s="1" t="s">
        <v>340</v>
      </c>
      <c r="R333" s="7" t="s">
        <v>341</v>
      </c>
      <c r="S333" s="8">
        <v>1000000</v>
      </c>
    </row>
    <row r="334" spans="1:19" ht="19.75">
      <c r="A334" s="19"/>
      <c r="B334" s="48" t="str">
        <f>"Tổng mệnh giá: "&amp;TEXT('[1]N-M'!S12,"##,#")&amp;" VND"</f>
        <v>Tổng mệnh giá:  VND</v>
      </c>
      <c r="C334" s="49"/>
      <c r="D334" s="49"/>
      <c r="E334" s="49"/>
      <c r="F334" s="49" t="str">
        <f>"  Tổng giá trị giao dịch: "&amp;TEXT('[1]N-M'!T12,"##,#")&amp;" VND"</f>
        <v xml:space="preserve">  Tổng giá trị giao dịch:  VND</v>
      </c>
      <c r="G334" s="49"/>
      <c r="H334" s="49"/>
      <c r="I334" s="49"/>
      <c r="J334" s="49"/>
      <c r="L334" s="31" t="s">
        <v>393</v>
      </c>
      <c r="M334" s="4" t="s">
        <v>339</v>
      </c>
      <c r="N334" s="1" t="s">
        <v>181</v>
      </c>
      <c r="O334" s="1" t="s">
        <v>213</v>
      </c>
      <c r="P334" s="1" t="s">
        <v>183</v>
      </c>
      <c r="Q334" s="1" t="s">
        <v>340</v>
      </c>
      <c r="R334" s="7" t="s">
        <v>341</v>
      </c>
      <c r="S334" s="8">
        <v>1000000</v>
      </c>
    </row>
    <row r="335" spans="1:19" ht="19.75">
      <c r="A335" s="19"/>
      <c r="B335" s="48" t="e">
        <f>"Tổng giá trị thanh toán: "&amp;TEXT('[1]N-M'!V12,"##,#")&amp;" VND"</f>
        <v>#VALUE!</v>
      </c>
      <c r="C335" s="49"/>
      <c r="D335" s="49"/>
      <c r="E335" s="49"/>
      <c r="F335" s="49"/>
      <c r="G335" s="49"/>
      <c r="H335" s="49"/>
      <c r="I335" s="49"/>
      <c r="J335" s="49"/>
      <c r="L335" s="31" t="s">
        <v>394</v>
      </c>
      <c r="M335" s="4" t="s">
        <v>339</v>
      </c>
      <c r="N335" s="1" t="s">
        <v>181</v>
      </c>
      <c r="O335" s="1" t="s">
        <v>213</v>
      </c>
      <c r="P335" s="1" t="s">
        <v>183</v>
      </c>
      <c r="Q335" s="1" t="s">
        <v>340</v>
      </c>
      <c r="R335" s="7" t="s">
        <v>341</v>
      </c>
      <c r="S335" s="8">
        <v>1000000</v>
      </c>
    </row>
    <row r="336" spans="1:19" ht="38.25" customHeight="1">
      <c r="F336" s="58" t="s">
        <v>74</v>
      </c>
      <c r="G336" s="46"/>
      <c r="H336" s="46"/>
      <c r="I336" s="46"/>
      <c r="J336" s="46"/>
      <c r="L336" s="31" t="s">
        <v>395</v>
      </c>
      <c r="M336" s="4" t="s">
        <v>339</v>
      </c>
      <c r="N336" s="1" t="s">
        <v>181</v>
      </c>
      <c r="O336" s="1" t="s">
        <v>213</v>
      </c>
      <c r="P336" s="1" t="s">
        <v>183</v>
      </c>
      <c r="Q336" s="1" t="s">
        <v>340</v>
      </c>
      <c r="R336" s="7" t="s">
        <v>341</v>
      </c>
      <c r="S336" s="8">
        <v>1000000</v>
      </c>
    </row>
    <row r="338" spans="5:10" ht="18" customHeight="1"/>
    <row r="339" spans="5:10" ht="13.5" customHeight="1"/>
    <row r="340" spans="5:10">
      <c r="E340" s="1"/>
      <c r="F340" s="46" t="str">
        <f>F309</f>
        <v>Nguyễn Thế Dũng</v>
      </c>
      <c r="G340" s="46"/>
      <c r="H340" s="46"/>
      <c r="I340" s="46"/>
      <c r="J340" s="46"/>
    </row>
    <row r="341" spans="5:10" ht="9" customHeight="1"/>
  </sheetData>
  <mergeCells count="330">
    <mergeCell ref="B334:E334"/>
    <mergeCell ref="F334:J334"/>
    <mergeCell ref="B335:J335"/>
    <mergeCell ref="F336:J336"/>
    <mergeCell ref="F340:J340"/>
    <mergeCell ref="B331:E331"/>
    <mergeCell ref="F331:J331"/>
    <mergeCell ref="B332:E332"/>
    <mergeCell ref="F332:J332"/>
    <mergeCell ref="B333:E333"/>
    <mergeCell ref="F333:J333"/>
    <mergeCell ref="B324:F324"/>
    <mergeCell ref="G324:J324"/>
    <mergeCell ref="B328:J328"/>
    <mergeCell ref="B329:J329"/>
    <mergeCell ref="B330:E330"/>
    <mergeCell ref="F330:J330"/>
    <mergeCell ref="B321:F321"/>
    <mergeCell ref="G321:J321"/>
    <mergeCell ref="B322:F322"/>
    <mergeCell ref="G322:J322"/>
    <mergeCell ref="B323:F323"/>
    <mergeCell ref="G323:J323"/>
    <mergeCell ref="E312:J312"/>
    <mergeCell ref="E313:J313"/>
    <mergeCell ref="E314:J314"/>
    <mergeCell ref="B315:D315"/>
    <mergeCell ref="E316:J316"/>
    <mergeCell ref="B317:J317"/>
    <mergeCell ref="B303:E303"/>
    <mergeCell ref="F303:J303"/>
    <mergeCell ref="B304:J304"/>
    <mergeCell ref="F305:J305"/>
    <mergeCell ref="F309:J309"/>
    <mergeCell ref="I311:J311"/>
    <mergeCell ref="B300:E300"/>
    <mergeCell ref="F300:J300"/>
    <mergeCell ref="B301:E301"/>
    <mergeCell ref="F301:J301"/>
    <mergeCell ref="B302:E302"/>
    <mergeCell ref="F302:J302"/>
    <mergeCell ref="B293:F293"/>
    <mergeCell ref="G293:J293"/>
    <mergeCell ref="B297:J297"/>
    <mergeCell ref="B298:J298"/>
    <mergeCell ref="B299:E299"/>
    <mergeCell ref="F299:J299"/>
    <mergeCell ref="B290:F290"/>
    <mergeCell ref="G290:J290"/>
    <mergeCell ref="B291:F291"/>
    <mergeCell ref="G291:J291"/>
    <mergeCell ref="B292:F292"/>
    <mergeCell ref="G292:J292"/>
    <mergeCell ref="E281:J281"/>
    <mergeCell ref="E282:J282"/>
    <mergeCell ref="E283:J283"/>
    <mergeCell ref="B284:D284"/>
    <mergeCell ref="E285:J285"/>
    <mergeCell ref="B286:J286"/>
    <mergeCell ref="B272:E272"/>
    <mergeCell ref="F272:J272"/>
    <mergeCell ref="B273:J273"/>
    <mergeCell ref="F274:J274"/>
    <mergeCell ref="F278:J278"/>
    <mergeCell ref="I280:J280"/>
    <mergeCell ref="B269:E269"/>
    <mergeCell ref="F269:J269"/>
    <mergeCell ref="B270:E270"/>
    <mergeCell ref="F270:J270"/>
    <mergeCell ref="B271:E271"/>
    <mergeCell ref="F271:J271"/>
    <mergeCell ref="B262:F262"/>
    <mergeCell ref="G262:J262"/>
    <mergeCell ref="B266:J266"/>
    <mergeCell ref="B267:J267"/>
    <mergeCell ref="B268:E268"/>
    <mergeCell ref="F268:J268"/>
    <mergeCell ref="B259:F259"/>
    <mergeCell ref="G259:J259"/>
    <mergeCell ref="B260:F260"/>
    <mergeCell ref="G260:J260"/>
    <mergeCell ref="B261:F261"/>
    <mergeCell ref="G261:J261"/>
    <mergeCell ref="E250:J250"/>
    <mergeCell ref="E251:J251"/>
    <mergeCell ref="E252:J252"/>
    <mergeCell ref="B253:D253"/>
    <mergeCell ref="E254:J254"/>
    <mergeCell ref="B255:J255"/>
    <mergeCell ref="B241:E241"/>
    <mergeCell ref="F241:J241"/>
    <mergeCell ref="B242:J242"/>
    <mergeCell ref="F243:J243"/>
    <mergeCell ref="F247:J247"/>
    <mergeCell ref="I249:J249"/>
    <mergeCell ref="B238:E238"/>
    <mergeCell ref="F238:J238"/>
    <mergeCell ref="B239:E239"/>
    <mergeCell ref="F239:J239"/>
    <mergeCell ref="B240:E240"/>
    <mergeCell ref="F240:J240"/>
    <mergeCell ref="B231:F231"/>
    <mergeCell ref="G231:J231"/>
    <mergeCell ref="B235:J235"/>
    <mergeCell ref="B236:J236"/>
    <mergeCell ref="B237:E237"/>
    <mergeCell ref="F237:J237"/>
    <mergeCell ref="B228:F228"/>
    <mergeCell ref="G228:J228"/>
    <mergeCell ref="B229:F229"/>
    <mergeCell ref="G229:J229"/>
    <mergeCell ref="B230:F230"/>
    <mergeCell ref="G230:J230"/>
    <mergeCell ref="E219:J219"/>
    <mergeCell ref="E220:J220"/>
    <mergeCell ref="E221:J221"/>
    <mergeCell ref="B222:D222"/>
    <mergeCell ref="E223:J223"/>
    <mergeCell ref="B224:J224"/>
    <mergeCell ref="B210:E210"/>
    <mergeCell ref="F210:J210"/>
    <mergeCell ref="B211:J211"/>
    <mergeCell ref="F212:J212"/>
    <mergeCell ref="F216:J216"/>
    <mergeCell ref="I218:J218"/>
    <mergeCell ref="B207:E207"/>
    <mergeCell ref="F207:J207"/>
    <mergeCell ref="B208:E208"/>
    <mergeCell ref="F208:J208"/>
    <mergeCell ref="B209:E209"/>
    <mergeCell ref="F209:J209"/>
    <mergeCell ref="B200:F200"/>
    <mergeCell ref="G200:J200"/>
    <mergeCell ref="B204:J204"/>
    <mergeCell ref="B205:J205"/>
    <mergeCell ref="B206:E206"/>
    <mergeCell ref="F206:J206"/>
    <mergeCell ref="B197:F197"/>
    <mergeCell ref="G197:J197"/>
    <mergeCell ref="B198:F198"/>
    <mergeCell ref="G198:J198"/>
    <mergeCell ref="B199:F199"/>
    <mergeCell ref="G199:J199"/>
    <mergeCell ref="E188:J188"/>
    <mergeCell ref="E189:J189"/>
    <mergeCell ref="E190:J190"/>
    <mergeCell ref="B191:D191"/>
    <mergeCell ref="E192:J192"/>
    <mergeCell ref="B193:J193"/>
    <mergeCell ref="B179:E179"/>
    <mergeCell ref="F179:J179"/>
    <mergeCell ref="B180:J180"/>
    <mergeCell ref="F181:J181"/>
    <mergeCell ref="F185:J185"/>
    <mergeCell ref="I187:J187"/>
    <mergeCell ref="B176:E176"/>
    <mergeCell ref="F176:J176"/>
    <mergeCell ref="B177:E177"/>
    <mergeCell ref="F177:J177"/>
    <mergeCell ref="B178:E178"/>
    <mergeCell ref="F178:J178"/>
    <mergeCell ref="B169:F169"/>
    <mergeCell ref="G169:J169"/>
    <mergeCell ref="B173:J173"/>
    <mergeCell ref="B174:J174"/>
    <mergeCell ref="B175:E175"/>
    <mergeCell ref="F175:J175"/>
    <mergeCell ref="B166:F166"/>
    <mergeCell ref="G166:J166"/>
    <mergeCell ref="B167:F167"/>
    <mergeCell ref="G167:J167"/>
    <mergeCell ref="B168:F168"/>
    <mergeCell ref="G168:J168"/>
    <mergeCell ref="E157:J157"/>
    <mergeCell ref="E158:J158"/>
    <mergeCell ref="E159:J159"/>
    <mergeCell ref="B160:D160"/>
    <mergeCell ref="E161:J161"/>
    <mergeCell ref="B162:J162"/>
    <mergeCell ref="B148:E148"/>
    <mergeCell ref="F148:J148"/>
    <mergeCell ref="B149:J149"/>
    <mergeCell ref="F150:J150"/>
    <mergeCell ref="F154:J154"/>
    <mergeCell ref="I156:J156"/>
    <mergeCell ref="B145:E145"/>
    <mergeCell ref="F145:J145"/>
    <mergeCell ref="B146:E146"/>
    <mergeCell ref="F146:J146"/>
    <mergeCell ref="B147:E147"/>
    <mergeCell ref="F147:J147"/>
    <mergeCell ref="B138:F138"/>
    <mergeCell ref="G138:J138"/>
    <mergeCell ref="B142:J142"/>
    <mergeCell ref="B143:J143"/>
    <mergeCell ref="B144:E144"/>
    <mergeCell ref="F144:J144"/>
    <mergeCell ref="B135:F135"/>
    <mergeCell ref="G135:J135"/>
    <mergeCell ref="B136:F136"/>
    <mergeCell ref="G136:J136"/>
    <mergeCell ref="B137:F137"/>
    <mergeCell ref="G137:J137"/>
    <mergeCell ref="E126:J126"/>
    <mergeCell ref="E127:J127"/>
    <mergeCell ref="E128:J128"/>
    <mergeCell ref="B129:D129"/>
    <mergeCell ref="E130:J130"/>
    <mergeCell ref="B131:J131"/>
    <mergeCell ref="B117:E117"/>
    <mergeCell ref="F117:J117"/>
    <mergeCell ref="B118:J118"/>
    <mergeCell ref="F119:J119"/>
    <mergeCell ref="F123:J123"/>
    <mergeCell ref="I125:J125"/>
    <mergeCell ref="B114:E114"/>
    <mergeCell ref="F114:J114"/>
    <mergeCell ref="B115:E115"/>
    <mergeCell ref="F115:J115"/>
    <mergeCell ref="B116:E116"/>
    <mergeCell ref="F116:J116"/>
    <mergeCell ref="B107:F107"/>
    <mergeCell ref="G107:J107"/>
    <mergeCell ref="B111:J111"/>
    <mergeCell ref="B112:J112"/>
    <mergeCell ref="B113:E113"/>
    <mergeCell ref="F113:J113"/>
    <mergeCell ref="B104:F104"/>
    <mergeCell ref="G104:J104"/>
    <mergeCell ref="B105:F105"/>
    <mergeCell ref="G105:J105"/>
    <mergeCell ref="B106:F106"/>
    <mergeCell ref="G106:J106"/>
    <mergeCell ref="E95:J95"/>
    <mergeCell ref="E96:J96"/>
    <mergeCell ref="E97:J97"/>
    <mergeCell ref="B98:D98"/>
    <mergeCell ref="E99:J99"/>
    <mergeCell ref="B100:J100"/>
    <mergeCell ref="B86:E86"/>
    <mergeCell ref="F86:J86"/>
    <mergeCell ref="B87:J87"/>
    <mergeCell ref="F88:J88"/>
    <mergeCell ref="F92:J92"/>
    <mergeCell ref="I94:J94"/>
    <mergeCell ref="B83:E83"/>
    <mergeCell ref="F83:J83"/>
    <mergeCell ref="B84:E84"/>
    <mergeCell ref="F84:J84"/>
    <mergeCell ref="B85:E85"/>
    <mergeCell ref="F85:J85"/>
    <mergeCell ref="B76:F76"/>
    <mergeCell ref="G76:J76"/>
    <mergeCell ref="B80:J80"/>
    <mergeCell ref="B81:J81"/>
    <mergeCell ref="B82:E82"/>
    <mergeCell ref="F82:J82"/>
    <mergeCell ref="B73:F73"/>
    <mergeCell ref="G73:J73"/>
    <mergeCell ref="B74:F74"/>
    <mergeCell ref="G74:J74"/>
    <mergeCell ref="B75:F75"/>
    <mergeCell ref="G75:J75"/>
    <mergeCell ref="E64:J64"/>
    <mergeCell ref="E65:J65"/>
    <mergeCell ref="E66:J66"/>
    <mergeCell ref="B67:D67"/>
    <mergeCell ref="E68:J68"/>
    <mergeCell ref="B69:J69"/>
    <mergeCell ref="B55:E55"/>
    <mergeCell ref="F55:J55"/>
    <mergeCell ref="B56:J56"/>
    <mergeCell ref="F58:J58"/>
    <mergeCell ref="F61:J61"/>
    <mergeCell ref="I63:J63"/>
    <mergeCell ref="B52:E52"/>
    <mergeCell ref="F52:J52"/>
    <mergeCell ref="B53:E53"/>
    <mergeCell ref="F53:J53"/>
    <mergeCell ref="B54:E54"/>
    <mergeCell ref="F54:J54"/>
    <mergeCell ref="B45:F45"/>
    <mergeCell ref="G45:J45"/>
    <mergeCell ref="B49:J49"/>
    <mergeCell ref="B50:J50"/>
    <mergeCell ref="B51:E51"/>
    <mergeCell ref="F51:J51"/>
    <mergeCell ref="B42:F42"/>
    <mergeCell ref="G42:J42"/>
    <mergeCell ref="B43:F43"/>
    <mergeCell ref="G43:J43"/>
    <mergeCell ref="B44:F44"/>
    <mergeCell ref="G44:J44"/>
    <mergeCell ref="E33:J33"/>
    <mergeCell ref="E34:J34"/>
    <mergeCell ref="E35:J35"/>
    <mergeCell ref="B36:D36"/>
    <mergeCell ref="E37:J37"/>
    <mergeCell ref="B38:J38"/>
    <mergeCell ref="B24:E24"/>
    <mergeCell ref="F24:J24"/>
    <mergeCell ref="B25:J25"/>
    <mergeCell ref="F27:J27"/>
    <mergeCell ref="F31:J31"/>
    <mergeCell ref="I32:J32"/>
    <mergeCell ref="B21:E21"/>
    <mergeCell ref="F21:J21"/>
    <mergeCell ref="B22:E22"/>
    <mergeCell ref="F22:J22"/>
    <mergeCell ref="B23:E23"/>
    <mergeCell ref="F23:J23"/>
    <mergeCell ref="B19:J19"/>
    <mergeCell ref="B20:E20"/>
    <mergeCell ref="F20:J20"/>
    <mergeCell ref="B7:J7"/>
    <mergeCell ref="B11:F11"/>
    <mergeCell ref="G11:J11"/>
    <mergeCell ref="B12:F12"/>
    <mergeCell ref="G12:J12"/>
    <mergeCell ref="B13:F13"/>
    <mergeCell ref="G13:J13"/>
    <mergeCell ref="I1:J1"/>
    <mergeCell ref="E2:J2"/>
    <mergeCell ref="E3:J3"/>
    <mergeCell ref="E4:J4"/>
    <mergeCell ref="B5:D5"/>
    <mergeCell ref="E6:J6"/>
    <mergeCell ref="B14:F14"/>
    <mergeCell ref="G14:J14"/>
    <mergeCell ref="B18:J18"/>
  </mergeCells>
  <pageMargins left="0.5" right="0.25" top="0.5" bottom="0.2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P-B</vt:lpstr>
      <vt:lpstr>P-M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huongnd1</dc:creator>
  <cp:lastModifiedBy>Bluesky</cp:lastModifiedBy>
  <dcterms:created xsi:type="dcterms:W3CDTF">2020-11-16T11:46:10Z</dcterms:created>
  <dcterms:modified xsi:type="dcterms:W3CDTF">2021-01-27T03:41:34Z</dcterms:modified>
</cp:coreProperties>
</file>