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Minsi\Downloads\Work\ASDI\aws-asdi-2022\data\"/>
    </mc:Choice>
  </mc:AlternateContent>
  <xr:revisionPtr revIDLastSave="0" documentId="13_ncr:1_{338B1D0C-54E0-4625-9DBF-5EF0A55F1264}" xr6:coauthVersionLast="47" xr6:coauthVersionMax="47" xr10:uidLastSave="{00000000-0000-0000-0000-000000000000}"/>
  <bookViews>
    <workbookView xWindow="1035" yWindow="1575" windowWidth="23775" windowHeight="18495" activeTab="5" xr2:uid="{00000000-000D-0000-FFFF-FFFF00000000}"/>
  </bookViews>
  <sheets>
    <sheet name="Sheet1" sheetId="1" r:id="rId1"/>
    <sheet name="Goals" sheetId="2" r:id="rId2"/>
    <sheet name="Locations" sheetId="3" r:id="rId3"/>
    <sheet name="Adjustments" sheetId="4" r:id="rId4"/>
    <sheet name="Moditications (FCC)" sheetId="5" r:id="rId5"/>
    <sheet name="Crops" sheetId="6" r:id="rId6"/>
  </sheets>
  <definedNames>
    <definedName name="_xlnm._FilterDatabase" localSheetId="0" hidden="1">Sheet1!$A$1:$Z$136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3" i="3" l="1"/>
  <c r="F133" i="3"/>
  <c r="G132" i="3"/>
  <c r="F132" i="3"/>
  <c r="G131" i="3"/>
  <c r="F131" i="3"/>
  <c r="G130" i="3"/>
  <c r="F130" i="3"/>
  <c r="G129" i="3"/>
  <c r="F129" i="3"/>
  <c r="G128" i="3"/>
  <c r="F128" i="3"/>
  <c r="G127" i="3"/>
  <c r="F127" i="3"/>
  <c r="G126" i="3"/>
  <c r="F126" i="3"/>
  <c r="G125" i="3"/>
  <c r="F125" i="3"/>
  <c r="G124" i="3"/>
  <c r="F124" i="3"/>
  <c r="G123" i="3"/>
  <c r="F123" i="3"/>
  <c r="G122" i="3"/>
  <c r="F122" i="3"/>
  <c r="G121" i="3"/>
  <c r="F121" i="3"/>
  <c r="G120" i="3"/>
  <c r="F120" i="3"/>
  <c r="G119" i="3"/>
  <c r="F119" i="3"/>
  <c r="G118" i="3"/>
  <c r="F118" i="3"/>
  <c r="G117" i="3"/>
  <c r="F117" i="3"/>
  <c r="G116" i="3"/>
  <c r="F116" i="3"/>
  <c r="G115" i="3"/>
  <c r="F115" i="3"/>
  <c r="G114" i="3"/>
  <c r="F114" i="3"/>
  <c r="G113" i="3"/>
  <c r="F113" i="3"/>
  <c r="G112" i="3"/>
  <c r="F112" i="3"/>
  <c r="G111" i="3"/>
  <c r="F111" i="3"/>
  <c r="G110" i="3"/>
  <c r="F110" i="3"/>
  <c r="G109" i="3"/>
  <c r="F109" i="3"/>
  <c r="G108" i="3"/>
  <c r="F108" i="3"/>
  <c r="G107" i="3"/>
  <c r="F107" i="3"/>
  <c r="G106" i="3"/>
  <c r="F106" i="3"/>
  <c r="G105" i="3"/>
  <c r="F105" i="3"/>
  <c r="G104" i="3"/>
  <c r="F104" i="3"/>
  <c r="G103" i="3"/>
  <c r="F103" i="3"/>
  <c r="G102" i="3"/>
  <c r="F102" i="3"/>
  <c r="G101" i="3"/>
  <c r="F101" i="3"/>
  <c r="G100" i="3"/>
  <c r="F100" i="3"/>
  <c r="G99" i="3"/>
  <c r="F99" i="3"/>
  <c r="G98" i="3"/>
  <c r="F98" i="3"/>
  <c r="G97" i="3"/>
  <c r="F97" i="3"/>
  <c r="G96" i="3"/>
  <c r="F96" i="3"/>
  <c r="G95" i="3"/>
  <c r="F95" i="3"/>
  <c r="G94" i="3"/>
  <c r="F94" i="3"/>
  <c r="G93" i="3"/>
  <c r="F93" i="3"/>
  <c r="G92" i="3"/>
  <c r="F92" i="3"/>
  <c r="G91" i="3"/>
  <c r="F91" i="3"/>
  <c r="G90" i="3"/>
  <c r="F90" i="3"/>
  <c r="G89" i="3"/>
  <c r="F89" i="3"/>
  <c r="G88" i="3"/>
  <c r="F88" i="3"/>
  <c r="G87" i="3"/>
  <c r="F87" i="3"/>
  <c r="G86" i="3"/>
  <c r="F86" i="3"/>
  <c r="G85" i="3"/>
  <c r="F85" i="3"/>
  <c r="G84" i="3"/>
  <c r="F84" i="3"/>
  <c r="G83" i="3"/>
  <c r="F83" i="3"/>
  <c r="G82" i="3"/>
  <c r="F82" i="3"/>
  <c r="G81" i="3"/>
  <c r="F81" i="3"/>
  <c r="G80" i="3"/>
  <c r="F80" i="3"/>
  <c r="G79" i="3"/>
  <c r="F79" i="3"/>
  <c r="G78" i="3"/>
  <c r="F78" i="3"/>
  <c r="G77" i="3"/>
  <c r="F77" i="3"/>
  <c r="G76" i="3"/>
  <c r="F76" i="3"/>
  <c r="G75" i="3"/>
  <c r="F75" i="3"/>
  <c r="G74" i="3"/>
  <c r="F74" i="3"/>
  <c r="G73" i="3"/>
  <c r="F73" i="3"/>
  <c r="G72" i="3"/>
  <c r="F72" i="3"/>
  <c r="G71" i="3"/>
  <c r="F71" i="3"/>
  <c r="G70" i="3"/>
  <c r="F70" i="3"/>
  <c r="G69" i="3"/>
  <c r="F69" i="3"/>
  <c r="G68" i="3"/>
  <c r="F68" i="3"/>
  <c r="G67" i="3"/>
  <c r="F67" i="3"/>
  <c r="G66" i="3"/>
  <c r="F66" i="3"/>
  <c r="G65" i="3"/>
  <c r="F65" i="3"/>
  <c r="G64" i="3"/>
  <c r="F64" i="3"/>
  <c r="G63" i="3"/>
  <c r="F63" i="3"/>
  <c r="G62" i="3"/>
  <c r="F62" i="3"/>
  <c r="G61" i="3"/>
  <c r="F61" i="3"/>
  <c r="G60" i="3"/>
  <c r="F60" i="3"/>
  <c r="G59" i="3"/>
  <c r="F59" i="3"/>
  <c r="G58" i="3"/>
  <c r="F58" i="3"/>
  <c r="G57" i="3"/>
  <c r="F57" i="3"/>
  <c r="G56" i="3"/>
  <c r="F56" i="3"/>
  <c r="G55" i="3"/>
  <c r="F55" i="3"/>
  <c r="G54" i="3"/>
  <c r="F54" i="3"/>
  <c r="G53" i="3"/>
  <c r="F53" i="3"/>
  <c r="G52" i="3"/>
  <c r="F52" i="3"/>
  <c r="G51" i="3"/>
  <c r="F51" i="3"/>
  <c r="G50" i="3"/>
  <c r="F50" i="3"/>
  <c r="G49" i="3"/>
  <c r="F49" i="3"/>
  <c r="G48" i="3"/>
  <c r="F48" i="3"/>
  <c r="G47" i="3"/>
  <c r="F47" i="3"/>
  <c r="G46" i="3"/>
  <c r="F46" i="3"/>
  <c r="G45" i="3"/>
  <c r="F45" i="3"/>
  <c r="G44" i="3"/>
  <c r="F44" i="3"/>
  <c r="G43" i="3"/>
  <c r="F43" i="3"/>
  <c r="G42" i="3"/>
  <c r="F42" i="3"/>
  <c r="G41" i="3"/>
  <c r="F41" i="3"/>
  <c r="G40" i="3"/>
  <c r="F40" i="3"/>
  <c r="G39" i="3"/>
  <c r="F39" i="3"/>
  <c r="G38" i="3"/>
  <c r="F38" i="3"/>
  <c r="G37" i="3"/>
  <c r="F37" i="3"/>
  <c r="G36" i="3"/>
  <c r="F36" i="3"/>
  <c r="G35" i="3"/>
  <c r="F35" i="3"/>
  <c r="G34" i="3"/>
  <c r="F34" i="3"/>
  <c r="G33" i="3"/>
  <c r="F33" i="3"/>
  <c r="G32" i="3"/>
  <c r="F32" i="3"/>
  <c r="G31" i="3"/>
  <c r="F31" i="3"/>
  <c r="G30" i="3"/>
  <c r="F30" i="3"/>
  <c r="G29" i="3"/>
  <c r="F29" i="3"/>
  <c r="G28" i="3"/>
  <c r="F28" i="3"/>
  <c r="G27" i="3"/>
  <c r="F27" i="3"/>
  <c r="G26" i="3"/>
  <c r="F26" i="3"/>
  <c r="G25" i="3"/>
  <c r="F25" i="3"/>
  <c r="G24" i="3"/>
  <c r="F24" i="3"/>
  <c r="G23" i="3"/>
  <c r="F23" i="3"/>
  <c r="G22" i="3"/>
  <c r="F22" i="3"/>
  <c r="G21" i="3"/>
  <c r="F21" i="3"/>
  <c r="G20" i="3"/>
  <c r="F20" i="3"/>
  <c r="G19" i="3"/>
  <c r="F19" i="3"/>
  <c r="G18" i="3"/>
  <c r="F18" i="3"/>
  <c r="G17" i="3"/>
  <c r="F17" i="3"/>
  <c r="G16" i="3"/>
  <c r="F16" i="3"/>
  <c r="G15" i="3"/>
  <c r="F15" i="3"/>
  <c r="G14" i="3"/>
  <c r="F14" i="3"/>
  <c r="G13" i="3"/>
  <c r="F13" i="3"/>
  <c r="G12" i="3"/>
  <c r="F12" i="3"/>
  <c r="G11" i="3"/>
  <c r="F11" i="3"/>
  <c r="G10" i="3"/>
  <c r="F10" i="3"/>
  <c r="G9" i="3"/>
  <c r="F9" i="3"/>
  <c r="G8" i="3"/>
  <c r="F8" i="3"/>
  <c r="G7" i="3"/>
  <c r="F7" i="3"/>
  <c r="G6" i="3"/>
  <c r="F6" i="3"/>
  <c r="G5" i="3"/>
  <c r="F5" i="3"/>
</calcChain>
</file>

<file path=xl/sharedStrings.xml><?xml version="1.0" encoding="utf-8"?>
<sst xmlns="http://schemas.openxmlformats.org/spreadsheetml/2006/main" count="1189" uniqueCount="927">
  <si>
    <t>Dataset</t>
  </si>
  <si>
    <t>Description</t>
  </si>
  <si>
    <t>Link</t>
  </si>
  <si>
    <t>1 No Poverty</t>
  </si>
  <si>
    <t>2 Zero Hunger</t>
  </si>
  <si>
    <t>3 Good Health and Well-being</t>
  </si>
  <si>
    <t>4 Quality Education</t>
  </si>
  <si>
    <t>5 Gender Equality</t>
  </si>
  <si>
    <t>6 Clean Water and Sanitation</t>
  </si>
  <si>
    <t>7 Affordable and Clean Energy</t>
  </si>
  <si>
    <t>8 Decent Work and Economic Growth</t>
  </si>
  <si>
    <t>9 Industry, Innovation and Infrastructure</t>
  </si>
  <si>
    <t>10 Reduced Inequalities</t>
  </si>
  <si>
    <t>11 Sustainable Cities and Communities</t>
  </si>
  <si>
    <t>12 Responsible Consumption and Production</t>
  </si>
  <si>
    <t>13 Climate Action</t>
  </si>
  <si>
    <t>14 Life Below Water</t>
  </si>
  <si>
    <t>15 Life on Land</t>
  </si>
  <si>
    <t>Crowdsourced Bathemetry</t>
  </si>
  <si>
    <t>measurement of depth of water in oceans, seas, or lakes.</t>
  </si>
  <si>
    <t>https://aws.amazon.com/marketplace/pp/prodview-zetjfybagtrl2?sr=0-1&amp;ref_=beagle&amp;applicationId=AWSMPContessa</t>
  </si>
  <si>
    <t>Africa Soil Information Service (AfSIS) Soil Chemistry</t>
  </si>
  <si>
    <t>contains soil infrared spectral data and paired soil property reference measurements for georeferenced soil samples that were collected through the Africa Soil Information Service (AfSIS) project, which lasted from 2009 through 2018</t>
  </si>
  <si>
    <t>https://aws.amazon.com/marketplace/pp/prodview-z6d6q7p7a65xe?sr=0-2&amp;ref_=beagle&amp;applicationId=AWSMPContessa</t>
  </si>
  <si>
    <t>NOAA Global Surface Summary of Day</t>
  </si>
  <si>
    <t>derived from The Integrated Surface Hourly (ISH) dataset. The ISH dataset includes global data obtained from the USAF Climatology Center, located in the Federal Climate Complex with NCDC
The daily elements included in the dataset (as available from each station) are: Mean temperature (.1 Fahrenheit) Mean dew point (.1 Fahrenheit) Mean sea level pressure (.1 mb) Mean station pressure (.1 mb) Mean visibility (.1 miles) Mean wind speed (.1 knots) Maximum sustained wind speed (.1 knots) Maximum wind gust (.1 knots) Maximum temperature (.1 Fahrenheit) Minimum temperature (.1 Fahrenheit) Precipitation amount (.01 inches) Snow depth (.1 inches) Indicator for occurrence of: Fog, Rain or Drizzle, Snow or Ice Pellets, Hail, Thunder, Tornado/Funnel Cloud.</t>
  </si>
  <si>
    <t>https://aws.amazon.com/marketplace/pp/prodview-yyq26ae3m6csk?sr=0-3&amp;ref_=beagle&amp;applicationId=AWSMPContessa</t>
  </si>
  <si>
    <t>Geosnap Data, Center for Geospatial Sciences</t>
  </si>
  <si>
    <t>The data in this bucket contains the following:
1) Tabular and geographic data from the US Census 2) Land Cover imagery collected from Multi-Resolution Land Characteristics Consortium 
3) Road network data processed from OpenStreetMap</t>
  </si>
  <si>
    <t>https://aws.amazon.com/marketplace/pp/prodview-ysfjbrlu2hdb6?sr=0-4&amp;ref_=beagle&amp;applicationId=AWSMPContessa</t>
  </si>
  <si>
    <t>NOAA Unified Forecast System (UFS) Marine Reanalysis: 1979-2019</t>
  </si>
  <si>
    <t>global sea ice ocean coupled reanalysis product produced by the marine data assimilation team of the UFS Research-to-Operation (R2O) project
Analyzed sea ice and ocean variables are ocean temperature, salinity, sea surface height, and sea ice concentration.</t>
  </si>
  <si>
    <t>https://aws.amazon.com/marketplace/pp/prodview-yrdpjv2vavmgg?sr=0-5&amp;ref_=beagle&amp;applicationId=AWSMPContessa</t>
  </si>
  <si>
    <t>Copernicus Digital Elevation Model (DEM)</t>
  </si>
  <si>
    <t>The Copernicus DEM is a Digital Surface Model (DSM) which represents the surface of the Earth including buildings, infrastructure and vegetation</t>
  </si>
  <si>
    <t>https://aws.amazon.com/marketplace/pp/prodview-yl3hc4awgb5pu?sr=0-6&amp;ref_=beagle&amp;applicationId=AWSMPContessa</t>
  </si>
  <si>
    <t>Sentinel-2 Cloud-Optimized GeoTIFFs</t>
  </si>
  <si>
    <t>a land monitoring constellation of two satellites that provide high resolution optical imagery and provide continuity for the current SPOT and Landsat missions. The mission provides a global coverage of the Earth's land surface every 5 days, making the data of great use in ongoing studies</t>
  </si>
  <si>
    <t>https://aws.amazon.com/marketplace/pp/prodview-ykj5gyumkzlme?sr=0-7&amp;ref_=beagle&amp;applicationId=AWSMPContessa#resources</t>
  </si>
  <si>
    <t>NREL Wind Integration National Dataset</t>
  </si>
  <si>
    <t>an update and expansion of the Eastern Wind Integration Data Set and Western Wind Integration Data Set. It supports the next generation of wind integration studies.</t>
  </si>
  <si>
    <t>https://aws.amazon.com/marketplace/pp/prodview-ykfcovxxc4vnw?sr=0-8&amp;ref_=beagle&amp;applicationId=AWSMPContessa</t>
  </si>
  <si>
    <t>ECMWF ERA5 Reanalysis</t>
  </si>
  <si>
    <t>provides all essential atmospheric meteorological parameters like, but not limited to, air temperature, pressure and wind at different altitudes, along with surface parameters like rainfall, soil moisture content and sea parameters like sea-surface temperature and wave height</t>
  </si>
  <si>
    <t>https://aws.amazon.com/marketplace/pp/prodview-yhz3mavy6s7go?sr=0-9&amp;ref_=beagle&amp;applicationId=AWSMPContessa</t>
  </si>
  <si>
    <t>NOAA High-Resolution Rapid Refresh (HRRR) Model</t>
  </si>
  <si>
    <t>NOAA real-time 3-km resolution, hourly updated, cloud-resolving, convection-allowing atmospheric model, initialized by 3km grids with 3km radar assimilation. Radar data is assimilated in the HRRR every 15 min over a 1-h period adding further detail to that provided by the hourly data assimilation from the 13km radar-enhanced Rapid Refresh</t>
  </si>
  <si>
    <t>https://aws.amazon.com/marketplace/pp/prodview-yd5ydptv3vuz2?sr=0-10&amp;ref_=beagle&amp;applicationId=AWSMPContessa</t>
  </si>
  <si>
    <t>Scottish Public Sector LiDAR Dataset</t>
  </si>
  <si>
    <t>flood risk management, archaelogical, power cable network, coastal and surface water flood risk</t>
  </si>
  <si>
    <t>https://aws.amazon.com/marketplace/pp/prodview-xxntohiwezg7k?sr=0-11&amp;ref_=beagle&amp;applicationId=AWSMPContessa</t>
  </si>
  <si>
    <t>NOAA Wave Ensemble Reforecast</t>
  </si>
  <si>
    <t>Three output types are available 1) Global wave fields, in grib2 format, with several variables including significant wave height, period, direction, and partitions; 2) Point output tables, in netcdf format, containing time-series of significant wave height, period and direction, for 658 points (latitude/longitude informed) at the positions of wave buoys; and, 3) For the same positions, spectral outputs are available, in netcdf format, containing the full spectra (2D directional spectrum). Each file refers to one forecast cycle with date (year, month, day) written in the file name.</t>
  </si>
  <si>
    <t>https://aws.amazon.com/marketplace/pp/prodview-xt3shkaraym7y?sr=0-12&amp;ref_=beagle&amp;applicationId=AWSMPContessa</t>
  </si>
  <si>
    <t>Community Earth System Model v2 Large Ensemble (CESM2 LENS)</t>
  </si>
  <si>
    <t>things like sea ice and surface temperature, surface pressure, sea level pressure, humidity, etc</t>
  </si>
  <si>
    <t>https://aws.amazon.com/marketplace/pp/prodview-xilranwbl2ep2?sr=0-13&amp;ref_=beagle&amp;applicationId=AWSMPContessa</t>
  </si>
  <si>
    <t>SondeHub Radiosonde Telemetry</t>
  </si>
  <si>
    <t xml:space="preserve">global radiosonde (weather balloon) data captured by SondeHub from our participating radiosonde_auto_rx receiving stations
ins received telemetry frames, including radiosonde type, gps position, and for some radiosondes atmospheric sensor data (temperature, humidity, pressure). </t>
  </si>
  <si>
    <t>https://aws.amazon.com/marketplace/pp/prodview-xc2y4qks2tz5y?sr=0-14&amp;ref_=beagle&amp;applicationId=AWSMPContessa</t>
  </si>
  <si>
    <t>Terrain Tiles</t>
  </si>
  <si>
    <t>A global dataset providing bare-earth terrain heights, tiled for easy usage and provided on S3</t>
  </si>
  <si>
    <t>https://aws.amazon.com/marketplace/pp/prodview-x7vtai3hasf26?sr=0-15&amp;ref_=beagle&amp;applicationId=AWSMPContessa</t>
  </si>
  <si>
    <t>NOAA S-111 Surface Water Currents Data</t>
  </si>
  <si>
    <t xml:space="preserve">This collection of data contains surface water currents forecast guidance from NOAA/NOS Operational Forecast Systems , a set of operational hydrodynamic nowcast and forecast modeling systems, for various U.S. coastal waters and the great lakes. The collection also contains surface current forecast guidance output from the NCEP Global Real-Time Ocean Forecast System (GRTOFS)  for some offshore areas. </t>
  </si>
  <si>
    <t>https://aws.amazon.com/marketplace/pp/prodview-x2iv4j4hncsvw?sr=0-16&amp;ref_=beagle&amp;applicationId=AWSMPContessa</t>
  </si>
  <si>
    <t>NOAA Global Hydro Estimator (GHE)</t>
  </si>
  <si>
    <t>Global Hydro-Estimator provides a global mosaic imagery of rainfall estimates from multi-geostationary satellites, which currently includes GOES-16, GOES-15, Meteosat-8, Meteosat-11 and Himawari-8. The GHE products include: Instantaneous rain rate, 1 hour, 3 hour, 6 hour, 24 hour and also multi-day rainfall accumulation.</t>
  </si>
  <si>
    <t>https://aws.amazon.com/marketplace/pp/prodview-wwjxc5sort6dw?sr=0-17&amp;ref_=beagle&amp;applicationId=AWSMPContessa</t>
  </si>
  <si>
    <t>NOAA Coastal Lidar Data</t>
  </si>
  <si>
    <t xml:space="preserve">Lidar (light detection and ranging) is a technology that can measure the 3-dimentional location of objects, including the solid earth surface. The data consists of a point cloud of the positions of solid objects that reflected a laser pulse, typically from an airborne platform. In addition to the position, each point may also be attributed by the type of object it reflected from, the intensity of the reflection, and other system dependent metadata. The NOAA Coastal Lidar Data is a collection of lidar projects from many different sources and agencies, geographically focused on the coastal areas of the United States of America. </t>
  </si>
  <si>
    <t>https://aws.amazon.com/marketplace/pp/prodview-wssgafxllqgsu?sr=0-18&amp;ref_=beagle&amp;applicationId=AWSMPContessa</t>
  </si>
  <si>
    <t>NOAA Water-Column Sonar Data Archive</t>
  </si>
  <si>
    <t>Water-column sonar data archived at the NOAA National Centers for Environmental Information.</t>
  </si>
  <si>
    <t>https://aws.amazon.com/marketplace/pp/prodview-woomaqzzxi5j4?sr=0-19&amp;ref_=beagle&amp;applicationId=AWSMPContessa</t>
  </si>
  <si>
    <t>ESA WorldCover</t>
  </si>
  <si>
    <t xml:space="preserve">a global land cover map with 11 different land cover classes produced at 10m resolution based on combination of both Sentinel-1 and Sentinel-2 data. In areas where Sentinel-2 images are covered by clouds for an extended period of time, Sentinel-1 data then provides complimentary information on the structural characteristics of the observed land cover. Therefore, the combination of Sentinel-1 and Sentinel-2 data makes it possible to update the land cover map almost in real time. </t>
  </si>
  <si>
    <t>https://aws.amazon.com/marketplace/pp/prodview-wng6btwgmb6ua?sr=0-20&amp;ref_=beagle&amp;applicationId=AWSMPContessa</t>
  </si>
  <si>
    <t>NOAA/PMEL Ocean Climate Stations Moorings</t>
  </si>
  <si>
    <t>make meteorological and oceanic measurements from autonomous platforms. Calibrated, quality-controlled, and well-documented climatological measurements are available on the OCS webpage and the OceanSITES Global Data Assembly Centers (GDACs), with near-realtime data available prior to release of the complete, downloaded datasets.</t>
  </si>
  <si>
    <t>https://aws.amazon.com/marketplace/pp/prodview-wmvnvppeag3cm?sr=0-21&amp;ref_=beagle&amp;applicationId=AWSMPContessa</t>
  </si>
  <si>
    <t>NOAA Global Extratropical Surge and Tide Operational Forecast System (Global ESTOFS)</t>
  </si>
  <si>
    <t>provides users with nowcasts (analyses of near present conditions) and forecast guidance of water level conditions for the entire globe</t>
  </si>
  <si>
    <t>https://aws.amazon.com/marketplace/pp/prodview-wl6vavk6jr3h2?sr=0-22&amp;ref_=beagle&amp;applicationId=AWSMPContessa</t>
  </si>
  <si>
    <t>NREL National Solar Radiation Database</t>
  </si>
  <si>
    <t>serially complete collection of hourly and half-hourly values of the three most common measurements of solar radiation – global horizontal, direct normal, and diffuse horizontal irradiance — and meteorological data. These data have been collected at a sufficient number of locations and temporal and spatial scales to accurately represent regional solar radiation climates</t>
  </si>
  <si>
    <t>https://aws.amazon.com/marketplace/pp/prodview-wa3anotrw3rve?sr=0-23&amp;ref_=beagle&amp;applicationId=AWSMPContessa</t>
  </si>
  <si>
    <t>Digital Earth Africa Sentinel-2 Level-2A</t>
  </si>
  <si>
    <t>cover all Earth’s land surfaces, large islands, inland and coastal waters every 3-5 days. Sentinel-2 data is tiered by level of pre-processing. Level-0, Level-1A and Level-1B data contain raw data from the satellites, with little to no pre-processing. Level-1C data is surface reflectance measured at the top of the atmosphere. This is processed using the Sen2Cor algorithm to give Level-2A, the bottom-of-atmosphere reflectance (Obregón et al, 2019). Level-2A data is the most ideal for research activities as it allows further analysis without applying additional atmospheric corrections. The Digital Earth Africa Sentinel-2 dataset contains Level-2A data of the African continent. Digital Earth Africa does not host any lower-level Sentinel-2 data</t>
  </si>
  <si>
    <t>https://aws.amazon.com/marketplace/pp/prodview-v7w5elnjeaie6?sr=0-24&amp;ref_=beagle&amp;applicationId=AWSMPContessa</t>
  </si>
  <si>
    <t>Sentinel-1</t>
  </si>
  <si>
    <t>a pair of European radar imaging (SAR) satellites launched in 2014 and 2016. Its 6 days revisit cycle and ability to observe through clouds makes it perfect for sea and land monitoring, emergency response due to environmental disasters, and economic applications</t>
  </si>
  <si>
    <t>https://aws.amazon.com/marketplace/pp/prodview-uxrsbvhd35ifw?sr=0-25&amp;ref_=beagle&amp;applicationId=AWSMPContessa</t>
  </si>
  <si>
    <t>NOAA Operational Forecast System (OFS)</t>
  </si>
  <si>
    <t xml:space="preserve">forecast guidance provides oceanographic information that helps mariners safely navigate their local waters. This national network of hydrodynamic models provides users with operational nowcast and forecast guidance (out to 48 – 120 hours) on parameters such as water levels, water temperature, salinity, and currents. </t>
  </si>
  <si>
    <t>https://aws.amazon.com/marketplace/pp/prodview-uvchtk4gvwpy2?sr=0-26&amp;ref_=beagle&amp;applicationId=AWSMPContessa</t>
  </si>
  <si>
    <t>NOAA Terrestrial Climate Data Records</t>
  </si>
  <si>
    <t>obust, sustainable, and scientifically sound climate records that provide trustworthy information on how, where, and to what extent the land, oceans, atmosphere and ice sheets are changing</t>
  </si>
  <si>
    <t>https://aws.amazon.com/marketplace/pp/prodview-unsyxr6yzlp62?sr=0-27&amp;ref_=beagle&amp;applicationId=AWSMPContessa</t>
  </si>
  <si>
    <t>NA-CORDEX - North American component of the Coordinated Regional Downscaling Experiment</t>
  </si>
  <si>
    <t>The NA-CORDEX dataset contains regional climate change scenario data and guidance for North America, for use in impacts, decision-making, and climate science. The NA-CORDEX data archive contains output from regional climate models (RCMs) run over a domain covering most of North America using boundary conditions from global climate model (GCM) simulations in the CMIP5 archive</t>
  </si>
  <si>
    <t>https://aws.amazon.com/marketplace/pp/prodview-unpqiiv5dfu6y?sr=0-28&amp;ref_=beagle&amp;applicationId=AWSMPContessa</t>
  </si>
  <si>
    <t>HIRLAM Weather Model</t>
  </si>
  <si>
    <t>an operational synoptic and mesoscale weather prediction model managed by the Finnish Meteorological Institute</t>
  </si>
  <si>
    <t>https://aws.amazon.com/marketplace/pp/prodview-u7ps3lcyuiyjc?sr=0-29&amp;ref_=beagle&amp;applicationId=AWSMPContessa</t>
  </si>
  <si>
    <t>Sentinel-1 SLC dataset for South and Southeast Asia, Taiwan, Korea and Japan</t>
  </si>
  <si>
    <t>The S1 SLC data are a Level-1 product that collects radar amplitude and phase information in all-weather, day or night conditions, which is ideal for studying natural hazards and emergency response, land applications, oil spill monitoring, sea-ice conditions, and associated climate change effects.</t>
  </si>
  <si>
    <t>https://aws.amazon.com/marketplace/pp/prodview-tzb3tbrmh3bj2?sr=0-30&amp;ref_=beagle&amp;applicationId=AWSMPContessa</t>
  </si>
  <si>
    <t>NOAA Integrated Surface Database (ISD)</t>
  </si>
  <si>
    <t>ISD includes numerous parameters such as wind speed and direction, wind gust, temperature, dew point, cloud data, sea level pressure, altimeter setting, station pressure, present weather, visibility, precipitation amounts for various time periods, snow depth, and various other elements as observed by each station.</t>
  </si>
  <si>
    <t>https://aws.amazon.com/marketplace/pp/prodview-tmvgq72wrnzpq?sr=0-31&amp;ref_=beagle&amp;applicationId=AWSMPContessa</t>
  </si>
  <si>
    <t>SILAM Air Quality</t>
  </si>
  <si>
    <t>global SILAM atmospheric composition and air quality forecast performed on a daily basis for &gt; 100 species and covering the troposphere and the stratosphere. The output produces 3D concentration fields and aerosol optical thickness. The data are unique: 20km resolution for global AQ models is unseen worldwide.</t>
  </si>
  <si>
    <t>https://aws.amazon.com/marketplace/pp/prodview-sxckxf3pzui7k?sr=0-32&amp;ref_=beagle&amp;applicationId=AWSMPContessa</t>
  </si>
  <si>
    <t>OpenAQ</t>
  </si>
  <si>
    <t>Global, aggregated physical air quality data from public data sources provided by government, research-grade and other sources</t>
  </si>
  <si>
    <t>https://aws.amazon.com/marketplace/pp/prodview-rvesvhymasphs?sr=0-33&amp;ref_=beagle&amp;applicationId=AWSMPContessa</t>
  </si>
  <si>
    <t>NOAA Global Ensemble Forecast System (GEFS)</t>
  </si>
  <si>
    <t>The GEFS attempts to quantify the amount of uncertainty in a forecast by generating an ensemble of multiple forecasts, each minutely different, or perturbed, from the original observations. With global coverage, GEFS is produced four times a day with weather forecasts going out to 16 days.</t>
  </si>
  <si>
    <t>https://aws.amazon.com/marketplace/pp/prodview-qumzmkzc2acri?sr=0-34&amp;ref_=beagle&amp;applicationId=AWSMPContessa</t>
  </si>
  <si>
    <t>PoroTomo</t>
  </si>
  <si>
    <t>these data represent vertical and horizontal distributed acoustic sensing (DAS) data collected as part of the Poroelastic Tomography (PoroTomo) project funded in part by the Office of Energy Efficiency and Renewable Energy (EERE), U.S. Department of Energy.</t>
  </si>
  <si>
    <t>https://aws.amazon.com/marketplace/pp/prodview-qd7w6cbnmssl2?sr=0-35&amp;ref_=beagle&amp;applicationId=AWSMPContessa</t>
  </si>
  <si>
    <t>Open City Model (OCM)</t>
  </si>
  <si>
    <t>Open City Model is an initiative to provide cityGML data for all the buildings in the United States. By using other open datasets in conjunction with our own code and algorithms it is our goal to provide 3D geometries for every US building.</t>
  </si>
  <si>
    <t>https://aws.amazon.com/marketplace/pp/prodview-q5gmfev7upw7e?sr=0-36&amp;ref_=beagle&amp;applicationId=AWSMPContessa</t>
  </si>
  <si>
    <t>1940 Census Population Schedules, Enumeration District Maps, and Enumeration District Descriptions</t>
  </si>
  <si>
    <t>The 1940 Census enumeration district maps contain maps of counties, cities, and other minor civil divisions that show enumeration districts, census tracts, and related boundaries and numbers used for each census. The coverage is nation wide and includes territorial areas. The 1940 Census enumeration district descriptions contain written descriptions of census districts, subdivisions, and enumeration districts.</t>
  </si>
  <si>
    <t>https://aws.amazon.com/marketplace/pp/prodview-pxfwfrlgj7fra?sr=0-37&amp;ref_=beagle&amp;applicationId=AWSMPContessa</t>
  </si>
  <si>
    <t>Safecast</t>
  </si>
  <si>
    <t>An ongoing collection of radiation and air quality measurements taken by devices involved in the Safecast project.</t>
  </si>
  <si>
    <t>https://aws.amazon.com/marketplace/pp/prodview-pqusj6xxe74q2?sr=0-38&amp;ref_=beagle&amp;applicationId=AWSMPContessa</t>
  </si>
  <si>
    <t>Atmospheric Models from Météo-France</t>
  </si>
  <si>
    <t>Global and high-resolution regional atmospheric models from Météo-France. Dozens of atmospheric variables are available through this datase: temperatures, winds, precipitation...</t>
  </si>
  <si>
    <t>https://aws.amazon.com/marketplace/pp/prodview-powejeffft672?sr=0-39&amp;ref_=beagle&amp;applicationId=AWSMPContessa</t>
  </si>
  <si>
    <t>Digital Earth Africa Sentinel-1 Radiometrically Terrain Corrected</t>
  </si>
  <si>
    <t>Radar backscatter measures the amount of microwave radiation reflected back to the sensor from the ground surface. This measurement is sensitive to surface roughness, moisture content and viewing geometry. DE Africa provides Sentinel-1 backscatter as Radiometrically Terrain Corrected (RTC) gamma-0 (γ0) where variation due to changing observation geometries has been mitigated. The dual polarisation backcastter time series can be used in applications for forests, agriculture, wetlands and land cover classification. SAR’s ability to ‘see through’ clouds makes it critical for mapping and monitoring land cover changes in the wet tropics.</t>
  </si>
  <si>
    <t>https://aws.amazon.com/marketplace/pp/prodview-pocj2gb5p5nto?sr=0-40&amp;ref_=beagle&amp;applicationId=AWSMPContessa</t>
  </si>
  <si>
    <t>NEXRAD on AWS</t>
  </si>
  <si>
    <t>Real-time and archival data from the Next Generation Weather Radar (NEXRAD) network.</t>
  </si>
  <si>
    <t>https://aws.amazon.com/marketplace/pp/prodview-pls5ors5sxjxw?sr=0-41&amp;ref_=beagle&amp;applicationId=AWSMPContessa</t>
  </si>
  <si>
    <t>NOAA Unified Forecast System Short-Range Weather (UFS SRW) Application</t>
  </si>
  <si>
    <t>The "Unified Forecast System (UFS) " is a community-based, coupled, comprehensive Earth Modeling System. It supports " multiple applications " with different forecast durations and spatial domains. The UFS Short-Range Weather (SRW) Application figures among these applications. It targets predictions of atmospheric behavior on a limited spatial domain and on time scales from minutes to several days.</t>
  </si>
  <si>
    <t>https://aws.amazon.com/marketplace/pp/prodview-otn6opfzdn6tk?sr=0-42&amp;ref_=beagle&amp;applicationId=AWSMPContessa</t>
  </si>
  <si>
    <t>OpenEEW</t>
  </si>
  <si>
    <t>Grillo has developed an IoT-based earthquake early-warning system, with sensors currently deployed in Mexico, Chile, Puerto Rico and Costa Rica, and is now opening its entire archive of unprocessed accelerometer data to the world to encourage the development of new algorithms capable of rapidly detecting and characterizing earthquakes in real time.</t>
  </si>
  <si>
    <t>https://aws.amazon.com/marketplace/pp/prodview-ot34yes3afyhq?sr=0-43&amp;ref_=beagle&amp;applicationId=AWSMPContessa</t>
  </si>
  <si>
    <t>NOAA Oceanic Climate Data Records</t>
  </si>
  <si>
    <t>NOAA's Climate Data Records (CDRs) are robust, sustainable, and scientifically sound climate records that provide trustworthy information on how, where, and to what extent the land, oceans, atmosphere and ice sheets are changing. These datasets are thoroughly vetted time series measurements with the longevity, consistency, and continuity to assess and measure climate variability and change</t>
  </si>
  <si>
    <t>https://aws.amazon.com/marketplace/pp/prodview-orpn3qmlgv22e?sr=0-44&amp;ref_=beagle&amp;applicationId=AWSMPContessa</t>
  </si>
  <si>
    <t>NOAA Joint Polar Satellite System (JPSS)</t>
  </si>
  <si>
    <t>Satellites in the JPSS constellation gather global measurements of atmospheric, terrestrial and oceanic conditions, including sea and land surface temperatures, vegetation, clouds, rainfall, snow and ice cover, fire locations and smoke plumes, atmospheric temperature, water vapor and ozone. JPSS delivers key observations for the Nation's essential products and services, including forecasting severe weather like hurricanes, tornadoes and blizzards days in advance, and assessing environmental hazards such as droughts, forest fires, poor air quality and harmful coastal waters. Further, JPSS will provide continuity of critical, global observations of Earth’s atmosphere, oceans and land through 2038. The data will be available from 2012-01-19 to present.</t>
  </si>
  <si>
    <t>https://aws.amazon.com/marketplace/pp/prodview-oegf45s5ylawi?sr=0-45&amp;ref_=beagle&amp;applicationId=AWSMPContessa</t>
  </si>
  <si>
    <t>CAFE60 reanalysis</t>
  </si>
  <si>
    <t>provides a large ensemble retrospective analysis of the global climate system from 1960 to present with sufficiently many realizations and at spatio-temporal resolutions suitable to enable probabilistic climate studies
Atmospheric and surface ocean fields are available at daily resolution and monthly resolution for the land, subsurface ocean and sea ice.</t>
  </si>
  <si>
    <t>https://aws.amazon.com/marketplace/pp/prodview-odbyslwbqynos?sr=0-46&amp;ref_=beagle&amp;applicationId=AWSMPContessa</t>
  </si>
  <si>
    <t>NOAA Climate Forecast System (CFS)</t>
  </si>
  <si>
    <t xml:space="preserve">The Climate Forecast System (CFS) is a model representing the global interaction between Earth's oceans, land, and atmosphere
model offers hourly data with a horizontal resolution down to one-half of a degree (approximately 56 km) around Earth for many variables. CFS uses the latest scientific approaches for taking in, or assimilating, observations from data sources including surface observations, upper air balloon observations, aircraft observations, and satellite observations. </t>
  </si>
  <si>
    <t>https://aws.amazon.com/marketplace/pp/prodview-oa2b3wsl2l5gy?sr=0-47&amp;ref_=beagle&amp;applicationId=AWSMPContessa</t>
  </si>
  <si>
    <t>Natural Earth</t>
  </si>
  <si>
    <t>Natural Earth is a public domain map dataset available at 1:10m, 1:50m, and 1:110 million scales. Featuring tightly integrated vector and raster data, with Natural Earth you can make a variety of visually pleasing, well-crafted maps with cartography or GIS software.</t>
  </si>
  <si>
    <t>https://aws.amazon.com/marketplace/pp/prodview-o5cpjetwwoygy?sr=0-48&amp;ref_=beagle&amp;applicationId=AWSMPContessa</t>
  </si>
  <si>
    <t>Daylight Map Distribution of OpenStreetMap</t>
  </si>
  <si>
    <t>The Daylight Map Distribution contains a validated subset of the OpenStreetMap database. In addition to the standard OpenStreetMap PBF format, Daylight is available in two parquet formats that are optimized for AWS Athena including geometries (Points, LineStrings, Polygons, or MultiPolygons). First, Daylight OSM Features contains the nearly 1B renderable OSM features. Second, Daylight OSM Elements contains all of OSM, including all 7B nodes without attributes, and relations that do not contain geometries, such as turn restrictions.</t>
  </si>
  <si>
    <t>https://aws.amazon.com/marketplace/pp/prodview-nrulxjf2cfgte?sr=0-49&amp;ref_=beagle&amp;applicationId=AWSMPContessa</t>
  </si>
  <si>
    <t>District of Columbia - Classified Point Cloud LiDAR</t>
  </si>
  <si>
    <t>LiDAR point cloud data for Washington, DC is available for anyone to use on Amazon S3. This dataset, managed by the Office of the Chief Technology Officer (OCTO), through the direction of the District of Columbia GIS program, contains tiled point cloud data for the entire District along with associated metadata.</t>
  </si>
  <si>
    <t>https://aws.amazon.com/marketplace/pp/prodview-ngoejgm2gjlnk?sr=0-50&amp;ref_=beagle&amp;applicationId=AWSMPContessa</t>
  </si>
  <si>
    <t>NOAA Geostationary Operational Environmental Satellites (GOES) 16 &amp; 17</t>
  </si>
  <si>
    <t>GOES satellites (GOES-16 &amp; GOES-17) provide continuous weather imagery and monitoring of meteorological and space environment data across North America. GOES satellites provide the kind of continuous monitoring necessary for intensive data analysis. They hover continuously over one position on the surface. The satellites orbit high enough to allow for a full-disc view of the Earth. Because they stay above a fixed spot on the surface, they provide a constant vigil for the atmospheric "triggers" for severe weather conditions such as tornadoes, flash floods, hailstorms, and hurricanes. When these conditions develop, the GOES satellites are able to monitor storm development and track their movements.</t>
  </si>
  <si>
    <t>https://aws.amazon.com/marketplace/pp/prodview-ngejrbcumyjtu?sr=0-51&amp;ref_=beagle&amp;applicationId=AWSMPContessa</t>
  </si>
  <si>
    <t>Sentinel-5P Level 2</t>
  </si>
  <si>
    <t>senses ultraviolet (UV), visible (VIS), near (NIR) and short wave infrared (SWIR) to monitor ozone, methane, formaldehyde, aerosol, carbon monoxide, nitrogen dioxide and sulphur dioxide in the atmosphere. The satellite was launched in October 2017 and entered routine operational phase in March 2019. Data is available from July 2018 onwards.</t>
  </si>
  <si>
    <t>https://aws.amazon.com/marketplace/pp/prodview-ndthuqa4tzx4s?sr=0-52&amp;ref_=beagle&amp;applicationId=AWSMPContessa</t>
  </si>
  <si>
    <t>U.S. Census ACS PUMS</t>
  </si>
  <si>
    <t>designed to provide current demographic, social, economic, and housing estimates throughout the decade. The ACS provides information on more than 40 topics, including educational attainment, language spoken at home, ability to speak English, the foreign-born, marital status, migration, and many more.</t>
  </si>
  <si>
    <t>https://aws.amazon.com/marketplace/pp/prodview-mx3s2b7fx5fh6?sr=0-53&amp;ref_=beagle&amp;applicationId=AWSMPContessa</t>
  </si>
  <si>
    <t>Digital Earth Africa Landsat Collection 2 Level 2</t>
  </si>
  <si>
    <t>USGS Landsat Collection 2 was released early 2021 and offers improved processing, geometric accuracy, and radiometric calibration compared to previous Collection 1 products</t>
  </si>
  <si>
    <t>https://aws.amazon.com/marketplace/pp/prodview-mwsoycluce4h2?sr=0-54&amp;ref_=beagle&amp;applicationId=AWSMPContessa</t>
  </si>
  <si>
    <t>1950 Census Population Schedules, Enumeration District Maps, and Enumeration District Descriptions</t>
  </si>
  <si>
    <t>The 1950 Census enumeration district maps contain maps of counties, cities, and other minor civil divisions that show enumeration districts, census tracts, and related boundaries and numbers used for each census. The coverage is nation wide and includes territorial areas. The 1950 Census enumeration district descriptions contain written descriptions of census districts, subdivisions, and enumeration districts.</t>
  </si>
  <si>
    <t>https://aws.amazon.com/marketplace/pp/prodview-mt4sc2jdln3na?sr=0-55&amp;ref_=beagle&amp;applicationId=AWSMPContessa</t>
  </si>
  <si>
    <t>NOAA Atmospheric Climate Data Records</t>
  </si>
  <si>
    <t>robust, sustainable, and scientifically sound climate records that provide trustworthy information on how, where, and to what extent the land, oceans, atmosphere and ice sheets are changing. These datasets are thoroughly vetted time series measurements with the longevity, consistency, and continuity to assess and measure climate variability and change.</t>
  </si>
  <si>
    <t>https://aws.amazon.com/marketplace/pp/prodview-mmz4ve4u5cdui?sr=0-56&amp;ref_=beagle&amp;applicationId=AWSMPContessa</t>
  </si>
  <si>
    <t>Digital Earth Africa GeoMAD</t>
  </si>
  <si>
    <t>The geomedian component combines measurements collected over the specified timeframe to produce one representative, multispectral measurement for every pixel unit of the African continent. The end result is a comprehensive dataset that can be used to generate true-colour images for visual inspection of anthropogenic or natural landmarks. The full spectral dataset can be used to develop more complex algorithms</t>
  </si>
  <si>
    <t>https://aws.amazon.com/marketplace/pp/prodview-mfldvpy263lcm?sr=0-57&amp;ref_=beagle&amp;applicationId=AWSMPContessa</t>
  </si>
  <si>
    <t>Legal Entity Identifier (LEI) and Legal Entity Reference Data (LE-RD)</t>
  </si>
  <si>
    <t xml:space="preserve">The Legal Entity Identifier (LEI) is a 20-character, alpha-numeric code based on the ISO 17442 standard developed by the International Organization for Standardization (ISO). It connects to key reference information that enables clear and unique identification of legal entities participating in financial transactions. Each LEI contains information about an entity’s ownership structure and thus answers the questions of 'who is who’ and ‘who owns whom’. </t>
  </si>
  <si>
    <t>https://aws.amazon.com/marketplace/pp/prodview-mdtianyofamom?sr=0-58&amp;ref_=beagle&amp;applicationId=AWSMPContessa</t>
  </si>
  <si>
    <t>EPA Risk-Screening Environmental Indicators</t>
  </si>
  <si>
    <t>Detailed air model results from EPA’s Risk-Screening Environmental Indicators (RSEI) model.</t>
  </si>
  <si>
    <t>https://aws.amazon.com/marketplace/pp/prodview-lvtm2wxyuqzvk?sr=0-59&amp;ref_=beagle&amp;applicationId=AWSMPContessa</t>
  </si>
  <si>
    <t>Prefeitura Municipal de São Paulo (PMSP) LiDAR Point Cloud</t>
  </si>
  <si>
    <t>The objective of the Mapa 3D Digital da Cidade (M3DC) of the São Paulo City Hall is to publish LiDAR point cloud data. The initial data was acquired in 2017 by aerial surveying and future data will be added. This publicly accessible dataset is provided in the Entwine Point Tiles  format as a lossless octree, full density, based on LASzip  (LAZ) encoding.</t>
  </si>
  <si>
    <t>https://aws.amazon.com/marketplace/pp/prodview-lvlykr3ehaodg?sr=0-60&amp;ref_=beagle&amp;applicationId=AWSMPContessa</t>
  </si>
  <si>
    <t>NOAA National Digital Forecast Database (NDFD)</t>
  </si>
  <si>
    <t>suite of gridded forecasts of sensible weather elements (e.g., cloud cover, maximum temperature). Forecasts prepared by NWS field offices working in collaboration with the National Centers for Environmental Prediction (NCEP) are combined in the NDFD to create a seamless mosaic of digital forecasts from which operational NWS products are generated</t>
  </si>
  <si>
    <t>https://aws.amazon.com/marketplace/pp/prodview-lv6b5g7y5m4pm?sr=0-61&amp;ref_=beagle&amp;applicationId=AWSMPContessa</t>
  </si>
  <si>
    <t>NOAA Global Mosaic of Geostationary Satellite Imagery (GMGSI)</t>
  </si>
  <si>
    <t>NOAA/NESDIS Global Mosaic of Geostationary Satellite Imagery (GMGSI) visible (VIS), shortwave infrared (SIR), longwave infrared (LIR) imagery, and water vaport imagery (WV) are composited from data from several geostationary satellites orbiting the globe,</t>
  </si>
  <si>
    <t>https://aws.amazon.com/marketplace/pp/prodview-loe7jjlloc74k?sr=0-62&amp;ref_=beagle&amp;applicationId=AWSMPContessa</t>
  </si>
  <si>
    <t>Digital Earth Africa Water Observations from Space</t>
  </si>
  <si>
    <t>a service that draws on satellite imagery to provide historical surface water observations of the whole African continent. WOfS allows users to understand the location and movement of inland and coastal water present in the African landscape. It shows where water is usually present; where it is seldom observed; and where inundation of the surface has been observed by satellite.</t>
  </si>
  <si>
    <t>https://aws.amazon.com/marketplace/pp/prodview-lbwvvsv74xspy?sr=0-63&amp;ref_=beagle&amp;applicationId=AWSMPContessa</t>
  </si>
  <si>
    <t>IDEAM - Colombian Radar Network</t>
  </si>
  <si>
    <t>Historical and one-day delay data from the IDEAM radar network.</t>
  </si>
  <si>
    <t>https://aws.amazon.com/marketplace/pp/prodview-l6rs4jpie4ovq?sr=0-64&amp;ref_=beagle&amp;applicationId=AWSMPContessa</t>
  </si>
  <si>
    <t>Multi-Scale Ultra High Resolution (MUR) Sea Surface Temperature (SST)</t>
  </si>
  <si>
    <t>https://aws.amazon.com/marketplace/pp/prodview-kvgy4vkuhavsc?sr=0-65&amp;ref_=beagle&amp;applicationId=AWSMPContessa</t>
  </si>
  <si>
    <t>Low Altitude Disaster Imagery (LADI) Dataset</t>
  </si>
  <si>
    <t>consists of human and machine annotated airborne images collected by the Civil Air Patrol in support of various disaster responses from 2015-2019. The initial release of LADI focuses on the Atlantic hurricane seasons and coastal states along the Atlantic Ocean and Gulf of Mexico. Annotations are included for major hurricanes of Harvey, Maria, and Florence. Two key distinctions are the low altitude, oblique perspective of the imagery and disaster-related features, which are rarely featured in computer vision benchmarks and datasets.</t>
  </si>
  <si>
    <t>https://aws.amazon.com/marketplace/pp/prodview-ku4dw5smyq7mu?sr=0-66&amp;ref_=beagle&amp;applicationId=AWSMPContessa</t>
  </si>
  <si>
    <t>CBERS on AWS</t>
  </si>
  <si>
    <t>Imagery acquired by the China-Brazil Earth Resources Satellite (CBERS), 4 and 4A. The image files are recorded and processed by Instituto Nacional de Pesquisas Espaciais (INPE) and are converted to Cloud Optimized Geotiff format in order to optimize its use for cloud based applications</t>
  </si>
  <si>
    <t>https://aws.amazon.com/marketplace/pp/prodview-ksbej2lerrhyg?sr=0-67&amp;ref_=beagle&amp;applicationId=AWSMPContessa</t>
  </si>
  <si>
    <t>UK Met Office Atmospheric Deterministic and Probabilistic Forecasts</t>
  </si>
  <si>
    <t>https://aws.amazon.com/marketplace/pp/prodview-kqgzyijziofyq?sr=0-68&amp;ref_=beagle&amp;applicationId=AWSMPContessa</t>
  </si>
  <si>
    <t>Finnish Meteorological Institute Weather Radar Data</t>
  </si>
  <si>
    <t>Available composite parameters consist of radar reflectivity (DBZ), rainfall intensity (RR), and precipitation accumulation of 1, 12, and 24 hours. Single radar parameters consist of radar reflectivity (DBZ), radial velocity (VRAD), rain classification (HCLASS), and Cloud top height (ETOP 20). Raw volume data from singe radars are also provided in HDF5 format with ODIM 2.3 conventions. Radar data becomes available as soon as it's received from the radar and pre-processed into deliverable formats. Typically the most recent radar data was collected less than 5 minutes ago.</t>
  </si>
  <si>
    <t>https://aws.amazon.com/marketplace/pp/prodview-koodet467asui?sr=0-69&amp;ref_=beagle&amp;applicationId=AWSMPContessa</t>
  </si>
  <si>
    <t>NOAA U.S. Climate Normals</t>
  </si>
  <si>
    <t>The U.S. Climate Normals are a large suite of data products that provide information about typical climate conditions for thousands of locations across the United States. Normals act both as a ruler to compare today’s weather and tomorrow’s forecast, and as a predictor of conditions in the near future.These data allow travelers to pack the right clothes, farmers to plant the best crop varieties, and utilities to plan for seasonal energy usage. Many other important economic decisions that are made beyond the predictive range of standard weather forecasts are either based on or influenced by climate normals.</t>
  </si>
  <si>
    <t>https://aws.amazon.com/marketplace/pp/prodview-jnxeoznbfbu5u?sr=0-70&amp;ref_=beagle&amp;applicationId=AWSMPContessa</t>
  </si>
  <si>
    <t>Digital Earth Africa ALOS PALSAR, ALOS-2 PALSAR-2 and JERS-1</t>
  </si>
  <si>
    <t>The ALOS/PALSAR annual mosaic is a global 25 m resolution dataset that combines data from many images captured by JAXA’s PALSAR and PALSAR-2 sensors on ALOS-1 and ALOS-2 satellites respectively. This product contains radar measurement in L-band and in HH and HV polarizations. It has a spatial resolution of 25 m and is available annually for 2007 to 2010 (ALOS/PALSAR) and 2015 to 2020 (ALOS-2/PALSAR-2). The JERS annual mosaic is generated from images acquired by the SAR sensor on the Japanese Earth Resources Satellite-1 (JERS-1) satellite. This product contains radar measurement in L-band and HH polarization. It has a spatial resolution of 25 m and is available for 1996.</t>
  </si>
  <si>
    <t>https://aws.amazon.com/marketplace/pp/prodview-jk2mldmkcuzbq?sr=0-71&amp;ref_=beagle&amp;applicationId=AWSMPContessa</t>
  </si>
  <si>
    <t>SILO climate data on AWS</t>
  </si>
  <si>
    <t>SILO  is a database of Australian climate data  from 1889 to the present. It provides continuous, daily time-step data products  in ready-to-use formats  for research and operational applications</t>
  </si>
  <si>
    <t>https://aws.amazon.com/marketplace/pp/prodview-jivj3vmebl6ay?sr=0-72&amp;ref_=beagle&amp;applicationId=AWSMPContessa</t>
  </si>
  <si>
    <t>NOAA Fundamental Climate Data Records (FCDR)</t>
  </si>
  <si>
    <t>https://aws.amazon.com/marketplace/pp/prodview-jir2e4n66gfyo?sr=0-73&amp;ref_=beagle&amp;applicationId=AWSMPContessa</t>
  </si>
  <si>
    <t>High Resolution Population Density Maps + Demographic Estimates by CIESIN and Meta</t>
  </si>
  <si>
    <t>Population data for a selection of countries, allocated to 1 arcsecond blocks and provided in a combination of CSV and Cloud-optimized GeoTIFF files. This refines CIESIN’s Gridded Population of the World  using machine learning models on high-resolution worldwide Maxar satellite imagery. CIESIN population counts aggregated from worldwide census data are allocated to blocks where imagery appears to contain buildings.</t>
  </si>
  <si>
    <t>https://aws.amazon.com/marketplace/pp/prodview-jf2hjpr2mrj4m?sr=0-74&amp;ref_=beagle&amp;applicationId=AWSMPContessa</t>
  </si>
  <si>
    <t>Global Seasonal Sentinel-1 Interferometric Coherence and Backscatter Data Set</t>
  </si>
  <si>
    <t>Global coverage comprises all land masses and ice sheets from 82 degrees northern to 79 degress southern latitude. The data set is derived from high-resolution multi-temporal repeat-pass interferometric processing of about 205,000 Sentinel-1 Single-Look-Complex data acquired in Interferometric Wide-Swath mode (Sentinel-1 IW mode) from 1-Dec-2019 to 30-Nov-2020. The data set covers four sets of seasonal (DJF/MAM/JJA/SON) metrics: 1) Median 6-, 12-, 18-, 24-, 36-, and 48-day repeat coherence estimates for C-band VV and HH polarized data, 2) Mean backscatter (gamma naught) for VV, VH, HH, and HV polarizations, 3) Seasonal coherence decay model parameters rho, tau, and rmse, 4) Local incidence and layover/shadow regions for all relative orbits (175 orbits). Note that in the data set filenames the seasons were referred to as northern hemisphere winter (DJF), spring (MAM), summer (JJA), and fall (SON). The data set is available in two main components: 1) 1x1 degree tiles. Each tile contains GeoTiffs at 3 arcsec pixel spacing of all metrics available in the tile. (s3://sentinel-1-global-coherence-earthbigdata/data/tiles/), 2) Global mosaicked tiles as cloud optimized GeoTIFFs (COG) at 0.01 degree pixel spacing (s3://sentinel-1-global-coherence-earthbigdata/data/mosaics/) for each of the computed metrics.</t>
  </si>
  <si>
    <t>https://aws.amazon.com/marketplace/pp/prodview-iz6lnjbdlgcwa?sr=0-75&amp;ref_=beagle&amp;applicationId=AWSMPContessa</t>
  </si>
  <si>
    <t>Downscaled Climate Data for Alaska</t>
  </si>
  <si>
    <t>This dataset contains historical and projected dynamically downscaled climate data for the State of Alaska and surrounding regions at 20km spatial resolution and hourly temporal resolution. Select variables are also summarized into daily resolutions</t>
  </si>
  <si>
    <t>https://aws.amazon.com/marketplace/pp/prodview-ixyavctz3bw3u?sr=0-76&amp;ref_=beagle&amp;applicationId=AWSMPContessa</t>
  </si>
  <si>
    <t>USGS Landsat</t>
  </si>
  <si>
    <t>This joint NASA/USGS program provides the longest continuous space-based record of Earth’s land in existence. Every day, Landsat satellites provide essential information to help land managers and policy makers make wise decisions about our resources and our environment. Data is provided for Landsats 1, 2, 3, 4, 5, 7, and 8.</t>
  </si>
  <si>
    <t>https://aws.amazon.com/marketplace/pp/prodview-ivr4jeq6flk7u?sr=0-77&amp;ref_=beagle&amp;applicationId=AWSMPContessa</t>
  </si>
  <si>
    <t xml:space="preserve"> </t>
  </si>
  <si>
    <t>NOAA National Bathymetric Source Data</t>
  </si>
  <si>
    <t>The National Bathymetric Source (NBS) project creates and maintains high-resolution bathymetry composed of the best available data. Primary sources of bathymetry include NOAA and U.S. Army Corps of Engineers hydrographic surveys and topographic bathymetric (topo-bathy) lidar (light detection and ranging) data. Data submitted through the NOAA Office of Coast Survey’s external source data process are also included, with gaps in deep water filled through Global Multi-Resolution Topography, a merged model of bathymetry. Different vertical datums and file formats are made available to meet various uses. The BlueTopo folder includes multilayer floating point GeoTIFFs with associated Raster Attribute Tables (RAT) containing elevation, vertical uncertainty, with other quality metrics and source information</t>
  </si>
  <si>
    <t>https://aws.amazon.com/marketplace/pp/prodview-hpxjylo2pzyqo?sr=0-78&amp;ref_=beagle&amp;applicationId=AWSMPContessa</t>
  </si>
  <si>
    <t>NOAA Global Forecast System (GFS)</t>
  </si>
  <si>
    <t>a weather forecast model produced by the National Centers for Environmental Prediction (NCEP). Dozens of atmospheric and land-soil variables are available through this dataset, from temperatures, winds, and precipitation to soil moisture and atmospheric ozone concentration.</t>
  </si>
  <si>
    <t>https://aws.amazon.com/marketplace/pp/prodview-hok7o2o24ktfi?sr=0-79&amp;ref_=beagle&amp;applicationId=AWSMPContessa</t>
  </si>
  <si>
    <t>ComStock</t>
  </si>
  <si>
    <t>The commercial building sector stock model, or ComStock, is a highly granular, bottom-up model that uses multiple data sources, statistical sampling methods, and advanced building energy simulations to estimate the annual sub-hourly energy consumption of the commercial building stock across the United States.</t>
  </si>
  <si>
    <t>https://aws.amazon.com/marketplace/pp/prodview-h2x4naanu4q36?sr=0-80&amp;ref_=beagle&amp;applicationId=AWSMPContessa</t>
  </si>
  <si>
    <t>Sounds of Central African landscapes</t>
  </si>
  <si>
    <t>Archival soundscapes recorded in the rainforest landscapes of Central Africa, with a focus on the vocalizations of African forest elephants (Loxodonta cyclotis).</t>
  </si>
  <si>
    <t>https://aws.amazon.com/marketplace/pp/prodview-gy675thtcjzjy?sr=0-81&amp;ref_=beagle&amp;applicationId=AWSMPContessa</t>
  </si>
  <si>
    <t>Storm EVent ImageRy (SEVIR)</t>
  </si>
  <si>
    <t>Collection of spatially and temporally aligned GOES-16 ABI satellite imagery, NEXRAD radar mosaics, and GOES-16 GLM lightning detections.</t>
  </si>
  <si>
    <t>https://aws.amazon.com/marketplace/pp/prodview-guxsdrz6onxd6?sr=0-82&amp;ref_=beagle&amp;applicationId=AWSMPContessa</t>
  </si>
  <si>
    <t>Swiss Public Transport Stops</t>
  </si>
  <si>
    <t>The basic geo-data set for public transport stops comprises public transport stops in Switzerland and additional selected geo-referenced public transport locations that are of operational or structural importance (operating points).</t>
  </si>
  <si>
    <t>https://aws.amazon.com/marketplace/pp/prodview-guxfnw4igfia2?sr=0-83&amp;ref_=beagle&amp;applicationId=AWSMPContessa</t>
  </si>
  <si>
    <t>GEOS-Chem Input Data</t>
  </si>
  <si>
    <t>Input data for the GEOS-Chem Chemical Transport Model. Including the NASA/GMAO MERRA-2 and GEOS-FP meteorological products , the HEMCO emission inventories , and other small data such as model initial conditions .</t>
  </si>
  <si>
    <t>https://aws.amazon.com/marketplace/pp/prodview-gsu7hiudejnxq?sr=0-84&amp;ref_=beagle&amp;applicationId=AWSMPContessa</t>
  </si>
  <si>
    <t>First Street Foundation (FSF) Flood Risk Summary Statistics</t>
  </si>
  <si>
    <t>CSV files of flood statistics for the 48 contiguous states at the congressional district, county, and zip code level. The CSV for each of these geographical extents includes statistics on the amount of properties at risk according to FEMA, the number of properties at risk according to First Street Foundation, and the difference between the two.</t>
  </si>
  <si>
    <t>https://aws.amazon.com/marketplace/pp/prodview-g7s2ug7z3t4ue?sr=0-85&amp;ref_=beagle&amp;applicationId=AWSMPContessa</t>
  </si>
  <si>
    <t>iNaturalist Licensed Observation Images</t>
  </si>
  <si>
    <t>iNaturalist is a community science effort in which participants share observations of living organisms that they encounter and document with photographic evidence, location, and date. The community works together reviewing these images to identify these observations to species. This collection represents the licensed images accompanying iNaturalist observations.</t>
  </si>
  <si>
    <t>https://aws.amazon.com/marketplace/pp/prodview-g7n63brq7226g?sr=0-86&amp;ref_=beagle&amp;applicationId=AWSMPContessa</t>
  </si>
  <si>
    <t>NOAA National Water Model CONUS Retrospective Dataset</t>
  </si>
  <si>
    <t xml:space="preserve">The NOAA National Water Model Retrospective dataset contains input and output from multi-decade CONUS retrospective simulations. These simulations used meteorological input fields from meteorological retrospective datasets. The output frequency and fields available in this historical NWM dataset differ from those contained in the real-time operational NWM forecast model. One application of this dataset is to provide historical context to current near real-time streamflow, soil moisture and snowpack conditions. The retrospective data can be used to infer flow frequencies and perform temporal analyses with hourly streamflow output and 3-hourly land surface output. This dataset can also be used in the development of end user applications which require a long baseline of data for system training or verification purposes. </t>
  </si>
  <si>
    <t>https://aws.amazon.com/marketplace/pp/prodview-g6lcchc7brshw?sr=0-87&amp;ref_=beagle&amp;applicationId=AWSMPContessa</t>
  </si>
  <si>
    <t>Maxar Open Data Program</t>
  </si>
  <si>
    <t>Pre and post event high-resolution satellite imagery in support of emergency planning, risk assessment, monitoring of staging areas and emergency response, damage assessment, and recovery. Also incudes crowdsourced damage assessments for major, sudden onset disasters.</t>
  </si>
  <si>
    <t>https://aws.amazon.com/marketplace/pp/prodview-g633slgikxiqk?sr=0-88&amp;ref_=beagle&amp;applicationId=AWSMPContessa</t>
  </si>
  <si>
    <t>CMIP6 GCMs downscaled using WRF</t>
  </si>
  <si>
    <t>High-resolution historical and future climate simulations from 1980-2100</t>
  </si>
  <si>
    <t>https://aws.amazon.com/marketplace/pp/prodview-g4wqgpy2pa5dk?sr=0-89&amp;ref_=beagle&amp;applicationId=AWSMPContessa</t>
  </si>
  <si>
    <t>Sea Surface Temperature Daily Analysis: European Space Agency Climate Change Initiative product version 2.1</t>
  </si>
  <si>
    <t>Global daily-mean sea surface temperatures, presented on a 0.05° latitude-longitude grid, with gaps between available daily observations filled by statistical means, spanning late 1981 to recent time. Suitable for large-scale oceanographic meteorological and climatological applications, such as evaluating or constraining environmental models or case-studies of marine heat wave events. Includes temperature uncertainty information and auxiliary information about land-sea fraction and sea-ice coverage.</t>
  </si>
  <si>
    <t>https://aws.amazon.com/marketplace/pp/prodview-frvzatixledgs?sr=0-90&amp;ref_=beagle&amp;applicationId=AWSMPContessa</t>
  </si>
  <si>
    <t>CAM6 Data Assimilation Research Testbed (DART) Reanalysis: Cloud-Optimized Dataset</t>
  </si>
  <si>
    <t>They come from an 80 member ensemble reanalysis of the global troposphere and stratosphere using DART and CAM6. The data products represent states of the atmosphere consistent with observations from 2011 through 2019 at 1 degree horizontal resolution and weekly frequency. Each ensemble member is an equally likely description of the atmosphere, and is also consistent with dynamics and physics of CAM6. The dataset also contains corresponding land surface values at 6-hourly frequency.</t>
  </si>
  <si>
    <t>https://aws.amazon.com/marketplace/pp/prodview-fooxeketozp44?sr=0-91&amp;ref_=beagle&amp;applicationId=AWSMPContessa</t>
  </si>
  <si>
    <t>NOAA World Ocean Database (WOD)</t>
  </si>
  <si>
    <t xml:space="preserve">The World Ocean Database (WOD) is the largest uniformly formatted, quality-controlled, publicly available historical subsurface ocean profile database. From Captain Cook's second voyage in 1772 to today's automated Argo floats, global aggregation of ocean variable information including temperature, salinity, oxygen, nutrients, and others vs. depth allow for study and understanding of the changing physical, chemical, and to some extent biological state of the World's Oceans. </t>
  </si>
  <si>
    <t>https://aws.amazon.com/marketplace/pp/prodview-fmmpvlozifeya?sr=0-92&amp;ref_=beagle&amp;applicationId=AWSMPContessa</t>
  </si>
  <si>
    <t>High Resolution Downscaled Climate Data for Southeast Alaska</t>
  </si>
  <si>
    <t>This dataset contains historical and projected dynamically downscaled climate data for the Southeast region of the State of Alaska at 1 and 4km spatial resolution and hourly temporal resolution. Select variables are also summarized into daily resolutions. This data was produced using the Weather Research and Forecasting (WRF) model (Version 4.0). We downscaled both Climate Forecast System Reanalysis (CFSR) historical reanalysis data (1980-2019) and both historical and projected runs from two GCM’s from the Coupled Model Inter-comparison Project 5 (CMIP5): GFDL-CM3 and NCAR-CCSM4 (historical run: 1980-2010 and RCP 8.5: 2030-2060).</t>
  </si>
  <si>
    <t>https://aws.amazon.com/marketplace/pp/prodview-fg6u2qte5llzi?sr=0-93&amp;ref_=beagle&amp;applicationId=AWSMPContessa</t>
  </si>
  <si>
    <t>JMA Himawari-8</t>
  </si>
  <si>
    <t>Himawari-8, stationed at 140E, owned and operated by the Japan Meteorological Agency (JMA), is a geostationary meteorological satellite, with Himawari-9 as on-orbit back-up, that provides constant and uniform coverage of east Asia, and the west and central Pacific regions from around 35,800 km above the equator with an orbit corresponding to the period of the earth’s rotation. This allows JMA weather offices to perform uninterrupted observation of environmental phenomena such as typhoons, volcanoes, and general weather systems. Archive data back to July 2015 is available for Full Disk (AHI-L1b-FLDK) products in the bucket</t>
  </si>
  <si>
    <t>https://aws.amazon.com/marketplace/pp/prodview-eu33kalocbhiw?sr=0-94&amp;ref_=beagle&amp;applicationId=AWSMPContessa</t>
  </si>
  <si>
    <t>NOAA Global Historical Climatology Network Daily (GHCN-D)</t>
  </si>
  <si>
    <t>Global Historical Climatology Network - Daily is a dataset from NOAA that contains daily observations over global land areas. It contains station-based measurements from land-based stations worldwide, about two thirds of which are for precipitation measurement only. Other meteorological elements include, but are not limited to, daily maximum and minimum temperature, temperature at the time of observation, snowfall and snow depth. It is a composite of climate records from numerous sources that were merged together and subjected to a common suite of quality assurance reviews. Some data are more than 175 years old. The data is in CSV format. Each file corresponds to a year from 1763 to present and is named as such.</t>
  </si>
  <si>
    <t>https://aws.amazon.com/marketplace/pp/prodview-dzppucmwfpuk4?sr=0-95&amp;ref_=beagle&amp;applicationId=AWSMPContessa</t>
  </si>
  <si>
    <t>Global Biodiversity Information Facility (GBIF) Species Occurrences</t>
  </si>
  <si>
    <t>The Global Biodiversity Information Facility (GBIF) is an international network and data infrastructure funded by the world's governments providing global data that document the occurrence of species. GBIF currently integrates datasets documenting over 1.6 billion species occurrences, growing daily. The GBIF occurrence dataset combines data from a wide array of sources including specimen-related data from natural history museums, observations from citizen science networks and environment recording schemes. While these data are constantly changing at GBIF.org, periodic snapshots are taken and made available on AWS.</t>
  </si>
  <si>
    <t>https://aws.amazon.com/marketplace/pp/prodview-dvyemtksskta2?sr=0-96&amp;ref_=beagle&amp;applicationId=AWSMPContessa</t>
  </si>
  <si>
    <t>NOAA Unified Forecast System Subseasonal to Seasonal Prototypes</t>
  </si>
  <si>
    <t xml:space="preserve">The datasets includes all the major weather variables for atmosphere, land, ocean, sea ice, and ocean waves. </t>
  </si>
  <si>
    <t>https://aws.amazon.com/marketplace/pp/prodview-dpbz3udi2e2ny?sr=0-97&amp;ref_=beagle&amp;applicationId=AWSMPContessa</t>
  </si>
  <si>
    <t>NOAA National Blend of Models (NBM)</t>
  </si>
  <si>
    <t xml:space="preserve">The National Blend of Models (NBM) is a nationally consistent and skillful suite of calibrated forecast guidance based on a blend of both NWS and non-NWS numerical weather prediction model data and post-processed model guidance. The goal of the NBM is to create a highly accurate, skillful and consistent starting point for the gridded forecast. </t>
  </si>
  <si>
    <t>https://aws.amazon.com/marketplace/pp/prodview-dn3lfyvesyh42?sr=0-98&amp;ref_=beagle&amp;applicationId=AWSMPContessa</t>
  </si>
  <si>
    <t>CCAFS-Climate Data</t>
  </si>
  <si>
    <t>High resolution climate data to help assess the impacts of climate change primarily on agriculture. These open access datasets of climate projections will help researchers make climate change impact assessments.</t>
  </si>
  <si>
    <t>https://aws.amazon.com/marketplace/pp/prodview-d3e7zdpfaepwu?sr=0-99&amp;ref_=beagle&amp;applicationId=AWSMPContessa</t>
  </si>
  <si>
    <t>NOAA Rapid Refresh (RAP)</t>
  </si>
  <si>
    <t>The Rapid Refresh (RAP) is a NOAA/NCEP operational weather prediction system comprised primarily of a numerical forecast model and analysis/assimilation system to initialize that model. It covers North America and is run with a horizontal resolution of 13 km and 50 vertical layers. The RAP was developed to serve users needing frequently updated short-range weather forecasts, including those in the US aviation community and US severe weather forecasting community. The model is run for every hour of the day; it is integrated to 51 hours for the 03/09/15/21 UTC cycles and to 21 hours for every other cycle. The RAP uses the ARW core of the WRF model and the Gridpoint Statistical Interpolation (GSI) analysis - the analysis is aided with the assimilation of cloud and hydrometeor data to provide more skill in short-range cloud and precipitation forecasts.</t>
  </si>
  <si>
    <t>https://aws.amazon.com/marketplace/pp/prodview-cudzt5ffcconu?sr=0-100&amp;ref_=beagle&amp;applicationId=AWSMPContessa</t>
  </si>
  <si>
    <t>NAIP on AWS</t>
  </si>
  <si>
    <t>The National Agriculture Imagery Program (NAIP) acquires aerial imagery during the agricultural growing seasons in the continental U.S. This "leaf-on" imagery andtypically ranges from 60 centimeters to 100 centimeters in resolution and is available from the naip-analytic Amazon S3 bucket as 4-band (RGB + NIR) imagery in MRF format, on naip-source Amazon S3 bucket as 4-band (RGB + NIR) in uncompressed Raw GeoTiff format and naip-visualization as 3-band (RGB) Cloud Optimized GeoTiff format. NAIP data is delivered at the state level; every year, a number of states receive updates, with an overall update cycle of two or three years</t>
  </si>
  <si>
    <t>https://aws.amazon.com/marketplace/pp/prodview-cedhkcjocmfs4?sr=0-101&amp;ref_=beagle&amp;applicationId=AWSMPContessa</t>
  </si>
  <si>
    <t>Southern California Earthquake Data</t>
  </si>
  <si>
    <t>This dataset contains ground motion velocity and acceleration seismic waveforms recorded by the Southern California Seismic Network (SCSN) and archived at the Southern California Earthquake Data Center (SCEDC).</t>
  </si>
  <si>
    <t>https://aws.amazon.com/marketplace/pp/prodview-c4rk5lxymj43i?sr=0-102&amp;ref_=beagle&amp;applicationId=AWSMPContessa</t>
  </si>
  <si>
    <t>Coupled Model Intercomparison Project 6</t>
  </si>
  <si>
    <t xml:space="preserve">The sixth phase of global coupled ocean-atmosphere general circulation model ensemble. </t>
  </si>
  <si>
    <t>https://aws.amazon.com/marketplace/pp/prodview-bx4jg33ee4j6c?sr=0-103&amp;ref_=beagle&amp;applicationId=AWSMPContessa</t>
  </si>
  <si>
    <t>ISERV</t>
  </si>
  <si>
    <t>ISS SERVIR Environmental Research and Visualization System (ISERV) was a fully-automated prototype camera aboard the International Space Station that was tasked to capture high-resolution Earth imagery of specific locations at 3-7 frames per second. In the course of its regular operations during 2013 and 2014, ISERV's camera acquired images that can be used primaliry in use is environmental and disaster management.</t>
  </si>
  <si>
    <t>https://aws.amazon.com/marketplace/pp/prodview-bnledtcntchye?sr=0-104&amp;ref_=beagle&amp;applicationId=AWSMPContessa</t>
  </si>
  <si>
    <t>World Bank - Light Every Night</t>
  </si>
  <si>
    <t>Light Every Night - World Bank Nightime Light Data – provides open access to all nightly imagery and data from the Visible Infrared Imaging Radiometer Suite Day-Night Band (VIIRS DNB) from 2012-2020 and the Defense Meteorological Satellite Program Operational Linescan System (DMSP-OLS) from 1992-2013. The underlying data are sourced from the NOAA National Centers for Environmental Information (NCEI) archive. Additional processing by the University of Michigan enables access in Cloud Optimized GeoTIFF format (COG) and search using the Spatial Temporal Asset Catalog (STAC) standard. The data is published and openly available under the terms of the World Bank’s open data license.</t>
  </si>
  <si>
    <t>https://aws.amazon.com/marketplace/pp/prodview-b23gbtlgkgbuq?sr=0-105&amp;ref_=beagle&amp;applicationId=AWSMPContessa</t>
  </si>
  <si>
    <t>NOAA Unified Forecast System Weather Model (UFS-WM) Regression Tests</t>
  </si>
  <si>
    <t xml:space="preserve">The Unified Forecast System (UFS) is a community-based, coupled, comprehensive Earth Modeling System. The ufs-weather-model (UFS-WM) is the model source of the UFS for NOAA’s operational numerical weather prediction applications. The UFS-WM Regression Test (RT) is the testing software to ensure that previously developed and tested capabilities in UFS-WM still work after code changes are integrated into the system. It is required that UFS-WM RTs are performed successfully on the required Tier-1 platforms whenever code changes are made to the UFS-WM. The results of the UFS-WM RTs are summarized in log files and these files will be committed to the UFS-WM repository along with the code changes. Currently, the UFS-WM RTs have been developed to support several applications targeted for operational implementations including the global weather forecast, subseasonal to seasonal forecasts, hurricane forecast, regional rapid refresh forecast, and ocean analysis. </t>
  </si>
  <si>
    <t>https://aws.amazon.com/marketplace/pp/prodview-az2fsalpokx7k?sr=0-106&amp;ref_=beagle&amp;applicationId=AWSMPContessa</t>
  </si>
  <si>
    <t>Sentinel-2 L2A 120m Mosaic</t>
  </si>
  <si>
    <t>Sentinel-2 L2A 120m mosaic is a derived product, which contains best pixel values for 10-daily periods, modelled by removing the cloudy pixels and then performing interpolation among remaining values. As there are some parts of the world, which have lengthy cloudy periods, clouds might be remaining in some parts. The actual modelling script is available here .</t>
  </si>
  <si>
    <t>https://aws.amazon.com/marketplace/pp/prodview-axwz25lgcwmnu?sr=0-107&amp;ref_=beagle&amp;applicationId=AWSMPContessa</t>
  </si>
  <si>
    <t>Ozone Monitoring Instrument (OMI) / Aura NO2 Tropospheric Column Density</t>
  </si>
  <si>
    <t>NO2 tropospheric column density, screened for CloudFraction &lt; 30% global daily composite at 0.25 degree resolution for the temporal range of 2004 to May 2020. Original archive data in HDF5 has been processed into a Cloud-Optimized GeoTiff (COG)  format. Quality Assurance - This data has been validated by the NASA Science Team at Goddard Space Flight Center.</t>
  </si>
  <si>
    <t>https://aws.amazon.com/marketplace/pp/prodview-avs4bcxwajt4q?sr=0-108&amp;ref_=beagle&amp;applicationId=AWSMPContessa</t>
  </si>
  <si>
    <t>NOAA Real-Time Mesoscale Analysis (RTMA)</t>
  </si>
  <si>
    <t>The Real-Time Mesoscale Analysis (RTMA) is a NOAA National Centers For Environmental Prediction (NCEP) high-spatial and temporal resolution analysis/assimilation system for near-surf ace weather conditions. Its main component is the NCEP/EMC Gridpoint Statistical Interpolation (GSI) system applied in two-dimensional variational mode to assimilate conventional and satellite-derived observations. The RTMA was developed to support NDFD operations and provide field forecasters with high quality analyses for nowcasting, situational awareness, and forecast verification purposes. The system produces hourly analyses at 2. 5 km resolution for the Conus NDFD grid, 3 km for the Alaska NDFD grid and 2.5 km for the Hawaii, Puerto-Rico and Guam NDFD grids. Data is available from the start of 2019 until present.</t>
  </si>
  <si>
    <t>https://aws.amazon.com/marketplace/pp/prodview-avfxxhmezqpsw?sr=0-109&amp;ref_=beagle&amp;applicationId=AWSMPContessa</t>
  </si>
  <si>
    <t>NOAA Global Ensemble Forecast System (GEFS) Re-forecast</t>
  </si>
  <si>
    <t xml:space="preserve">NOAA has generated a multi-decadal reanalysis and reforecast data set to accompany the next-generation version of its ensemble prediction system, the Global Ensemble Forecast System, version 12 (GEFSv12). Accompanying the real-time forecasts are “reforecasts” of the weather, that is, retrospective forecasts spanning the period 2000-2019. These reforecasts are not as numerous as the real-time data; they were generated only once per day, from 00 UTC initial conditions, and only 5 members were provided, with the following exception. Once weekly, an 11-member reforecast was generated, and these extend in lead time to +35 days. </t>
  </si>
  <si>
    <t>https://aws.amazon.com/marketplace/pp/prodview-ae4rze4k5yi74?sr=0-110&amp;ref_=beagle&amp;applicationId=AWSMPContessa</t>
  </si>
  <si>
    <t>NOAA Continuously Operating Reference Stations (CORS) Network (NCN)</t>
  </si>
  <si>
    <t>The NOAA Continuously Operating Reference Stations (CORS) Network (NCN) , managed by NOAA/National Geodetic Survey (NGS ), provide Global Navigation Satellite System (GNSS) data, supporting three dimensional positioning, meteorology, space weather, and geophysical applications throughout the United States.</t>
  </si>
  <si>
    <t>https://aws.amazon.com/marketplace/pp/prodview-acuz7izrqdlds?sr=0-111&amp;ref_=beagle&amp;applicationId=AWSMPContessa</t>
  </si>
  <si>
    <t>AgricultureVision</t>
  </si>
  <si>
    <t>Agriculture-Vision aims to be a publicly available large-scale aerial agricultural image dataset that is high-resolution, multi-band, and with multiple types of patterns annotated by agronomy experts. The original dataset affiliated with the 2020 CVPR paper includes 94,986 512x512images sampled from 3,432 farmlands with nine types of annotations: double plant, drydown, endrow, nutrient deficiency, planter skip, storm damage, water, waterway and weed cluster. All of these patterns have substantial impacts on field conditions and the final yield. These farmland images were captured between 2017 and 2019 across multiple growing seasons in numerous farming locations in the US. Each field image contains four color channels: Near-infrared (NIR), Red, Green and Blue. We first randomly split the 3,432 farmland images with a 6/2/2 train/val/test ratio</t>
  </si>
  <si>
    <t>https://aws.amazon.com/marketplace/pp/prodview-a5p4wkdat6cnc?sr=0-112&amp;ref_=beagle&amp;applicationId=AWSMPContessa</t>
  </si>
  <si>
    <t>SpaceNet</t>
  </si>
  <si>
    <t>SpaceNet, launched in August 2016 as an open innovation project offering a repository of freely available imagery with co-registered map features. Before SpaceNet, computer vision researchers had minimal options to obtain free, precision-labeled, and high-resolution satellite imagery. Today, SpaceNet hosts datasets developed by its own team, along with data sets from projects like IARPA’s Functional Map of the World (fMoW).</t>
  </si>
  <si>
    <t>https://aws.amazon.com/marketplace/pp/prodview-7c7ovhfysh6yk?sr=0-113&amp;ref_=beagle&amp;applicationId=AWSMPContessa</t>
  </si>
  <si>
    <t>NOAA National Water Model Short-Range Forecast</t>
  </si>
  <si>
    <t>The National Water Model (NWM) is a water resources model that simulates and forecasts water budget variables, including snowpack, evapotranspiration, soil moisture and streamflow, over the entire continental United States (CONUS). The model, launched in August 2016, is designed to improve the ability of NOAA to meet the needs of its stakeholders (forecasters, emergency managers, reservoir operators, first responders, recreationists, farmers, barge operators, and ecosystem and floodplain managers) by providing expanded accuracy, detail, and frequency of water information. It is operated by NOAA’s Office of Water Prediction. This bucket contains a four-week rollover of the Short Range Forecast model output and the corresponding forcing data for the model. The model is forced with meteorological data from the High Resolution Rapid Refresh (HRRR) and the Rapid Refresh (RAP) models. The Short Range Forecast configuration cycles hourly and produces hourly deterministic forecasts of streamflow and hydrologic states out to 18 hours.</t>
  </si>
  <si>
    <t>https://aws.amazon.com/marketplace/pp/prodview-73iwu7dcfuge2?sr=0-114&amp;ref_=beagle&amp;applicationId=AWSMPContessa</t>
  </si>
  <si>
    <t>National Herbarium of NSW</t>
  </si>
  <si>
    <t>The National Herbarium of New South Wales is one of the most significant scientific, cultural and historical botanical resources in the Southern hemisphere. The 1.43 million preserved plant specimens have been captured as high-resolution images and the biodiversity metadata associated with each of the images captured in digital form. Botanical specimens date from year 1770 to today, and form voucher collections that document the distribution and diversity of the world's flora through time, particularly that of NSW, Austalia and the Pacific.</t>
  </si>
  <si>
    <t>https://aws.amazon.com/marketplace/pp/prodview-6zq43js5rxnpo?sr=0-115&amp;ref_=beagle&amp;applicationId=AWSMPContessa</t>
  </si>
  <si>
    <t>NOAA North American Mesoscale Forecast System (NAM)</t>
  </si>
  <si>
    <t>The North American Mesoscale Forecast System (NAM) is one of the National Centers For Environmental Prediction’s (NCEP) major models for producing weather forecasts. NAM generates multiple grids (or domains) of weather forecasts over the North American continent at various horizontal resolutions. Each grid contains data for dozens of weather parameters, including temperature, precipitation, lightning, and turbulent kinetic energy. NAM uses additional numerical weather models to generate high-resolution forecasts over fixed regions, and occasionally to follow significant weather events like hurricanes.</t>
  </si>
  <si>
    <t>https://aws.amazon.com/marketplace/pp/prodview-6i3fv77kpffsi?sr=0-116&amp;ref_=beagle&amp;applicationId=AWSMPContessa</t>
  </si>
  <si>
    <t>NOAA Rapid Refresh Forecast System (RRFS) Ensemble [Prototype]</t>
  </si>
  <si>
    <t>The RRFS will provide guidance to support forecast interests including, but not limited to, aviation, severe convective weather, renewable energy, heavy precipitation, and winter weather on timescales where rapidly-updated guidance is particularly useful.</t>
  </si>
  <si>
    <t>https://aws.amazon.com/marketplace/pp/prodview-6gnlo7qnnnwgs?sr=0-117&amp;ref_=beagle&amp;applicationId=AWSMPContessa</t>
  </si>
  <si>
    <t>NASA NEX</t>
  </si>
  <si>
    <t>A collection of Earth science datasets maintained by NASA, including climate change projections and satellite images of the Earth's surface.</t>
  </si>
  <si>
    <t>https://aws.amazon.com/marketplace/pp/prodview-6aj5tqudfq34k?sr=0-118&amp;ref_=beagle&amp;applicationId=AWSMPContessa</t>
  </si>
  <si>
    <t>Community Earth System Model Large Ensemble (CESM LENS)</t>
  </si>
  <si>
    <t>The Community Earth System Model (CESM) Large Ensemble Numerical Simulation (LENS) dataset includes a 40-member ensemble of climate simulations for the period 1920-2100 using historical data (1920-2005) or assuming the RCP8.5 greenhouse gas concentration scenario (2006-2100), as well as longer control runs based on pre-industrial conditions. The data comprise both surface (2D) and volumetric (3D) variables in the atmosphere, ocean, land, and ice domains. The total data volume of the original dataset is ~500TB, which has traditionally been stored as ~150,000 individual CF/NetCDF files on disk or magnetic tape made available through the NCAR Climate Data Gateway for download or via web services.</t>
  </si>
  <si>
    <t>https://aws.amazon.com/marketplace/pp/prodview-64didssatyxno?sr=0-119&amp;ref_=beagle&amp;applicationId=AWSMPContessa</t>
  </si>
  <si>
    <t>USGS 3DEP LiDAR Point Clouds</t>
  </si>
  <si>
    <t>The goal of the USGS 3D Elevation Program   (3DEP) is to collect elevation data in the form of light detection and ranging (LiDAR) data over the conterminous United States, Hawaii, and the U.S. territories, with data acquired over an 8-year period. This dataset provides two realizations of the 3DEP point cloud data. The first resource is a public access organization provided in Entwine Point Tiles  format, which a lossless, full-density, streamable octree based on LASzip  (LAZ) encoding. The second resource is a Requester Pays of the original, Raw LAZ (Compressed LAS) 1.4 3DEP format, and more complete in coverage, as sources with incomplete or missing CRS, will not have an ETP tile generated. Resource names in both buckets correspond to the USGS project names</t>
  </si>
  <si>
    <t>https://aws.amazon.com/marketplace/pp/prodview-647e3hzk3b3jc?sr=0-120&amp;ref_=beagle&amp;applicationId=AWSMPContessa</t>
  </si>
  <si>
    <t>ARPA-E PERFORM Forecast data</t>
  </si>
  <si>
    <t>The ARPA-E PERFORM Program is an ARPA-E funded program that aim to use time-coincident power and load seeks to develop innovative management systems that represent the relative delivery risk of each asset and balance the collective risk of all assets across the grid. A risk-driven paradigm allows operators to: (i) fully understand the true likelihood of maintaining a supply-demand balance and system reliability, (ii) optimally manage the system, and (iii) assess the true value of essential reliability services. This paradigm shift is critical for all power systems and is essential for grids with high levels of stochastic resources. Projects will propose methods to quantify and manage risk at the asset level and at the system level.
In support of the ARPA-E PERFORM project, NREL has produced a set of time-coincident load, wind, and solar generation profiles, including actual and forecasting time series. Both actuals and forecasts are provided in form of time-series with high temporal and spatial fidelity. Both deterministic and probabilistic forecasts are contained in the dataset.</t>
  </si>
  <si>
    <t>https://aws.amazon.com/marketplace/pp/prodview-5y7hgomqj6xcu?sr=0-121&amp;ref_=beagle&amp;applicationId=AWSMPContessa</t>
  </si>
  <si>
    <t>Terra Fusion Data Sampler</t>
  </si>
  <si>
    <t>The Terra Basic Fusion dataset is a fused dataset of the original Level 1 radiances from the five Terra instruments. They have been fully validate to contain the original Terra instrument Level 1 data. Each Level 1 Terra Basic Fusion file contains one full Terra orbit of data and is typically 15 – 40 GB in size, depending on how much data was collected for that orbit. It contains instrument radiance in physical units; radiance quality indicator; geolocation for each IFOV at its native resolution; sun-view geometry; bservation time; and other attributes/metadata.
Terra is the flagship satellite of NASA’s Earth Observing System (EOS). It was launched into orbit on December 18, 1999 and carries five instruments. These are the Moderate-resolution Imaging Spectroradiometer (MODIS), the Multi-angle Imaging SpectroRadiometer (MISR), the Advanced Spaceborne Thermal Emission and Reflection Radiometer (ASTER), the Clouds and Earth’s Radiant Energy System (CERES), and the Measurements of Pollution in the Troposphere (MOPITT).</t>
  </si>
  <si>
    <t>https://aws.amazon.com/marketplace/pp/prodview-5xvkxre4wfnpg?sr=0-122&amp;ref_=beagle&amp;applicationId=AWSMPContessa</t>
  </si>
  <si>
    <t>SMN Hi-Res Weather Forecast over Argentina</t>
  </si>
  <si>
    <t>The Servicio Meteorológico Nacional de Argentina (SMN-Arg), the National Meteorological Service of Argentina, shares its deterministic forecasts generated with WRF 4.0 (Weather and Research Forecasting) initialized at 00 and 12 UTC every day. This forecast includes some key hourly surface variables –2 m temperature, 2 m relative humidity, 10 m wind magnitude and direction, and precipitation–, along with other daily variables, minimum and maximum temperature. The forecast covers Argentina, Chile, Uruguay, Paraguay and parts of Bolivia and Brazil in a Lambert conformal projection, with 4 km horizontal resolution. The maximum lead time is 72 hours. Forecasts are initialized with the NCEP-NOAA Global Forecast Systems analysis and forecasts (GFS ).</t>
  </si>
  <si>
    <t>https://aws.amazon.com/marketplace/pp/prodview-5xh76dgeyyfby?sr=0-123&amp;ref_=beagle&amp;applicationId=AWSMPContessa</t>
  </si>
  <si>
    <t>Department of Energy's Open Energy Data Initiative (OEDI)</t>
  </si>
  <si>
    <t>Data released under the Department of Energy's Open Energy Data Initiative (DOE). The Open Energy Data Initiative (OEDI) aims to improve and automate access of high-value energy data sets across the U.S. Department of Energy’s (DOE’s) programs, offices, and national laboratories. OEDI aims to make data actionable and discoverable by researchers and industry to accelerate analysis and advance innovation.</t>
  </si>
  <si>
    <t>https://aws.amazon.com/marketplace/pp/prodview-5o2zd72rx3366?sr=0-124&amp;ref_=beagle&amp;applicationId=AWSMPContessa</t>
  </si>
  <si>
    <t>Pacific Ocean Sound Recordings</t>
  </si>
  <si>
    <t>This project offers passive acoustic data (sound recordings) from a deep-ocean environment off central California. Recording began in July 2015, has been nearly continuous, and is ongoing. These resources are intended for applications in ocean soundscape research, education, and the arts.</t>
  </si>
  <si>
    <t>https://aws.amazon.com/marketplace/pp/prodview-4ufqiltbdbdfo?sr=0-125&amp;ref_=beagle&amp;applicationId=AWSMPContessa</t>
  </si>
  <si>
    <t>NOAA U.S. Climate Gridded Dataset (NClimGrid)</t>
  </si>
  <si>
    <t>The NOAA Monthly U.S. Climate Gridded Dataset (NClimGrid) consists of four climate variables derived from the GHCN-D dataset: maximum temperature, minimum temperature, average temperature and precipitation. Each file provides monthly values in a 5x5 lat/lon grid for the Continental United States. Data is available from 1895 to the present.</t>
  </si>
  <si>
    <t>https://aws.amazon.com/marketplace/pp/prodview-4q3eaq7bdej44?sr=0-126&amp;ref_=beagle&amp;applicationId=AWSMPContessa</t>
  </si>
  <si>
    <t>New Jersey Statewide LiDAR</t>
  </si>
  <si>
    <t>Elevation datasets in New Jersey have been collected over several years as several discrete projects. Each project covers a geographic area, which is a subsection of the entire state, and has differing specifications based on the available technology at the time and project budget</t>
  </si>
  <si>
    <t>https://aws.amazon.com/marketplace/pp/prodview-4lpmuzlbr4a2c?sr=0-127&amp;ref_=beagle&amp;applicationId=AWSMPContessa</t>
  </si>
  <si>
    <t>Orcasound - bioacoustic data for marine conservation</t>
  </si>
  <si>
    <t>Live-streamed and archived audio data (~2018-present) from underwater microphones (hydrophones) containing marine biological signals as well as ambient ocean noise. Hydrophone placement and passive acoustic monitoring effort prioritizes detection of orca sounds (calls, clicks, whistles) and potentially harmful noise. Geographic focus is on the US/Canada critical habitat of Southern Resident killer whales (northern CA to central BC) with initial focus on inland waters of WA. In addition to the raw lossy or lossless compressed data, we provide a growing archive of annotated bioacoustic bouts.</t>
  </si>
  <si>
    <t>https://aws.amazon.com/marketplace/pp/prodview-4jbtokjz2fnt4?sr=0-128&amp;ref_=beagle&amp;applicationId=AWSMPContessa</t>
  </si>
  <si>
    <t>MODIS MYD13A1, MOD13A1, MYD11A1, MOD11A1, MCD43A4</t>
  </si>
  <si>
    <t>Data from the Moderate Resolution Imaging Spectroradiometer (MODIS), managed by the U.S. Geological Survey and NASA. Five products are included: MCD43A4 (MODIS/Terra and Aqua Nadir BRDF-Adjusted Reflectance Daily L3 Global 500 m SIN Grid), MOD11A1 (MODIS/Terra Land Surface Temperature/Emissivity Daily L3 Global 1 km SIN Grid), MYD11A1 (MODIS/Aqua Land Surface Temperature/Emissivity Daily L3 Global 1 km SIN Grid), MOD13A1 (MODIS/Terra Vegetation Indices 16-Day L3 Global 500 m SIN Grid), and MYD13A1 (MODIS/Aqua Vegetation Indices 16-Day L3 Global 500 m SIN Grid). MCD43A4 has global coverage, all time (~21 years). The other products have ~11 years of global coverage. All data files are in single-band cloud-optimized GeoTIFF (COG) format.</t>
  </si>
  <si>
    <t>https://aws.amazon.com/marketplace/pp/prodview-454apf5dua5l6?sr=0-129&amp;ref_=beagle&amp;applicationId=AWSMPContessa</t>
  </si>
  <si>
    <t>OpenStreetMap on AWS</t>
  </si>
  <si>
    <t>OSM is a free, editable map of the world, created and maintained by volunteers. Regular OSM data archives are made available in Amazon S3.</t>
  </si>
  <si>
    <t>https://aws.amazon.com/marketplace/pp/prodview-3lemxt4oqpqsw?sr=0-130&amp;ref_=beagle&amp;applicationId=AWSMPContessa</t>
  </si>
  <si>
    <t>iSDAsoil</t>
  </si>
  <si>
    <t>iSDAsoil is a resource containing soil property predictions for the entire African continent, generated using machine learning. Maps for over 20 different soil properties have been created at 2 different depths (0-20 and 20-50cm). Soil property predictions were made using machine learning coupled with remote sensing data and a training set of over 100,000 analyzed soil samples. Included in this datset are images of predicted soil properties, model error and satellite covariates used in the mapping process.</t>
  </si>
  <si>
    <t>https://aws.amazon.com/marketplace/pp/prodview-3bfpv6jsl4tqk?sr=0-131&amp;ref_=beagle&amp;applicationId=AWSMPContessa</t>
  </si>
  <si>
    <t>NOAA Severe Weather Data Inventory (SWDI)</t>
  </si>
  <si>
    <t>The Storm Events Database is an integrated database of severe weather events across the United States from 1950 to this year, with information about a storm event's location, azimuth, distance, impact, and severity, including the cost of damages to property and crops. It contains data documenting: The occurrence of storms and other significant weather phenomena having sufficient intensity to cause loss of life, injuries, significant property damage, and/or disruption to commerce. Rare, unusual, weather phenomena that generate media attention, such as snow flurries in South Florida or the San Diego coastal area. Other significant meteorological events, such as record maximum or minimum temperatures or precipitation that occur in connection with another event. Data about a specific event is added to the dataset within 120 days to allow time for damage assessments and other analysis.</t>
  </si>
  <si>
    <t>https://aws.amazon.com/marketplace/pp/prodview-34tcdh7ks72ls?sr=0-132&amp;ref_=beagle&amp;applicationId=AWSMPContessa</t>
  </si>
  <si>
    <t>RAPID NRT Flood Maps</t>
  </si>
  <si>
    <t>Near Real-time and archival data of High-resolution (10 m) flood inundation dataset over the Contiguous United States, developed based on the Sentinel-1 SAR imagery (2016-current) archive, using an automated Radar Produced Inundation Diary (RAPID) algorithm.</t>
  </si>
  <si>
    <t>https://aws.amazon.com/marketplace/pp/prodview-34fkbofrmdxqw?sr=0-133&amp;ref_=beagle&amp;applicationId=AWSMPContessa</t>
  </si>
  <si>
    <t>Sentinel-2</t>
  </si>
  <si>
    <t>The Sentinel-2 mission  is a land monitoring constellation of two satellites that provide high resolution optical imagery and provide continuity for the current SPOT and Landsat missions. The mission provides a global coverage of the Earth's land surface every 5 days, making the data of great use in on-going studies. L1C data are available from June 2015 globally. L2A data are available from November 2016 over Europe region and globally since January 2017.</t>
  </si>
  <si>
    <t>https://aws.amazon.com/marketplace/pp/prodview-2ostsvrguftb2?sr=0-134&amp;ref_=beagle&amp;applicationId=AWSMPContessa</t>
  </si>
  <si>
    <t>NOAA Emergency Response Imagery</t>
  </si>
  <si>
    <t>In order to support NOAA's homeland security and emergency response requirements, the National Geodetic Survey Remote Sensing Division (NGS/RSD) has the capability to acquire and rapidly disseminate a variety of spatially-referenced datasets to federal, state, and local government agencies, as well as the general public. Remote sensing technologies used for these projects have included lidar, high-resolution digital cameras, a film-based RC-30 aerial camera system, and hyperspectral imagers. Examples of rapid response initiatives include acquiring high resolution images with the Emerge/Applanix Digital Sensor System (DSS).</t>
  </si>
  <si>
    <t>https://aws.amazon.com/marketplace/pp/prodview-2mxpa44owqfyk?sr=0-135&amp;ref_=beagle&amp;applicationId=AWSMPContessa</t>
  </si>
  <si>
    <t>Country</t>
  </si>
  <si>
    <t>Name</t>
  </si>
  <si>
    <t>Address</t>
  </si>
  <si>
    <t>Lat Long</t>
  </si>
  <si>
    <t>Latitude</t>
  </si>
  <si>
    <t>Longitude</t>
  </si>
  <si>
    <t>Source</t>
  </si>
  <si>
    <t>South Africa</t>
  </si>
  <si>
    <t>Kynoch Fertilizer</t>
  </si>
  <si>
    <t>62 Wierda Road East,
 Sandton, 2146, 
 South Africa</t>
  </si>
  <si>
    <t>-26.11089359219479, 28.059818960464685</t>
  </si>
  <si>
    <t>http://www.fertasa.co.za/member-directory/directory-list/</t>
  </si>
  <si>
    <t>Emnambithi Farmers Supply C C</t>
  </si>
  <si>
    <t>8 Albert St, Ladysmith, 3370, South Africa</t>
  </si>
  <si>
    <t>-28.557066028734855, 29.78907122606303</t>
  </si>
  <si>
    <t>Afrikelp (Pty) Ltd</t>
  </si>
  <si>
    <t>3 Engine Ave, Montague Gardens, Cape Town, 7441, South Africa</t>
  </si>
  <si>
    <t>-33.87334291593799, 18.524764370404373</t>
  </si>
  <si>
    <t>Agrilibrium</t>
  </si>
  <si>
    <t>322 Marks St, Waltloo, Pretoria, 0184, South Africa</t>
  </si>
  <si>
    <t>-25.724810953698952, 28.330875997149214</t>
  </si>
  <si>
    <t>Aquasol - Port Elizabeth: Alben Warehousing and Distribution</t>
  </si>
  <si>
    <t>106 Swartkops St, Sydenham, Gqeberha, 6001, South Africa</t>
  </si>
  <si>
    <t>-33.945665972684736, 25.608943797395092</t>
  </si>
  <si>
    <t>Aquasol - Durban: SQM Warehouse</t>
  </si>
  <si>
    <t>34 Shadwell Rd, Maydon Wharf, Durban, 4001, South Africa</t>
  </si>
  <si>
    <t>-29.88187472001027, 30.99965286843165</t>
  </si>
  <si>
    <t>Bastion Lime</t>
  </si>
  <si>
    <t>1 Charl De Klerk St, Klerksdorp New Town, Klerksdorp, 2570, South Africa</t>
  </si>
  <si>
    <t>-26.8578205738004, 26.676703263960928</t>
  </si>
  <si>
    <t>Zimbabwe</t>
  </si>
  <si>
    <t>Chemplex Corporation Limited</t>
  </si>
  <si>
    <t>93 Park Ln, Harare, Zimbabwe</t>
  </si>
  <si>
    <t>-17.823115214845846, 31.04907869140593</t>
  </si>
  <si>
    <t>DFERT</t>
  </si>
  <si>
    <t>21 9de Ave, Bothaville, 9660, South Africa</t>
  </si>
  <si>
    <t>-27.375094170680132, 26.630549566511974</t>
  </si>
  <si>
    <t>Gavilon South Africa</t>
  </si>
  <si>
    <t>Ballyoaks Office Park, 35 Ballyclare Dr, Bryanston, 2191, South Africa</t>
  </si>
  <si>
    <t>-25.861138459081022, 28.081409868265148</t>
  </si>
  <si>
    <t>Durban Gavilon</t>
  </si>
  <si>
    <t>6577 Methven Rd, Maydon Wharf, Durban, 4001, South Africa</t>
  </si>
  <si>
    <t>-29.62795336148322, 30.980322504276494</t>
  </si>
  <si>
    <t>Pretoria</t>
  </si>
  <si>
    <t>H. Pistorius &amp; Kie</t>
  </si>
  <si>
    <t>50 Frances Street
 Colbyn, Pretoria</t>
  </si>
  <si>
    <t>-25.742307674225714, 28.237754241326005</t>
  </si>
  <si>
    <t>Industrial Commodities Holdings (Pty) Ltd</t>
  </si>
  <si>
    <t>57 Eastwood Rd, Dunkeld, Randburg, 2196, South Africa</t>
  </si>
  <si>
    <t>-26.140191953996737, 28.0441197818191</t>
  </si>
  <si>
    <t>Kalkor (Pty) Ltd</t>
  </si>
  <si>
    <t>1 Verona Office Pk, Hans Strijdom Dve, Robindale, Randburg, 2194, South Africa</t>
  </si>
  <si>
    <t>-26.116147771849818, 27.990480383005053</t>
  </si>
  <si>
    <t>Liquid Nutrient Technologies (Pty) Ltd</t>
  </si>
  <si>
    <t>132 Sea Cow Lake Rd, Briardene, Durban North, 4051, South Africa</t>
  </si>
  <si>
    <t>-29.807651801179194, 31.007416708296482</t>
  </si>
  <si>
    <t>Liquigro Holdings (Pty) Ltd</t>
  </si>
  <si>
    <t>17 Buffelsdoorn Rd, Wilkoppies, Klerksdorp, 2571, South Africa</t>
  </si>
  <si>
    <t>-26.832521708942565, 26.66210419128893</t>
  </si>
  <si>
    <t>MBFi</t>
  </si>
  <si>
    <t>No. 144 Avenue 2, Modder East Orchards, Delmas, 2210, South Africa</t>
  </si>
  <si>
    <t>-26.124980796197132, 28.59536571065396</t>
  </si>
  <si>
    <t>Omnia Fertilizer</t>
  </si>
  <si>
    <t>Building H, Monte Circle, 178 Montecasino Blvd, Fourways, Sandton, 2055, South Africa</t>
  </si>
  <si>
    <t>-25.940334406712655, 28.026963656801126</t>
  </si>
  <si>
    <t>SA Lime &amp; Gymsum - Cape Town</t>
  </si>
  <si>
    <t>SA Lime &amp; Gypsum
 Posbus 688
 Stellenbosch
 7599</t>
  </si>
  <si>
    <t>-33.96498951003404, 18.837008326230993</t>
  </si>
  <si>
    <t>Shiman</t>
  </si>
  <si>
    <t>Marwyn AH, Olifantsfontein, South Africa</t>
  </si>
  <si>
    <t>-22.167570502893764, 27.451478356514702</t>
  </si>
  <si>
    <t>Google</t>
  </si>
  <si>
    <t>Tanzania</t>
  </si>
  <si>
    <t>Tanzania Crop Care</t>
  </si>
  <si>
    <t>HPW6+F4M, Arusha, Tanzania</t>
  </si>
  <si>
    <t>-3.4030218466782527, 36.710471616918255</t>
  </si>
  <si>
    <t xml:space="preserve"> Tanzania Fertilizer Company Ltd </t>
  </si>
  <si>
    <t>67QH+258, Dar es Salaam, Tanzania</t>
  </si>
  <si>
    <t>-6.039394793498765, 39.191211646843215</t>
  </si>
  <si>
    <t xml:space="preserve"> YARA TANZANIA LIMITED </t>
  </si>
  <si>
    <t>576Q+FJR, Dar es Salaam, Tanzania</t>
  </si>
  <si>
    <t>-6.838519334023853, 39.289122874966814</t>
  </si>
  <si>
    <t xml:space="preserve"> OCP (T) LTD </t>
  </si>
  <si>
    <t>67JJ+967, Oysterbay Plazza, Mikumi, Tanzania</t>
  </si>
  <si>
    <t>-6.768454378705662, 39.280773232686904</t>
  </si>
  <si>
    <t>Kenya</t>
  </si>
  <si>
    <t xml:space="preserve"> Berium Group Ltd </t>
  </si>
  <si>
    <t>Loita Street,Pension Towers,14th Floor, Nairobi, Kenya</t>
  </si>
  <si>
    <t>-1.2824395612138833, 36.81814644741729</t>
  </si>
  <si>
    <t xml:space="preserve"> Yara Kenya </t>
  </si>
  <si>
    <t>Longonot Road 12th Floor, Crowne Plaza Hotel, Kenya</t>
  </si>
  <si>
    <t>-1.2994305773387829, 36.814934863291896</t>
  </si>
  <si>
    <t xml:space="preserve"> Mea Ltd </t>
  </si>
  <si>
    <t>Riara Gardens, off Riara Road, Kenya</t>
  </si>
  <si>
    <t>-0.8852488757587185, 36.78452359159245</t>
  </si>
  <si>
    <t>https://victormatara.com/list-of-fertilizer-companies-in-kenya/</t>
  </si>
  <si>
    <t xml:space="preserve"> Export Trading Group Nairobi Office </t>
  </si>
  <si>
    <t>57661 Woodlands Rd, Kenya</t>
  </si>
  <si>
    <t>1.6063155479753088, 38.11768687322557</t>
  </si>
  <si>
    <t xml:space="preserve"> Elgon Kenya Ltd </t>
  </si>
  <si>
    <t>Behind Lab &amp; Allied, National Park East Gate Road, Off Mombasa Road, Kenya</t>
  </si>
  <si>
    <t>-1.3320687021852833, 36.86543027070155</t>
  </si>
  <si>
    <t xml:space="preserve"> Osho Chemical Industries Ltd </t>
  </si>
  <si>
    <t>Sasio Road, Off Lunga Lunga Rd, Nairobi, Kenya</t>
  </si>
  <si>
    <t>-1.3077152849217526, 36.87217204001194</t>
  </si>
  <si>
    <t xml:space="preserve"> Murphy Chemicals (East Africa) Ltd </t>
  </si>
  <si>
    <t>Murphy Chemicals E A Premises, Baba Dogo Rd, Nairobi, Kenya</t>
  </si>
  <si>
    <t>-1.24336717035489, 36.88486977069493</t>
  </si>
  <si>
    <t xml:space="preserve"> Ocean Agriculture East Africa Ltd </t>
  </si>
  <si>
    <t>Off Mushroom Rd, Kiambu, Kenya</t>
  </si>
  <si>
    <t>-1.1938536535709814, 36.84246597809851</t>
  </si>
  <si>
    <t>Uganda</t>
  </si>
  <si>
    <t xml:space="preserve"> Uganda Crop Care Limited </t>
  </si>
  <si>
    <t>Plot-96, Godown No- N 7-C, Madhvani Business Park, 98 Fifth St, Kampala, Uganda</t>
  </si>
  <si>
    <t>0.31875769003828563, 32.613842493876426</t>
  </si>
  <si>
    <t xml:space="preserve"> Grow More Seeds &amp; Chemicals Ltd </t>
  </si>
  <si>
    <t>21 Luthuli Ave, Kampala, Uganda</t>
  </si>
  <si>
    <t>0.3179331048032591, 32.617439116627594</t>
  </si>
  <si>
    <t>https://eastafricatenders.com/businesses/fertilizer/</t>
  </si>
  <si>
    <t xml:space="preserve"> Vart Africa Solutions Limited </t>
  </si>
  <si>
    <t>Plot 20, Erute Road, Lira, Uganda</t>
  </si>
  <si>
    <t>2.2435458284587315, 32.902866870519674</t>
  </si>
  <si>
    <t>Angola</t>
  </si>
  <si>
    <t xml:space="preserve"> ANGOPRI - Loja de Luanda </t>
  </si>
  <si>
    <t>Avenida Fidel Castro, Klm 18, Viana, Angola</t>
  </si>
  <si>
    <t>-8.06098740126826, 13.406721381105864</t>
  </si>
  <si>
    <t xml:space="preserve"> Angopri, Lda </t>
  </si>
  <si>
    <t>Rua Tomás Vieira da Cruz, N.º 8 cx.postal 179 Benguela, Benguela, Angola</t>
  </si>
  <si>
    <t>-11.610932327753233, 13.538557317535739</t>
  </si>
  <si>
    <t xml:space="preserve"> BRASAFRICA - Loja Gamek </t>
  </si>
  <si>
    <t>Gamek, Av. Pedro de Castro Van-Dúnem Loy, Angola</t>
  </si>
  <si>
    <t>-7.824824106121637, 13.18152187974093</t>
  </si>
  <si>
    <t xml:space="preserve"> BRASAFRICA - Catete </t>
  </si>
  <si>
    <t>Matriz: Estrada Viana-Catete, km 53 Angola, Luanda, Desvio de Mazozo, Angola</t>
  </si>
  <si>
    <t>-8.129464259320008, 13.752810937603737</t>
  </si>
  <si>
    <t xml:space="preserve"> FertiAngola </t>
  </si>
  <si>
    <t>6XXV+24V, EN120, Angola</t>
  </si>
  <si>
    <t>-9.865577282400727, 15.071170301902516</t>
  </si>
  <si>
    <t xml:space="preserve"> Fazenda AGRIPOL </t>
  </si>
  <si>
    <t>9JH8+GP9, Caxito, Angola</t>
  </si>
  <si>
    <t>-7.563526357361398, 13.533084376887269</t>
  </si>
  <si>
    <t xml:space="preserve"> Globalway, Lda </t>
  </si>
  <si>
    <t>Edifício Monumental, R. Maj. Kanhangulo 290, Luanda, Angola</t>
  </si>
  <si>
    <t>-7.737742777730468, 13.401248440457392</t>
  </si>
  <si>
    <t xml:space="preserve"> Epemar Trading </t>
  </si>
  <si>
    <t>Edificio nº 36, Largo do Kinaxixi, Luanda, Angola</t>
  </si>
  <si>
    <t>-8.172965604234928, 13.269412504027516</t>
  </si>
  <si>
    <t>Mozambique</t>
  </si>
  <si>
    <t xml:space="preserve"> Tecap Lda, House Farmer </t>
  </si>
  <si>
    <t>Baía Mall, Av. da Marginal, Maputo, Mozambique</t>
  </si>
  <si>
    <t>-22.391865253276094, 31.84564974590956</t>
  </si>
  <si>
    <t>Guano Fertilizantes Moçambique lda</t>
  </si>
  <si>
    <t>1A, 138, RC Av. Salvador Allende, Maputo 1100, Mozambique</t>
  </si>
  <si>
    <t>-24.167938132818794, 32.90033723734858</t>
  </si>
  <si>
    <t xml:space="preserve"> Agri Focus </t>
  </si>
  <si>
    <t>V8M9+RVQ, Nampula, Mozambique</t>
  </si>
  <si>
    <t>-10.791364184482058, 39.22846218598272</t>
  </si>
  <si>
    <t xml:space="preserve"> Agrichem Mozambique Lda </t>
  </si>
  <si>
    <t>759 Av. União Africana, Matola, Mozambique</t>
  </si>
  <si>
    <t>-23.52484176909236, 32.900337237348594</t>
  </si>
  <si>
    <t xml:space="preserve"> Mozambique Fertilizer Company, Lda </t>
  </si>
  <si>
    <t>armazém DVO, Recinto ferro-portuário Antigo, Beira, Mozambique</t>
  </si>
  <si>
    <t>-16.426742022450302, 36.24018096023883</t>
  </si>
  <si>
    <t xml:space="preserve"> PROCAMPO Limitada </t>
  </si>
  <si>
    <t>851 Avenida de Moçambique, Maputo, Mozambique</t>
  </si>
  <si>
    <t>-23.202105306049482, 33.25189973449494</t>
  </si>
  <si>
    <t xml:space="preserve"> OMNIA Moçambique Limitada </t>
  </si>
  <si>
    <t>N6, Mozambique</t>
  </si>
  <si>
    <t>-16.426742022450302, 33.07611848592175</t>
  </si>
  <si>
    <t>Ghana</t>
  </si>
  <si>
    <t xml:space="preserve"> Agro Africa Limited </t>
  </si>
  <si>
    <t>Westlands Blvd, Accra, Ghana</t>
  </si>
  <si>
    <t>5.670320716949386, -0.2067318578082051</t>
  </si>
  <si>
    <t xml:space="preserve"> Agricultural Manufacturing Group Limted </t>
  </si>
  <si>
    <t>C536, 14 Owusu Tetteh St, Accra, Ghana</t>
  </si>
  <si>
    <t>5.796020034885083, -0.18176200280627047</t>
  </si>
  <si>
    <t xml:space="preserve"> Dizengoff Ghana Ltd </t>
  </si>
  <si>
    <t>Flo Oyeo Rd, Accra, Ghana</t>
  </si>
  <si>
    <t>5.719503732352506, -0.2147209869137392</t>
  </si>
  <si>
    <t xml:space="preserve"> WEST AFRICA AGRO-TECH COMPANY GHANA LIMITED (WAATCO) </t>
  </si>
  <si>
    <t>Santasi Roundabout, Kumasi, Ghana</t>
  </si>
  <si>
    <t>6.855190372203438, -1.6209709754991033</t>
  </si>
  <si>
    <t xml:space="preserve"> Demeter Ghana Ltd </t>
  </si>
  <si>
    <t>The Courtyard, Ndabaningi Sithole Rd, Accra, Ghana</t>
  </si>
  <si>
    <t>5.7850897663300245, -0.20373465887791564</t>
  </si>
  <si>
    <t xml:space="preserve"> Agrimat House </t>
  </si>
  <si>
    <t>Kofi Annan Ave, Madina, Ghana</t>
  </si>
  <si>
    <t>5.8615971877421975, -0.1707756747704469</t>
  </si>
  <si>
    <t xml:space="preserve"> Farmers Hope Co Ltd </t>
  </si>
  <si>
    <t>Farmers Hope, Aputuogya +233(0)322192193 Kumasi, Asanti region, Ghana</t>
  </si>
  <si>
    <t>6.887912606812562, -1.5880119913916344</t>
  </si>
  <si>
    <t>Madagascar</t>
  </si>
  <si>
    <t xml:space="preserve"> TERRA - AGRICOM </t>
  </si>
  <si>
    <t>Lot IVF 1G Ambodihady Ambohimanarina Tananarive, 101, Madagascar</t>
  </si>
  <si>
    <t>-18.678104230262328, 47.48607144594784</t>
  </si>
  <si>
    <t>Cameroon</t>
  </si>
  <si>
    <t xml:space="preserve"> Cafcoop Ltd </t>
  </si>
  <si>
    <t>RFRQ+P46, Yaoundé, Cameroon</t>
  </si>
  <si>
    <t>4.066465460197121, 11.493265945825836</t>
  </si>
  <si>
    <t xml:space="preserve"> YARA Cameroun S.A. </t>
  </si>
  <si>
    <t>06 Rue Port De Peche, Douala, Cameroon</t>
  </si>
  <si>
    <t>4.282767309936874, 9.724567319939851</t>
  </si>
  <si>
    <t xml:space="preserve"> Nutrisource Cameroon SARL </t>
  </si>
  <si>
    <t>BP:4897 Bali, Rue Mechelle, Brunet Douala, Douala, Cameroon</t>
  </si>
  <si>
    <t>4.23894345865607, 9.702594663868206</t>
  </si>
  <si>
    <t xml:space="preserve"> SOLEVO </t>
  </si>
  <si>
    <t>ZI BONABERI, 2368, Douala, Cameroon</t>
  </si>
  <si>
    <t>4.2608556964615145, 9.702594663868206</t>
  </si>
  <si>
    <t xml:space="preserve"> Bang Contractors Company Ltd </t>
  </si>
  <si>
    <t>Centre Equestre, Douala, Cameroon</t>
  </si>
  <si>
    <t>5.757957526341838, 10.261153168950797</t>
  </si>
  <si>
    <t xml:space="preserve"> ZFC Aspindale Factory </t>
  </si>
  <si>
    <t>4XF2+VVH, Harare, Zimbabwe</t>
  </si>
  <si>
    <t>-16.236897815983877, 30.9082799423201</t>
  </si>
  <si>
    <t xml:space="preserve"> ZFC Limited </t>
  </si>
  <si>
    <t>35 Coventry Road, Workington, Harare, Zimbabwe</t>
  </si>
  <si>
    <t>-16.37682466484796, 31.327923939466444</t>
  </si>
  <si>
    <t>Nigeria</t>
  </si>
  <si>
    <t xml:space="preserve"> Golden Fertilizer Company Limited </t>
  </si>
  <si>
    <t>Flour Mills of Nigeria Plc Compound, 2, Old ckyard Road, Apapa, Lagos, Nigeria</t>
  </si>
  <si>
    <t>8.282297863548056, 2.960177836536637</t>
  </si>
  <si>
    <t xml:space="preserve"> ORGANIC, NPK AND UREA FERTILIZER DISTRIBUTOR, SUPPLIER, DEALER &amp; COMPANY IN NIGERIA. +2348138331173 </t>
  </si>
  <si>
    <t>2 Irepodun Street, Agege 234001, Lagos, Nigeria</t>
  </si>
  <si>
    <t>8.021290400415369, 3.6633028308293234</t>
  </si>
  <si>
    <t xml:space="preserve"> Dangote Fertilizer Plant </t>
  </si>
  <si>
    <t>Abule ijesha 101245, Lagos, Nigeria</t>
  </si>
  <si>
    <t>8.456207073096294, 3.3996309579695674</t>
  </si>
  <si>
    <t xml:space="preserve"> Kalli Organic Fertiliser Company </t>
  </si>
  <si>
    <t>99CH+PJ3, 802105, Gami, Nigeria</t>
  </si>
  <si>
    <t>11.313227755027265, 7.4425996751524846</t>
  </si>
  <si>
    <t xml:space="preserve"> Alyuma Fertilizer &amp; Chemicals Limited </t>
  </si>
  <si>
    <t>Q74M+FCX Local Government, Tudun Wada 711102, Madobi, Nigeria</t>
  </si>
  <si>
    <t>13.630104294657269, 8.145724669445167</t>
  </si>
  <si>
    <t xml:space="preserve"> BEJAFTA GROUP NIGERIA LIMITED </t>
  </si>
  <si>
    <t>No. 30 Jonah David Jang Way Opp. Steel Rolling Mills Qtrs. Rayfield Jos, Nigeria Jos South Rayfield Jos Plateau NG, 930101, Nigeria</t>
  </si>
  <si>
    <t>11.485541347074582, 9.200412160884197</t>
  </si>
  <si>
    <t xml:space="preserve"> Alelawa fertilizer </t>
  </si>
  <si>
    <t>25QW+79M, 840103, Sokoto, Nigeria</t>
  </si>
  <si>
    <t>15.07755912533605, 5.0695528194146835</t>
  </si>
  <si>
    <t xml:space="preserve"> Dangote fertilizer Plant </t>
  </si>
  <si>
    <t>Benin Auchi Rd, 312107, Agenebode, Nigeria</t>
  </si>
  <si>
    <t>8.890633493070085, 6.739474680859815</t>
  </si>
  <si>
    <t xml:space="preserve"> Nagarjuna Fertilizer Plant </t>
  </si>
  <si>
    <t>CGJ9+4HM, Kotangora - Jega Rd, 871105, Koko, Nigeria</t>
  </si>
  <si>
    <t>12.945808448101781, 4.278537200835414</t>
  </si>
  <si>
    <t xml:space="preserve"> Dangote Fertilizer Distributor | OGG Farms </t>
  </si>
  <si>
    <t>Alafia Busstop Surulere, Iganmu 100001, Lagos, Nigeria</t>
  </si>
  <si>
    <t>8.108311779529519, 3.487521582256156</t>
  </si>
  <si>
    <t xml:space="preserve"> Matrix Fertilizer Limited </t>
  </si>
  <si>
    <t>3k/m Dumbin Dutse Along, Zaria Rd, Nigeria</t>
  </si>
  <si>
    <t>12.602948278154221, 7.794162172298833</t>
  </si>
  <si>
    <t xml:space="preserve"> Excel Standards </t>
  </si>
  <si>
    <t>VFVF+5WH, Unnamed Road, Gaida, Nigeria</t>
  </si>
  <si>
    <t>13.886210710310442, 8.848849663737852</t>
  </si>
  <si>
    <t xml:space="preserve"> BarryH Fertilizer &amp; Chem </t>
  </si>
  <si>
    <t>2 Nwoye Street Awka North, 420108, Amawbia, Nigeria</t>
  </si>
  <si>
    <t>7.67302056227735, 7.178927802292739</t>
  </si>
  <si>
    <t>Malawi</t>
  </si>
  <si>
    <t xml:space="preserve"> Malawi Fertilizer Company </t>
  </si>
  <si>
    <t>W6HP+7HG, Liwonde, Malawi</t>
  </si>
  <si>
    <t>-14.864838033772289, 35.212091609161696</t>
  </si>
  <si>
    <t xml:space="preserve"> ETG Mkanda Shop </t>
  </si>
  <si>
    <t>S118, Malawi Mchinji, Malawi, Malawi</t>
  </si>
  <si>
    <t>-13.127907633375536, 33.225544265552884</t>
  </si>
  <si>
    <t xml:space="preserve"> ETG Kapiri Shop </t>
  </si>
  <si>
    <t>M18, Malawi, Kakungwa, Malawi</t>
  </si>
  <si>
    <t>-13.309726502506644, 33.1376536412663</t>
  </si>
  <si>
    <t xml:space="preserve"> ETG Mpingu Shop </t>
  </si>
  <si>
    <t>M12, Malawi Mpingu, Malawi, Malawi</t>
  </si>
  <si>
    <t>-13.683628085509145, 33.25850324966035</t>
  </si>
  <si>
    <t xml:space="preserve"> ETG Inputs Nkando </t>
  </si>
  <si>
    <t>38QW+VX9 Thuchila, Malawi M4, Thuchila, Malawi</t>
  </si>
  <si>
    <t>-15.681495879361895, 35.40083721664587</t>
  </si>
  <si>
    <t xml:space="preserve"> ETG Lumbadzi Shop </t>
  </si>
  <si>
    <t>6RG7+PFW, M1, Lumbadzi, Malawi</t>
  </si>
  <si>
    <t>-13.577132521596123, 33.85145475856929</t>
  </si>
  <si>
    <t xml:space="preserve"> ETG Kamwendo Shop </t>
  </si>
  <si>
    <t>Kamwendo, M18, Nkotakata, Malawi</t>
  </si>
  <si>
    <t>-13.662551608688206, 33.02748015588256</t>
  </si>
  <si>
    <t xml:space="preserve"> ETG Msundwe Shop </t>
  </si>
  <si>
    <t>M12, Dzoole, Msundwe, Malawi</t>
  </si>
  <si>
    <t>-13.790622162898442, 33.48890593338713</t>
  </si>
  <si>
    <t xml:space="preserve"> Farmers World Limited Malawi </t>
  </si>
  <si>
    <t>Area 29, Lilongwe, Malawi, Lilongwe, Malawi</t>
  </si>
  <si>
    <t>-13.758611084599574, 33.84046843053348</t>
  </si>
  <si>
    <t>Zambia</t>
  </si>
  <si>
    <t xml:space="preserve"> Zambian Fertilizers Ltd </t>
  </si>
  <si>
    <t>chifwema road, F10723 lusaka ZM zambia,lusaka, 10101, Zambia</t>
  </si>
  <si>
    <t>-14.514727695752358, 28.230872393421407</t>
  </si>
  <si>
    <t xml:space="preserve"> GOOD HANDS FERTILIZER LTD ZAMBIA </t>
  </si>
  <si>
    <t>Bayuni road, Lusaka, Zambia</t>
  </si>
  <si>
    <t>-14.59979675077725, 28.40665364199458</t>
  </si>
  <si>
    <t xml:space="preserve"> SIMMER ENTERPRISES LIMITED </t>
  </si>
  <si>
    <t>PLOT.NO.12609 OFF KATANGA ROAD CHINIKA INDUSTRIAL AREA LUSAKA ZM, 10101, Zambia</t>
  </si>
  <si>
    <t>-14.472180890331371, 28.31876301770799</t>
  </si>
  <si>
    <t xml:space="preserve"> ETG KATETE </t>
  </si>
  <si>
    <t>T4, Katete, Zambia katete ZM, 01100, Zambia</t>
  </si>
  <si>
    <t>-13.234865213389167, 32.09805986203116</t>
  </si>
  <si>
    <t xml:space="preserve"> ETG PETAUKE </t>
  </si>
  <si>
    <t>Boma Road, Petauke, Zambia petauke ZM, 01100, Zambia</t>
  </si>
  <si>
    <t>-13.149293992033707, 31.263098931308598</t>
  </si>
  <si>
    <t xml:space="preserve"> ETG Mongu </t>
  </si>
  <si>
    <t>Emperor Building, Along, Independence Ave, Zambia</t>
  </si>
  <si>
    <t>-14.557266323191493, 28.58243489056775</t>
  </si>
  <si>
    <t xml:space="preserve"> Omnia Fertilizer </t>
  </si>
  <si>
    <t>99GV+8XP, Mkushi, Zambia</t>
  </si>
  <si>
    <t>-12.678123264419671, 29.637122382006773</t>
  </si>
  <si>
    <t xml:space="preserve"> ETG - Chipata Depot </t>
  </si>
  <si>
    <t>Former Kwatcha Milling, Umodzi Highway Road, Chipata 01100, Zambia</t>
  </si>
  <si>
    <t>-12.678123264419671, 32.4496223591775</t>
  </si>
  <si>
    <t>Agricon Equipment Ltd Zambia Lusaka Branch</t>
  </si>
  <si>
    <t>Plot 5261 Mukwa Rd, Lusaka, Zambia</t>
  </si>
  <si>
    <t>-15.164006350267526, 28.294041910628714</t>
  </si>
  <si>
    <t xml:space="preserve"> Agricon Equipment Ltd Zambia Mkushi Branch </t>
  </si>
  <si>
    <t>Plot 589, Mkushi, Zambia</t>
  </si>
  <si>
    <t>-13.428767690451096, 29.381688386175206</t>
  </si>
  <si>
    <t xml:space="preserve"> Syngenta Zambia </t>
  </si>
  <si>
    <t>Mukwa Rd Lusaka ZM 10101, Mukwa Rd, Lusaka, Zambia</t>
  </si>
  <si>
    <t>-15.153402289285598, 28.28305558259289</t>
  </si>
  <si>
    <t>Senegal</t>
  </si>
  <si>
    <t xml:space="preserve"> Emaap Industries </t>
  </si>
  <si>
    <t>Pout derrière usine SIGELEC Thiés - Sénégal, Senegal</t>
  </si>
  <si>
    <t>14.879084954913269, -17.03072086642629</t>
  </si>
  <si>
    <t xml:space="preserve"> Kijaniland Senegal </t>
  </si>
  <si>
    <t>Sicap Liberté 1 Lot N°7 Immeuble 1285 – 1er étage Dakar, 11000, Senegal</t>
  </si>
  <si>
    <t>14.815367826834164, -17.459187659823392</t>
  </si>
  <si>
    <t xml:space="preserve"> ETC Commodities Senegal SUARL </t>
  </si>
  <si>
    <t>Rte de service geographique, Dakar, Senegal</t>
  </si>
  <si>
    <t>14.83105835055807, -17.45373288495713</t>
  </si>
  <si>
    <t xml:space="preserve"> Unité Compostage Gandigal andigal </t>
  </si>
  <si>
    <t>F2P3+6Q3, Mbour, Senegal</t>
  </si>
  <si>
    <t>14.591969942402152, -17.04174558361376</t>
  </si>
  <si>
    <t xml:space="preserve"> SB2-4ALL | Sustainable Business For ALL (Biogaz - Biomasse - Éolien - Solaire) </t>
  </si>
  <si>
    <t>67 Cité Sapi, Thiaroye azur, Senegal</t>
  </si>
  <si>
    <t>14.862916951192325, -17.327390112545164</t>
  </si>
  <si>
    <t xml:space="preserve"> Zimbabwe Fertiliser Company </t>
  </si>
  <si>
    <t>4WFX+WP8, Harare, Zimbabwe</t>
  </si>
  <si>
    <t>-16.999240008109314, 30.973230021428012</t>
  </si>
  <si>
    <t xml:space="preserve"> Nutrimaster Fertiliser </t>
  </si>
  <si>
    <t>17 Foundry Rd, Harare, Zimbabwe</t>
  </si>
  <si>
    <t>-16.831063714363143, 31.061120645714603</t>
  </si>
  <si>
    <t xml:space="preserve"> Superfert | Fertilizers </t>
  </si>
  <si>
    <t>FSG Offices Stand 1 Pomona Office Park, Harare Dr, Harare, Zimbabwe</t>
  </si>
  <si>
    <t>-16.788996235952656, 31.280847206431066</t>
  </si>
  <si>
    <t xml:space="preserve"> FSG | Fertilizers. Seed. Grain. </t>
  </si>
  <si>
    <t>75A Kew Dr, Harare, Zimbabwe</t>
  </si>
  <si>
    <t>-17.02832057623218, 31.146167345008482</t>
  </si>
  <si>
    <t xml:space="preserve"> ETG Inputs Zimbabwe </t>
  </si>
  <si>
    <t>NRZ Siding 2274 South, Tilbury Rd, Harare, Zimbabwe</t>
  </si>
  <si>
    <t>-17.02832057623218, 30.882495472148733</t>
  </si>
  <si>
    <t xml:space="preserve"> Windmill Coventry Road Factory </t>
  </si>
  <si>
    <t>524G+3W3, Harare, Zimbabwe</t>
  </si>
  <si>
    <t>-17.02832057623218, 31.23405796929507</t>
  </si>
  <si>
    <t xml:space="preserve"> Windmill St Marnocks Factory </t>
  </si>
  <si>
    <t>7VJR+3M5, A1, Harare, Zimbabwe</t>
  </si>
  <si>
    <t>-16.818109258187963, 30.794604847862143</t>
  </si>
  <si>
    <t>Rwanda</t>
  </si>
  <si>
    <t xml:space="preserve"> ETG AGRI INPUTS MUSANZE RWANDA </t>
  </si>
  <si>
    <t>Colline Gakoro, Rwanda</t>
  </si>
  <si>
    <t>-1.288635101564404, 29.621515013186766</t>
  </si>
  <si>
    <t xml:space="preserve"> ETG Inputs Kayonza </t>
  </si>
  <si>
    <t>4G25+MV, Kayonza, Rwanda</t>
  </si>
  <si>
    <t>-1.6620457614368955, 30.511407584088442</t>
  </si>
  <si>
    <t xml:space="preserve"> Etg Karongi </t>
  </si>
  <si>
    <t>Mabanza, Rwanda</t>
  </si>
  <si>
    <t>-1.7498974197097543, 29.41277478050613</t>
  </si>
  <si>
    <t xml:space="preserve"> AgriProFocus Rwanda </t>
  </si>
  <si>
    <t>1 KG 546 St, Kigali, Rwanda</t>
  </si>
  <si>
    <t>-1.7169535190147904, 30.137872430870456</t>
  </si>
  <si>
    <t xml:space="preserve"> UMURAVA AGROVET SERVICES LTD </t>
  </si>
  <si>
    <t>Gahoromani, Kabuga, Rwanda</t>
  </si>
  <si>
    <t>-1.7359437910896156, 30.18165806079757</t>
  </si>
  <si>
    <t>Mauritius</t>
  </si>
  <si>
    <t xml:space="preserve"> Silk Agro Ltd </t>
  </si>
  <si>
    <t>MU, 49 Ave Remy Ollier, Vacoas-Phoenix 73431, Mauritius</t>
  </si>
  <si>
    <t>-20.26361657354313, 57.488118818788244</t>
  </si>
  <si>
    <t xml:space="preserve"> Dabee Sons &amp; Co. </t>
  </si>
  <si>
    <t>John Kennedy Ave, Vacoas-Phoenix, Mauritius</t>
  </si>
  <si>
    <t>-20.267481415544204, 57.490865400797205</t>
  </si>
  <si>
    <t xml:space="preserve"> MCAF LTD </t>
  </si>
  <si>
    <t>MFCP+2M3, B64, Vacoas-Phoenix, Mauritius</t>
  </si>
  <si>
    <t>-20.29839668472849, 57.48537223677929</t>
  </si>
  <si>
    <t xml:space="preserve"> Chemical Shop </t>
  </si>
  <si>
    <t>HH5V+G36, New Grove Road, Mare Tabac, Mauritius</t>
  </si>
  <si>
    <t>-20.418135016851373, 57.59935539015096</t>
  </si>
  <si>
    <t xml:space="preserve"> Kirsh Co. Ltd. </t>
  </si>
  <si>
    <t>Route Royale, La Marie, Vacoas-Phoenix, Mauritius</t>
  </si>
  <si>
    <t>-20.312564121969586, 57.48949210979272</t>
  </si>
  <si>
    <t xml:space="preserve"> FERTCHEM CO LTD </t>
  </si>
  <si>
    <t>Route Royale Desjardins Riviere Du Rempart MU, 30105, Mauritius</t>
  </si>
  <si>
    <t>-20.091734430032922, 57.67351077649468</t>
  </si>
  <si>
    <t xml:space="preserve"> BioFert Co ltd </t>
  </si>
  <si>
    <t>Fort George, P.O Box 344, Tromelin St, Port Louis, Mauritius</t>
  </si>
  <si>
    <t>-20.122684596257972, 57.49498294591255</t>
  </si>
  <si>
    <t xml:space="preserve"> Magasin Narain Au Service Des Planteurs </t>
  </si>
  <si>
    <t>Royal Rd, Triolet, Mauritius</t>
  </si>
  <si>
    <t>-20.05303812161459, 57.545794713078244</t>
  </si>
  <si>
    <t>Benin</t>
  </si>
  <si>
    <t xml:space="preserve"> Bio Phyto Bénin </t>
  </si>
  <si>
    <t>03B0266 Fidjrossè, Allada, Benin</t>
  </si>
  <si>
    <t>7.136986623129775, 2.1815488874573323</t>
  </si>
  <si>
    <t xml:space="preserve"> Agro Eco Services </t>
  </si>
  <si>
    <t>229, Tori-Bossito, Benin</t>
  </si>
  <si>
    <t>7.00615357417433, 2.1595762313856866</t>
  </si>
  <si>
    <t xml:space="preserve"> Benin Semences </t>
  </si>
  <si>
    <t>9CH8+7R2, Rue 141B, Cotonou, Benin</t>
  </si>
  <si>
    <t>6.881667210003406, 2.4665523417250452</t>
  </si>
  <si>
    <t>Ethiopia</t>
  </si>
  <si>
    <t xml:space="preserve"> Green Ethiopia </t>
  </si>
  <si>
    <t>Addis Ababa, Ethiopia</t>
  </si>
  <si>
    <t>9.166714794802829, 38.788776678055356</t>
  </si>
  <si>
    <t xml:space="preserve"> OCP S.A. Commercial Representative Office Ethiopia </t>
  </si>
  <si>
    <t>2Q2M+692, Namibia St, Addis Ababa, Ethiopia</t>
  </si>
  <si>
    <t>9.155868607919684, 38.82173566216282</t>
  </si>
  <si>
    <t xml:space="preserve"> Becho Woliso Union </t>
  </si>
  <si>
    <t>M634+VM4, Tulu Bolo, Ethiopia</t>
  </si>
  <si>
    <t>8.946932413149801, 38.21732990196643</t>
  </si>
  <si>
    <t>Condition</t>
  </si>
  <si>
    <t>Too high</t>
  </si>
  <si>
    <t>Too low</t>
  </si>
  <si>
    <t>Soil pH</t>
  </si>
  <si>
    <t>A major problem in alkaline soils is reduced nutrients. Amending soil with organic matter such as peat or sphagnum peat moss may help to lower the pH of highly alkaline soil.</t>
  </si>
  <si>
    <t>Liming materials contain calcium and/or magnesium in forms, which when dissolved, will neutralize soil acidity. Materials include calcitic limestone, dolomitic limestone, and hydrated lime.</t>
  </si>
  <si>
    <t>https://extension.usu.edu/yardandgarden/research/solutions-to-soil-problems-ii-high-ph</t>
  </si>
  <si>
    <t>https://extension.umn.edu/liming/liming-materials-minnesota-soils</t>
  </si>
  <si>
    <t>Sodium</t>
  </si>
  <si>
    <t>Excess sodium in soil can cause toxicity, and/or cause plant tissues to dry out. It may impair plants' ability to uptake adequate moisture. Excess sodium in soil can be easily removed by flushing the soil with fresh water, and ensuring that the water is able to be drained away</t>
  </si>
  <si>
    <t>Sodium is generally not needed in plants, and most only need a trace amount to promote metabolism.</t>
  </si>
  <si>
    <t>https://www.gardeningknowhow.com/garden-how-to/soil-fertilizers/sodium-in-plants.htm</t>
  </si>
  <si>
    <t>Potassium</t>
  </si>
  <si>
    <t>Primary risk of too much potassium is a nitrogen deficiency, which will stunt the growth of the plant. To reduce potassium in soil:
 - Use products with low or no potassium
 - Sift the soil and remove as many rocks as possible. This will prevent minerals in rocks, such as feldspar and micro, from releasing potassium into the soil
 - Flush the soil with fresh water, and ensuring that the water is able to be drained away</t>
  </si>
  <si>
    <t>Potassium is required to help plants grow faster, be more drought resistant, fight off disease, and resist pests. To address potassium deficiency, the following can be done:
 - Using fertilizer high in potassium, or potash fertilizer
 - Using compost made primarily from food byproducts, such as banana peels</t>
  </si>
  <si>
    <t>https://www.gardeningknowhow.com/garden-how-to/soil-fertilizers/lowering-potassium-levels.htm</t>
  </si>
  <si>
    <t>https://www.gardeningknowhow.com/garden-how-to/soil-fertilizers/plants-potassium.htm</t>
  </si>
  <si>
    <t>Phosphorus</t>
  </si>
  <si>
    <t>Excess phosphorus in soil can inhibit growth of mycorrhizae, which help the plants absorb water and nutrients. To address excessive soil phosphorus, begin by avoiding future phosphorus applications, which include eliminating organic composts and manures. If organic nitrogen sources or mulches are needed, use very low phosphorus producs such as blood meal or pine barch mulch.</t>
  </si>
  <si>
    <t>Phosphorus deficiency can cause stunting in growth, leaves to turn purple, etc. To address phosphorus deficiency, use fertilizer high in phosphorus. As phosphorus is very immobile in soil, the fertilizer should be placed near plant roots.</t>
  </si>
  <si>
    <t>https://counties.agrilife.org/valverde/files/2014/11/Phosphorus-Too-Much-Plants-May-Suffer.pdf</t>
  </si>
  <si>
    <t>https://www.ctahr.hawaii.edu/mauisoil/c_placement.aspx</t>
  </si>
  <si>
    <t>properties</t>
  </si>
  <si>
    <t>description</t>
  </si>
  <si>
    <t>remedy</t>
  </si>
  <si>
    <t>modifiable</t>
  </si>
  <si>
    <t>al_toxicity</t>
  </si>
  <si>
    <t>Toxic levels of aluminium in the soil solution affect root cell division and the ability of the root to elongate. The root tips will be deformed and brittle and root growth and branching is reduced.</t>
  </si>
  <si>
    <t>Raising PH by broadcasting spread and cultivate lime into the soil, which is only effective in reducing aluminium toxicity in the top surface soil (0-15 cm depth). Calcium will displace aluminum in soils, allowing it to be leached below the rooting depths as long as there is enough moisture to draw it downwards.</t>
  </si>
  <si>
    <t xml:space="preserve">https://www.agric.wa.gov.au/soil-acidity/effects-soil-acidity#:~:text=Toxic%20levels%20of%20aluminium%20in,is%20reduced%20(Figure%202).
https://pacificfertiliser.com/treating-aluminium-toxicity-in-soils/2544/
Rahman MA, Lee SH, Ji HC, Kabir AH, Jones CS, Lee KW. Importance of Mineral Nutrition for Mitigating Aluminum Toxicity in Plants on Acidic Soils: Current Status and Opportunities. Int J Mol Sci. 2018 Oct 8;19(10):3073. doi: 10.3390/ijms19103073. PMID: 30297682; PMCID: PMC6213855.
</t>
  </si>
  <si>
    <t>fcc_calcareous</t>
  </si>
  <si>
    <t>Calcareous soils are most often formed from limestone or in dry environments where low rainfall prevents the soils from being leached of carbonates. Calcareous soils frequently cause nutrient deficiencies for many plants.</t>
  </si>
  <si>
    <t>Crops planted on calcareous soils may require above normal levels of K and Mg fertilizer for satisfactory nutrition.</t>
  </si>
  <si>
    <t xml:space="preserve">https://www.encyclopedia.com/plants-and-animals/agriculture-and-horticulture/agriculture-general/calcareous-soil
Obreza, T. A., Alva, A. K., &amp; Calvert, D. V. (1993). Citrus fertilizer management on calcareous soils (p. 1993). Gaine
</t>
  </si>
  <si>
    <t>fcc_gravelly</t>
  </si>
  <si>
    <t>For Gravelly soil: water runs through, and can't keep our plants hydrated enough. In heavy clay soil, water just sits there and never gets to the roots, or eventually gets to the roots but stays there, potentially drowning your plants and trees</t>
  </si>
  <si>
    <t>Adding organic matter such as manure, compost or mulch to the top soil.  Any organic matter will work to build soil structure and its ability to hold onto water. Compost and manure are preferred because they are rich in nutrients, which they drip-feed to your crops.</t>
  </si>
  <si>
    <t>https://plantland.co.za/how-to-improve-your-soil/
https://greenharvest.com.au/GreenGardenNotes/OrganicSoilImprovement.html</t>
  </si>
  <si>
    <t>fcc_high_erosion_risk_-_shallow_depth</t>
  </si>
  <si>
    <t xml:space="preserve">
Bare spots are often caused by inadequate growing conditions or by runoff washing away topsoil. In either case, once the protective vegetative cover is gone, erosion occurs at a faster pace. If erosion continues unabated, gullies may begin to form that will deepen and widen over time.
</t>
  </si>
  <si>
    <t>Use erosion control blankets : There are many varieties of fiber, biodegradable, and compost blankets/mats on the market today, and they have all been designed with one aim; to minimize the effects of water erosion on slopes and embankments. They degrade slowly, allowing vegetation that may have been grown in the area to grow and take over the job of protecting the soil from erosion when the mats have finally degraded completely. 
Mulching: Placed over the roots of plants, compost mulch conserves water and stabilizes soil tem- peratures. In addition, compost mulch keeps plants healthy by controlling weeds, providing a slow release of nutrients, and preventing soil loss through erosion</t>
  </si>
  <si>
    <t>https://www.fairfaxcounty.gov/soil-water-conservation/drainage-problem-protect-eroding-land
https://www.denbow.com/5-erosion-control-steps-steep-slopes-embankments/
https://www.epa.gov/sites/default/files/2015-08/documents/erosion.pdf</t>
  </si>
  <si>
    <t>fcc_high_erosion_risk_-_steep_slope</t>
  </si>
  <si>
    <t>Slope gradient is important because it influences the rate at which runoff flows on the soil surface and erodes the soil</t>
  </si>
  <si>
    <t xml:space="preserve">Consider building terraces to help slow down erosion as the crop takes hold. Leverage on the slope to design a cascading terrace to minimise erosion. Use erosion control blankets : There are many varieties of fiber, biodegradable, and compost blankets/mats on the market today, and they have all been designed with one aim; to minimize the effects of water erosion on slopes and embankments. They degrade slowly, allowing vegetation that may have been grown in the area to grow and take over the job of protecting the soil from erosion when the mats have finally degraded completely. </t>
  </si>
  <si>
    <t>https://www.agry.purdue.edu/soils_judging/new_manual/Ch2-slope.html
Wheaton, R. Z., &amp; Monke, E. J. (1981). Terracing as a best management practice for controlling erosion and protecting water quality [Indiana]. Part of a subject series (USA).
https://www.denbow.com/5-erosion-control-steps-steep-slopes-embankments/
https://www.epa.gov/sites/default/files/2015-08/documents/erosion.pdf</t>
  </si>
  <si>
    <t>fcc_high_erosion_risk_-_textual_contrast</t>
  </si>
  <si>
    <t>-</t>
  </si>
  <si>
    <t>fcc_high_leaching_potential</t>
  </si>
  <si>
    <t xml:space="preserve">
Leaching happens when excess water, through rainfall or irrigation, takes water-soluble nutrients out of the soil. </t>
  </si>
  <si>
    <t>Incorporating crop residues,compost, manure or mulching enriches soil organic matter and has a positive impact on soil structure and water retention capacity, which in turn reduces the risk of nutrient leaching</t>
  </si>
  <si>
    <t>https://extension.okstate.edu/fact-sheets/nutrient-loss-and-water-quality.html
Lal, R. (2020). Soil organic matter and water retention. Agronomy Journal, 112(5), 3265-3277.
https://ec.europa.eu/environment/water/water-nitrates/pdf/leaflets/Leaflet_Wielkopolskie_EN.pdf</t>
  </si>
  <si>
    <t>fcc_low_k</t>
  </si>
  <si>
    <t>Potassium is required to help plants grow faster, be more drought resistant, fight off disease, and resist pests</t>
  </si>
  <si>
    <t xml:space="preserve"> Use fertilizer high in potassium, or potash fertilizer, Explore using compost made primarily from food byproducts, such as banana peels</t>
  </si>
  <si>
    <t>https://www.gardeningknowhow.com/garden-how-to/soil-fertilizers/lowering-potassium-levels.htm	
https://www.gardeningknowhow.com/garden-how-to/soil-fertilizers/plants-potassium.htm</t>
  </si>
  <si>
    <t>fcc_no_constraints</t>
  </si>
  <si>
    <t>Land is optimal for growing</t>
  </si>
  <si>
    <t>fcc_no_data</t>
  </si>
  <si>
    <t>No indicators to determine fertility of soil</t>
  </si>
  <si>
    <t>fcc_shallow</t>
  </si>
  <si>
    <t>Trees and shrubs that grow in shallow soils have less physical support from their root systems. Large plants, especially trees, growing in shallow soils are consequently vulnerable to wind and may blow down.</t>
  </si>
  <si>
    <t>http://www.agroconection.com/soil/shallow-soils/
Shaji, H., Chandran, V., &amp; Mathew, L. (2021). Organic fertilizers as a route to controlled release of nutrients. In Controlled Release Fertilizers for Sustainable Agriculture (pp. 231-245). Academic Press.</t>
  </si>
  <si>
    <t>fcc_slope</t>
  </si>
  <si>
    <t>Slopes can be stabilized by adding a surface cover to the slope, excavating and changing (or regrading) the slope geometry, adding support structures to reinforce the slope or using drainage to control the groundwater in slope material. If slope is not steep, plant your crops across the slope using contour rows, terraces, or raised beds. This not only makes it easier for you but also prevents problems with erosion.</t>
  </si>
  <si>
    <t>fcc_sulfidic</t>
  </si>
  <si>
    <t>Over time, the acidic water alters the pH of the soil where your plants are growing, binding and dissolving vital minerals and carrying them away.</t>
  </si>
  <si>
    <t>The most common method of treatment is to mix an alkaline material into the soil, where it can react with acidity and neutralise it. Agricultural lime (powdered calcium carbonate—CaCO3) is the most common neutralising material in use</t>
  </si>
  <si>
    <t>https://www.gardeningknowhow.com/plant-problems/environmental/acid-rain-damage.htm
https://content.ces.ncsu.edu/soil-acidity-and-liming-basic-information-for-farmers-and-gardeners</t>
  </si>
  <si>
    <t>Crop</t>
  </si>
  <si>
    <t>URL</t>
  </si>
  <si>
    <t>Maize</t>
  </si>
  <si>
    <t>Plantain</t>
  </si>
  <si>
    <t>Coffee</t>
  </si>
  <si>
    <t>Kidney beans</t>
  </si>
  <si>
    <t>Rice</t>
  </si>
  <si>
    <t>Lentil</t>
  </si>
  <si>
    <t>https://b3n8a3n8.rocketcdn.me/wp-content/uploads/2021/06/corn-vs-maize-01.jpg</t>
  </si>
  <si>
    <t>https://cropwatch.unl.edu/styles/large/public/images/hero/2018/NE-double-crops-peas-grain-sorghum.jpg?itok=6-T5gSP4</t>
  </si>
  <si>
    <t>https://foodtank.com/wp-content/uploads/2017/05/Food-Tank-SRI-Rice.jpg</t>
  </si>
  <si>
    <t>https://previews.123rf.com/images/davidmartyn/davidmartyn0908/davidmartyn090800034/5444371-green-kidney-beans-growing-in-a-field.jpg</t>
  </si>
  <si>
    <t>https://www.gardeningknowhow.com/wp-content/uploads/2016/01/plantain-fruit.jpg</t>
  </si>
  <si>
    <t>Rice, edible starchy cereal grain and the grass plant (family Poaceae) by which it is produced. Roughly one-half of the world population, including virtually all of East and Southeast Asia, is wholly dependent upon rice as a staple food; 95 percent of the world’s rice crop is eaten by humans.</t>
  </si>
  <si>
    <r>
      <t xml:space="preserve">Kidney beans are a variety of the common bean, a legume native to Central America and Mexico. </t>
    </r>
    <r>
      <rPr>
        <sz val="10"/>
        <color rgb="FF000000"/>
        <rFont val="Arial"/>
        <family val="2"/>
        <scheme val="minor"/>
      </rPr>
      <t>The common bean is an important food crop</t>
    </r>
    <r>
      <rPr>
        <sz val="10"/>
        <color rgb="FF000000"/>
        <rFont val="Arial"/>
        <scheme val="minor"/>
      </rPr>
      <t xml:space="preserve"> and major source of protein throughout the world</t>
    </r>
  </si>
  <si>
    <t>https://www.soils.org/files/images/news/indalecio-coffee-aranas-image-2-rl-800x600.jpg</t>
  </si>
  <si>
    <t>Plantain, major group of banana varieties that are staple foods in many tropical areas. The edible fruit of plantain bananas has more starch than the common dessert banana and is not eaten raw.</t>
  </si>
  <si>
    <t>Maize is the most widely produced crop in the world. This cereal, which originated in Mexico, is now grown in at least 164 countries around the world with a total production of more than 1 billion metric tons in 2013.Maize is grown at latitudes varying from the equator to slightly above 50 degrees north and south, from sea level to over 3,000 meters elevation, in cool and hot climates, and with growing cycles ranging from 3 to 13 months.</t>
  </si>
  <si>
    <t>Lentil, small annual legume of the pea family and its edible seed. Lentils are widely cultivated throughout Europe, Asia, and North Africa but are little grown in the Western Hemisphere. The seeds are used chiefly in soups and stews, and the herbage is used as fodder in some places. Lentils are a good source of protein, dietary fibre, vitamin B, iron, and phosphorus.</t>
  </si>
  <si>
    <t>Coffee bean is a seed of the Coffea plant and the source for coffee. It is the pip inside the red or purple fruit often referred to as a coffee cherry. Just like ordinary cherries, the coffee fruit is also a so-called stone fruit.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</si>
</sst>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b/>
      <sz val="11"/>
      <color theme="1"/>
      <name val="Arial"/>
      <scheme val="minor"/>
    </font>
    <font>
      <sz val="10"/>
      <color theme="1"/>
      <name val="Arial"/>
      <scheme val="minor"/>
    </font>
    <font>
      <sz val="11"/>
      <color theme="1"/>
      <name val="Arial"/>
      <scheme val="minor"/>
    </font>
    <font>
      <u/>
      <sz val="11"/>
      <color rgb="FF1155CC"/>
      <name val="Arial"/>
    </font>
    <font>
      <u/>
      <sz val="10"/>
      <color rgb="FF0000FF"/>
      <name val="Arial"/>
    </font>
    <font>
      <sz val="12"/>
      <color rgb="FF000000"/>
      <name val="Calibri"/>
    </font>
    <font>
      <b/>
      <sz val="12"/>
      <color rgb="FF000000"/>
      <name val="Calibri"/>
    </font>
    <font>
      <u/>
      <sz val="10"/>
      <color rgb="FF0000FF"/>
      <name val="Arial"/>
    </font>
    <font>
      <sz val="11"/>
      <color rgb="FF000000"/>
      <name val="Calibri"/>
    </font>
    <font>
      <u/>
      <sz val="10"/>
      <color theme="10"/>
      <name val="Arial"/>
      <scheme val="minor"/>
    </font>
    <font>
      <sz val="10"/>
      <color rgb="FF000000"/>
      <name val="Arial"/>
      <family val="2"/>
      <scheme val="minor"/>
    </font>
    <font>
      <b/>
      <sz val="10"/>
      <color rgb="FF000000"/>
      <name val="Arial"/>
      <family val="2"/>
      <scheme val="minor"/>
    </font>
  </fonts>
  <fills count="4">
    <fill>
      <patternFill patternType="none"/>
    </fill>
    <fill>
      <patternFill patternType="gray125"/>
    </fill>
    <fill>
      <patternFill patternType="solid">
        <fgColor rgb="FFD9E1F2"/>
        <bgColor rgb="FFD9E1F2"/>
      </patternFill>
    </fill>
    <fill>
      <patternFill patternType="solid">
        <fgColor rgb="FFBDD7EE"/>
        <bgColor rgb="FFBDD7EE"/>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26">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2" fillId="0" borderId="0" xfId="0" applyFont="1" applyAlignment="1">
      <alignment wrapText="1"/>
    </xf>
    <xf numFmtId="0" fontId="5" fillId="0" borderId="0" xfId="0" applyFont="1" applyAlignment="1">
      <alignment wrapText="1"/>
    </xf>
    <xf numFmtId="0" fontId="3" fillId="0" borderId="0" xfId="0" applyFont="1" applyAlignment="1"/>
    <xf numFmtId="0" fontId="6"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7" fillId="2" borderId="0" xfId="0" applyFont="1" applyFill="1" applyAlignment="1">
      <alignment wrapText="1"/>
    </xf>
    <xf numFmtId="0" fontId="6" fillId="0" borderId="0" xfId="0" applyFont="1" applyAlignment="1">
      <alignment wrapText="1"/>
    </xf>
    <xf numFmtId="0" fontId="2" fillId="0" borderId="0" xfId="0" applyFont="1" applyAlignment="1">
      <alignment wrapText="1"/>
    </xf>
    <xf numFmtId="0" fontId="8" fillId="0" borderId="0" xfId="0" applyFont="1" applyAlignment="1">
      <alignment wrapText="1"/>
    </xf>
    <xf numFmtId="0" fontId="2" fillId="0" borderId="0" xfId="0" quotePrefix="1" applyFont="1" applyAlignment="1">
      <alignment wrapText="1"/>
    </xf>
    <xf numFmtId="0" fontId="7" fillId="3" borderId="0" xfId="0" applyFont="1" applyFill="1" applyAlignment="1">
      <alignment wrapText="1"/>
    </xf>
    <xf numFmtId="0" fontId="9" fillId="0" borderId="0" xfId="0" applyFont="1" applyAlignment="1"/>
    <xf numFmtId="0" fontId="2" fillId="0" borderId="0" xfId="0" applyFont="1" applyAlignment="1"/>
    <xf numFmtId="0" fontId="2" fillId="0" borderId="0" xfId="0" applyFont="1" applyAlignment="1"/>
    <xf numFmtId="0" fontId="6" fillId="0" borderId="0" xfId="0" applyFont="1" applyAlignment="1">
      <alignment wrapText="1"/>
    </xf>
    <xf numFmtId="0" fontId="0" fillId="0" borderId="0" xfId="0" applyFont="1" applyAlignment="1"/>
    <xf numFmtId="0" fontId="0" fillId="0" borderId="0" xfId="0" applyFont="1" applyAlignment="1">
      <alignment wrapText="1"/>
    </xf>
    <xf numFmtId="0" fontId="10" fillId="0" borderId="0" xfId="1" applyAlignment="1"/>
    <xf numFmtId="0" fontId="11" fillId="0" borderId="0" xfId="0" applyFont="1" applyAlignment="1">
      <alignment wrapText="1"/>
    </xf>
    <xf numFmtId="0" fontId="12"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aws.amazon.com/marketplace/pp/prodview-uvchtk4gvwpy2?sr=0-26&amp;ref_=beagle&amp;applicationId=AWSMPContessa" TargetMode="External"/><Relationship Id="rId117" Type="http://schemas.openxmlformats.org/officeDocument/2006/relationships/hyperlink" Target="https://aws.amazon.com/marketplace/pp/prodview-6gnlo7qnnnwgs?sr=0-117&amp;ref_=beagle&amp;applicationId=AWSMPContessa" TargetMode="External"/><Relationship Id="rId21" Type="http://schemas.openxmlformats.org/officeDocument/2006/relationships/hyperlink" Target="https://aws.amazon.com/marketplace/pp/prodview-wmvnvppeag3cm?sr=0-21&amp;ref_=beagle&amp;applicationId=AWSMPContessa" TargetMode="External"/><Relationship Id="rId42" Type="http://schemas.openxmlformats.org/officeDocument/2006/relationships/hyperlink" Target="https://aws.amazon.com/marketplace/pp/prodview-otn6opfzdn6tk?sr=0-42&amp;ref_=beagle&amp;applicationId=AWSMPContessa" TargetMode="External"/><Relationship Id="rId47" Type="http://schemas.openxmlformats.org/officeDocument/2006/relationships/hyperlink" Target="https://aws.amazon.com/marketplace/pp/prodview-oa2b3wsl2l5gy?sr=0-47&amp;ref_=beagle&amp;applicationId=AWSMPContessa" TargetMode="External"/><Relationship Id="rId63" Type="http://schemas.openxmlformats.org/officeDocument/2006/relationships/hyperlink" Target="https://aws.amazon.com/marketplace/pp/prodview-lbwvvsv74xspy?sr=0-63&amp;ref_=beagle&amp;applicationId=AWSMPContessa" TargetMode="External"/><Relationship Id="rId68" Type="http://schemas.openxmlformats.org/officeDocument/2006/relationships/hyperlink" Target="https://aws.amazon.com/marketplace/pp/prodview-kqgzyijziofyq?sr=0-68&amp;ref_=beagle&amp;applicationId=AWSMPContessa" TargetMode="External"/><Relationship Id="rId84" Type="http://schemas.openxmlformats.org/officeDocument/2006/relationships/hyperlink" Target="https://aws.amazon.com/marketplace/pp/prodview-gsu7hiudejnxq?sr=0-84&amp;ref_=beagle&amp;applicationId=AWSMPContessa" TargetMode="External"/><Relationship Id="rId89" Type="http://schemas.openxmlformats.org/officeDocument/2006/relationships/hyperlink" Target="https://aws.amazon.com/marketplace/pp/prodview-g4wqgpy2pa5dk?sr=0-89&amp;ref_=beagle&amp;applicationId=AWSMPContessa" TargetMode="External"/><Relationship Id="rId112" Type="http://schemas.openxmlformats.org/officeDocument/2006/relationships/hyperlink" Target="https://aws.amazon.com/marketplace/pp/prodview-a5p4wkdat6cnc?sr=0-112&amp;ref_=beagle&amp;applicationId=AWSMPContessa" TargetMode="External"/><Relationship Id="rId133" Type="http://schemas.openxmlformats.org/officeDocument/2006/relationships/hyperlink" Target="https://aws.amazon.com/marketplace/pp/prodview-34fkbofrmdxqw?sr=0-133&amp;ref_=beagle&amp;applicationId=AWSMPContessa" TargetMode="External"/><Relationship Id="rId16" Type="http://schemas.openxmlformats.org/officeDocument/2006/relationships/hyperlink" Target="https://aws.amazon.com/marketplace/pp/prodview-x2iv4j4hncsvw?sr=0-16&amp;ref_=beagle&amp;applicationId=AWSMPContessa" TargetMode="External"/><Relationship Id="rId107" Type="http://schemas.openxmlformats.org/officeDocument/2006/relationships/hyperlink" Target="https://aws.amazon.com/marketplace/pp/prodview-axwz25lgcwmnu?sr=0-107&amp;ref_=beagle&amp;applicationId=AWSMPContessa" TargetMode="External"/><Relationship Id="rId11" Type="http://schemas.openxmlformats.org/officeDocument/2006/relationships/hyperlink" Target="https://aws.amazon.com/marketplace/pp/prodview-xxntohiwezg7k?sr=0-11&amp;ref_=beagle&amp;applicationId=AWSMPContessa" TargetMode="External"/><Relationship Id="rId32" Type="http://schemas.openxmlformats.org/officeDocument/2006/relationships/hyperlink" Target="https://aws.amazon.com/marketplace/pp/prodview-sxckxf3pzui7k?sr=0-32&amp;ref_=beagle&amp;applicationId=AWSMPContessa" TargetMode="External"/><Relationship Id="rId37" Type="http://schemas.openxmlformats.org/officeDocument/2006/relationships/hyperlink" Target="https://aws.amazon.com/marketplace/pp/prodview-pxfwfrlgj7fra?sr=0-37&amp;ref_=beagle&amp;applicationId=AWSMPContessa" TargetMode="External"/><Relationship Id="rId53" Type="http://schemas.openxmlformats.org/officeDocument/2006/relationships/hyperlink" Target="https://aws.amazon.com/marketplace/pp/prodview-mx3s2b7fx5fh6?sr=0-53&amp;ref_=beagle&amp;applicationId=AWSMPContessa" TargetMode="External"/><Relationship Id="rId58" Type="http://schemas.openxmlformats.org/officeDocument/2006/relationships/hyperlink" Target="https://aws.amazon.com/marketplace/pp/prodview-mdtianyofamom?sr=0-58&amp;ref_=beagle&amp;applicationId=AWSMPContessa" TargetMode="External"/><Relationship Id="rId74" Type="http://schemas.openxmlformats.org/officeDocument/2006/relationships/hyperlink" Target="https://aws.amazon.com/marketplace/pp/prodview-jf2hjpr2mrj4m?sr=0-74&amp;ref_=beagle&amp;applicationId=AWSMPContessa" TargetMode="External"/><Relationship Id="rId79" Type="http://schemas.openxmlformats.org/officeDocument/2006/relationships/hyperlink" Target="https://aws.amazon.com/marketplace/pp/prodview-hok7o2o24ktfi?sr=0-79&amp;ref_=beagle&amp;applicationId=AWSMPContessa" TargetMode="External"/><Relationship Id="rId102" Type="http://schemas.openxmlformats.org/officeDocument/2006/relationships/hyperlink" Target="https://aws.amazon.com/marketplace/pp/prodview-c4rk5lxymj43i?sr=0-102&amp;ref_=beagle&amp;applicationId=AWSMPContessa" TargetMode="External"/><Relationship Id="rId123" Type="http://schemas.openxmlformats.org/officeDocument/2006/relationships/hyperlink" Target="https://aws.amazon.com/marketplace/pp/prodview-5xh76dgeyyfby?sr=0-123&amp;ref_=beagle&amp;applicationId=AWSMPContessa" TargetMode="External"/><Relationship Id="rId128" Type="http://schemas.openxmlformats.org/officeDocument/2006/relationships/hyperlink" Target="https://aws.amazon.com/marketplace/pp/prodview-4jbtokjz2fnt4?sr=0-128&amp;ref_=beagle&amp;applicationId=AWSMPContessa" TargetMode="External"/><Relationship Id="rId5" Type="http://schemas.openxmlformats.org/officeDocument/2006/relationships/hyperlink" Target="https://aws.amazon.com/marketplace/pp/prodview-yrdpjv2vavmgg?sr=0-5&amp;ref_=beagle&amp;applicationId=AWSMPContessa" TargetMode="External"/><Relationship Id="rId90" Type="http://schemas.openxmlformats.org/officeDocument/2006/relationships/hyperlink" Target="https://aws.amazon.com/marketplace/pp/prodview-frvzatixledgs?sr=0-90&amp;ref_=beagle&amp;applicationId=AWSMPContessa" TargetMode="External"/><Relationship Id="rId95" Type="http://schemas.openxmlformats.org/officeDocument/2006/relationships/hyperlink" Target="https://aws.amazon.com/marketplace/pp/prodview-dzppucmwfpuk4?sr=0-95&amp;ref_=beagle&amp;applicationId=AWSMPContessa" TargetMode="External"/><Relationship Id="rId14" Type="http://schemas.openxmlformats.org/officeDocument/2006/relationships/hyperlink" Target="https://aws.amazon.com/marketplace/pp/prodview-xc2y4qks2tz5y?sr=0-14&amp;ref_=beagle&amp;applicationId=AWSMPContessa" TargetMode="External"/><Relationship Id="rId22" Type="http://schemas.openxmlformats.org/officeDocument/2006/relationships/hyperlink" Target="https://aws.amazon.com/marketplace/pp/prodview-wl6vavk6jr3h2?sr=0-22&amp;ref_=beagle&amp;applicationId=AWSMPContessa" TargetMode="External"/><Relationship Id="rId27" Type="http://schemas.openxmlformats.org/officeDocument/2006/relationships/hyperlink" Target="https://aws.amazon.com/marketplace/pp/prodview-unsyxr6yzlp62?sr=0-27&amp;ref_=beagle&amp;applicationId=AWSMPContessa" TargetMode="External"/><Relationship Id="rId30" Type="http://schemas.openxmlformats.org/officeDocument/2006/relationships/hyperlink" Target="https://aws.amazon.com/marketplace/pp/prodview-tzb3tbrmh3bj2?sr=0-30&amp;ref_=beagle&amp;applicationId=AWSMPContessa" TargetMode="External"/><Relationship Id="rId35" Type="http://schemas.openxmlformats.org/officeDocument/2006/relationships/hyperlink" Target="https://aws.amazon.com/marketplace/pp/prodview-qd7w6cbnmssl2?sr=0-35&amp;ref_=beagle&amp;applicationId=AWSMPContessa" TargetMode="External"/><Relationship Id="rId43" Type="http://schemas.openxmlformats.org/officeDocument/2006/relationships/hyperlink" Target="https://aws.amazon.com/marketplace/pp/prodview-ot34yes3afyhq?sr=0-43&amp;ref_=beagle&amp;applicationId=AWSMPContessa" TargetMode="External"/><Relationship Id="rId48" Type="http://schemas.openxmlformats.org/officeDocument/2006/relationships/hyperlink" Target="https://aws.amazon.com/marketplace/pp/prodview-o5cpjetwwoygy?sr=0-48&amp;ref_=beagle&amp;applicationId=AWSMPContessa" TargetMode="External"/><Relationship Id="rId56" Type="http://schemas.openxmlformats.org/officeDocument/2006/relationships/hyperlink" Target="https://aws.amazon.com/marketplace/pp/prodview-mmz4ve4u5cdui?sr=0-56&amp;ref_=beagle&amp;applicationId=AWSMPContessa" TargetMode="External"/><Relationship Id="rId64" Type="http://schemas.openxmlformats.org/officeDocument/2006/relationships/hyperlink" Target="https://aws.amazon.com/marketplace/pp/prodview-l6rs4jpie4ovq?sr=0-64&amp;ref_=beagle&amp;applicationId=AWSMPContessa" TargetMode="External"/><Relationship Id="rId69" Type="http://schemas.openxmlformats.org/officeDocument/2006/relationships/hyperlink" Target="https://aws.amazon.com/marketplace/pp/prodview-koodet467asui?sr=0-69&amp;ref_=beagle&amp;applicationId=AWSMPContessa" TargetMode="External"/><Relationship Id="rId77" Type="http://schemas.openxmlformats.org/officeDocument/2006/relationships/hyperlink" Target="https://aws.amazon.com/marketplace/pp/prodview-ivr4jeq6flk7u?sr=0-77&amp;ref_=beagle&amp;applicationId=AWSMPContessa" TargetMode="External"/><Relationship Id="rId100" Type="http://schemas.openxmlformats.org/officeDocument/2006/relationships/hyperlink" Target="https://aws.amazon.com/marketplace/pp/prodview-cudzt5ffcconu?sr=0-100&amp;ref_=beagle&amp;applicationId=AWSMPContessa" TargetMode="External"/><Relationship Id="rId105" Type="http://schemas.openxmlformats.org/officeDocument/2006/relationships/hyperlink" Target="https://aws.amazon.com/marketplace/pp/prodview-b23gbtlgkgbuq?sr=0-105&amp;ref_=beagle&amp;applicationId=AWSMPContessa" TargetMode="External"/><Relationship Id="rId113" Type="http://schemas.openxmlformats.org/officeDocument/2006/relationships/hyperlink" Target="https://aws.amazon.com/marketplace/pp/prodview-7c7ovhfysh6yk?sr=0-113&amp;ref_=beagle&amp;applicationId=AWSMPContessa" TargetMode="External"/><Relationship Id="rId118" Type="http://schemas.openxmlformats.org/officeDocument/2006/relationships/hyperlink" Target="https://aws.amazon.com/marketplace/pp/prodview-6aj5tqudfq34k?sr=0-118&amp;ref_=beagle&amp;applicationId=AWSMPContessa" TargetMode="External"/><Relationship Id="rId126" Type="http://schemas.openxmlformats.org/officeDocument/2006/relationships/hyperlink" Target="https://aws.amazon.com/marketplace/pp/prodview-4q3eaq7bdej44?sr=0-126&amp;ref_=beagle&amp;applicationId=AWSMPContessa" TargetMode="External"/><Relationship Id="rId134" Type="http://schemas.openxmlformats.org/officeDocument/2006/relationships/hyperlink" Target="https://aws.amazon.com/marketplace/pp/prodview-2ostsvrguftb2?sr=0-134&amp;ref_=beagle&amp;applicationId=AWSMPContessa" TargetMode="External"/><Relationship Id="rId8" Type="http://schemas.openxmlformats.org/officeDocument/2006/relationships/hyperlink" Target="https://aws.amazon.com/marketplace/pp/prodview-ykfcovxxc4vnw?sr=0-8&amp;ref_=beagle&amp;applicationId=AWSMPContessa" TargetMode="External"/><Relationship Id="rId51" Type="http://schemas.openxmlformats.org/officeDocument/2006/relationships/hyperlink" Target="https://aws.amazon.com/marketplace/pp/prodview-ngejrbcumyjtu?sr=0-51&amp;ref_=beagle&amp;applicationId=AWSMPContessa" TargetMode="External"/><Relationship Id="rId72" Type="http://schemas.openxmlformats.org/officeDocument/2006/relationships/hyperlink" Target="https://aws.amazon.com/marketplace/pp/prodview-jivj3vmebl6ay?sr=0-72&amp;ref_=beagle&amp;applicationId=AWSMPContessa" TargetMode="External"/><Relationship Id="rId80" Type="http://schemas.openxmlformats.org/officeDocument/2006/relationships/hyperlink" Target="https://aws.amazon.com/marketplace/pp/prodview-h2x4naanu4q36?sr=0-80&amp;ref_=beagle&amp;applicationId=AWSMPContessa" TargetMode="External"/><Relationship Id="rId85" Type="http://schemas.openxmlformats.org/officeDocument/2006/relationships/hyperlink" Target="https://aws.amazon.com/marketplace/pp/prodview-g7s2ug7z3t4ue?sr=0-85&amp;ref_=beagle&amp;applicationId=AWSMPContessa" TargetMode="External"/><Relationship Id="rId93" Type="http://schemas.openxmlformats.org/officeDocument/2006/relationships/hyperlink" Target="https://aws.amazon.com/marketplace/pp/prodview-fg6u2qte5llzi?sr=0-93&amp;ref_=beagle&amp;applicationId=AWSMPContessa" TargetMode="External"/><Relationship Id="rId98" Type="http://schemas.openxmlformats.org/officeDocument/2006/relationships/hyperlink" Target="https://aws.amazon.com/marketplace/pp/prodview-dn3lfyvesyh42?sr=0-98&amp;ref_=beagle&amp;applicationId=AWSMPContessa" TargetMode="External"/><Relationship Id="rId121" Type="http://schemas.openxmlformats.org/officeDocument/2006/relationships/hyperlink" Target="https://aws.amazon.com/marketplace/pp/prodview-5y7hgomqj6xcu?sr=0-121&amp;ref_=beagle&amp;applicationId=AWSMPContessa" TargetMode="External"/><Relationship Id="rId3" Type="http://schemas.openxmlformats.org/officeDocument/2006/relationships/hyperlink" Target="https://aws.amazon.com/marketplace/pp/prodview-yyq26ae3m6csk?sr=0-3&amp;ref_=beagle&amp;applicationId=AWSMPContessa" TargetMode="External"/><Relationship Id="rId12" Type="http://schemas.openxmlformats.org/officeDocument/2006/relationships/hyperlink" Target="https://aws.amazon.com/marketplace/pp/prodview-xt3shkaraym7y?sr=0-12&amp;ref_=beagle&amp;applicationId=AWSMPContessa" TargetMode="External"/><Relationship Id="rId17" Type="http://schemas.openxmlformats.org/officeDocument/2006/relationships/hyperlink" Target="https://aws.amazon.com/marketplace/pp/prodview-wwjxc5sort6dw?sr=0-17&amp;ref_=beagle&amp;applicationId=AWSMPContessa" TargetMode="External"/><Relationship Id="rId25" Type="http://schemas.openxmlformats.org/officeDocument/2006/relationships/hyperlink" Target="https://aws.amazon.com/marketplace/pp/prodview-uxrsbvhd35ifw?sr=0-25&amp;ref_=beagle&amp;applicationId=AWSMPContessa" TargetMode="External"/><Relationship Id="rId33" Type="http://schemas.openxmlformats.org/officeDocument/2006/relationships/hyperlink" Target="https://aws.amazon.com/marketplace/pp/prodview-rvesvhymasphs?sr=0-33&amp;ref_=beagle&amp;applicationId=AWSMPContessa" TargetMode="External"/><Relationship Id="rId38" Type="http://schemas.openxmlformats.org/officeDocument/2006/relationships/hyperlink" Target="https://aws.amazon.com/marketplace/pp/prodview-pqusj6xxe74q2?sr=0-38&amp;ref_=beagle&amp;applicationId=AWSMPContessa" TargetMode="External"/><Relationship Id="rId46" Type="http://schemas.openxmlformats.org/officeDocument/2006/relationships/hyperlink" Target="https://aws.amazon.com/marketplace/pp/prodview-odbyslwbqynos?sr=0-46&amp;ref_=beagle&amp;applicationId=AWSMPContessa" TargetMode="External"/><Relationship Id="rId59" Type="http://schemas.openxmlformats.org/officeDocument/2006/relationships/hyperlink" Target="https://aws.amazon.com/marketplace/pp/prodview-lvtm2wxyuqzvk?sr=0-59&amp;ref_=beagle&amp;applicationId=AWSMPContessa" TargetMode="External"/><Relationship Id="rId67" Type="http://schemas.openxmlformats.org/officeDocument/2006/relationships/hyperlink" Target="https://aws.amazon.com/marketplace/pp/prodview-ksbej2lerrhyg?sr=0-67&amp;ref_=beagle&amp;applicationId=AWSMPContessa" TargetMode="External"/><Relationship Id="rId103" Type="http://schemas.openxmlformats.org/officeDocument/2006/relationships/hyperlink" Target="https://aws.amazon.com/marketplace/pp/prodview-bx4jg33ee4j6c?sr=0-103&amp;ref_=beagle&amp;applicationId=AWSMPContessa" TargetMode="External"/><Relationship Id="rId108" Type="http://schemas.openxmlformats.org/officeDocument/2006/relationships/hyperlink" Target="https://aws.amazon.com/marketplace/pp/prodview-avs4bcxwajt4q?sr=0-108&amp;ref_=beagle&amp;applicationId=AWSMPContessa" TargetMode="External"/><Relationship Id="rId116" Type="http://schemas.openxmlformats.org/officeDocument/2006/relationships/hyperlink" Target="https://aws.amazon.com/marketplace/pp/prodview-6i3fv77kpffsi?sr=0-116&amp;ref_=beagle&amp;applicationId=AWSMPContessa" TargetMode="External"/><Relationship Id="rId124" Type="http://schemas.openxmlformats.org/officeDocument/2006/relationships/hyperlink" Target="https://aws.amazon.com/marketplace/pp/prodview-5o2zd72rx3366?sr=0-124&amp;ref_=beagle&amp;applicationId=AWSMPContessa" TargetMode="External"/><Relationship Id="rId129" Type="http://schemas.openxmlformats.org/officeDocument/2006/relationships/hyperlink" Target="https://aws.amazon.com/marketplace/pp/prodview-454apf5dua5l6?sr=0-129&amp;ref_=beagle&amp;applicationId=AWSMPContessa" TargetMode="External"/><Relationship Id="rId20" Type="http://schemas.openxmlformats.org/officeDocument/2006/relationships/hyperlink" Target="https://aws.amazon.com/marketplace/pp/prodview-wng6btwgmb6ua?sr=0-20&amp;ref_=beagle&amp;applicationId=AWSMPContessa" TargetMode="External"/><Relationship Id="rId41" Type="http://schemas.openxmlformats.org/officeDocument/2006/relationships/hyperlink" Target="https://aws.amazon.com/marketplace/pp/prodview-pls5ors5sxjxw?sr=0-41&amp;ref_=beagle&amp;applicationId=AWSMPContessa" TargetMode="External"/><Relationship Id="rId54" Type="http://schemas.openxmlformats.org/officeDocument/2006/relationships/hyperlink" Target="https://aws.amazon.com/marketplace/pp/prodview-mwsoycluce4h2?sr=0-54&amp;ref_=beagle&amp;applicationId=AWSMPContessa" TargetMode="External"/><Relationship Id="rId62" Type="http://schemas.openxmlformats.org/officeDocument/2006/relationships/hyperlink" Target="https://aws.amazon.com/marketplace/pp/prodview-loe7jjlloc74k?sr=0-62&amp;ref_=beagle&amp;applicationId=AWSMPContessa" TargetMode="External"/><Relationship Id="rId70" Type="http://schemas.openxmlformats.org/officeDocument/2006/relationships/hyperlink" Target="https://aws.amazon.com/marketplace/pp/prodview-jnxeoznbfbu5u?sr=0-70&amp;ref_=beagle&amp;applicationId=AWSMPContessa" TargetMode="External"/><Relationship Id="rId75" Type="http://schemas.openxmlformats.org/officeDocument/2006/relationships/hyperlink" Target="https://aws.amazon.com/marketplace/pp/prodview-iz6lnjbdlgcwa?sr=0-75&amp;ref_=beagle&amp;applicationId=AWSMPContessa" TargetMode="External"/><Relationship Id="rId83" Type="http://schemas.openxmlformats.org/officeDocument/2006/relationships/hyperlink" Target="https://aws.amazon.com/marketplace/pp/prodview-guxfnw4igfia2?sr=0-83&amp;ref_=beagle&amp;applicationId=AWSMPContessa" TargetMode="External"/><Relationship Id="rId88" Type="http://schemas.openxmlformats.org/officeDocument/2006/relationships/hyperlink" Target="https://aws.amazon.com/marketplace/pp/prodview-g633slgikxiqk?sr=0-88&amp;ref_=beagle&amp;applicationId=AWSMPContessa" TargetMode="External"/><Relationship Id="rId91" Type="http://schemas.openxmlformats.org/officeDocument/2006/relationships/hyperlink" Target="https://aws.amazon.com/marketplace/pp/prodview-fooxeketozp44?sr=0-91&amp;ref_=beagle&amp;applicationId=AWSMPContessa" TargetMode="External"/><Relationship Id="rId96" Type="http://schemas.openxmlformats.org/officeDocument/2006/relationships/hyperlink" Target="https://aws.amazon.com/marketplace/pp/prodview-dvyemtksskta2?sr=0-96&amp;ref_=beagle&amp;applicationId=AWSMPContessa" TargetMode="External"/><Relationship Id="rId111" Type="http://schemas.openxmlformats.org/officeDocument/2006/relationships/hyperlink" Target="https://aws.amazon.com/marketplace/pp/prodview-acuz7izrqdlds?sr=0-111&amp;ref_=beagle&amp;applicationId=AWSMPContessa" TargetMode="External"/><Relationship Id="rId132" Type="http://schemas.openxmlformats.org/officeDocument/2006/relationships/hyperlink" Target="https://aws.amazon.com/marketplace/pp/prodview-34tcdh7ks72ls?sr=0-132&amp;ref_=beagle&amp;applicationId=AWSMPContessa" TargetMode="External"/><Relationship Id="rId1" Type="http://schemas.openxmlformats.org/officeDocument/2006/relationships/hyperlink" Target="https://aws.amazon.com/marketplace/pp/prodview-zetjfybagtrl2?sr=0-1&amp;ref_=beagle&amp;applicationId=AWSMPContessa" TargetMode="External"/><Relationship Id="rId6" Type="http://schemas.openxmlformats.org/officeDocument/2006/relationships/hyperlink" Target="https://aws.amazon.com/marketplace/pp/prodview-yl3hc4awgb5pu?sr=0-6&amp;ref_=beagle&amp;applicationId=AWSMPContessa" TargetMode="External"/><Relationship Id="rId15" Type="http://schemas.openxmlformats.org/officeDocument/2006/relationships/hyperlink" Target="https://aws.amazon.com/marketplace/pp/prodview-x7vtai3hasf26?sr=0-15&amp;ref_=beagle&amp;applicationId=AWSMPContessa" TargetMode="External"/><Relationship Id="rId23" Type="http://schemas.openxmlformats.org/officeDocument/2006/relationships/hyperlink" Target="https://aws.amazon.com/marketplace/pp/prodview-wa3anotrw3rve?sr=0-23&amp;ref_=beagle&amp;applicationId=AWSMPContessa" TargetMode="External"/><Relationship Id="rId28" Type="http://schemas.openxmlformats.org/officeDocument/2006/relationships/hyperlink" Target="https://aws.amazon.com/marketplace/pp/prodview-unpqiiv5dfu6y?sr=0-28&amp;ref_=beagle&amp;applicationId=AWSMPContessa" TargetMode="External"/><Relationship Id="rId36" Type="http://schemas.openxmlformats.org/officeDocument/2006/relationships/hyperlink" Target="https://aws.amazon.com/marketplace/pp/prodview-q5gmfev7upw7e?sr=0-36&amp;ref_=beagle&amp;applicationId=AWSMPContessa" TargetMode="External"/><Relationship Id="rId49" Type="http://schemas.openxmlformats.org/officeDocument/2006/relationships/hyperlink" Target="https://aws.amazon.com/marketplace/pp/prodview-nrulxjf2cfgte?sr=0-49&amp;ref_=beagle&amp;applicationId=AWSMPContessa" TargetMode="External"/><Relationship Id="rId57" Type="http://schemas.openxmlformats.org/officeDocument/2006/relationships/hyperlink" Target="https://aws.amazon.com/marketplace/pp/prodview-mfldvpy263lcm?sr=0-57&amp;ref_=beagle&amp;applicationId=AWSMPContessa" TargetMode="External"/><Relationship Id="rId106" Type="http://schemas.openxmlformats.org/officeDocument/2006/relationships/hyperlink" Target="https://aws.amazon.com/marketplace/pp/prodview-az2fsalpokx7k?sr=0-106&amp;ref_=beagle&amp;applicationId=AWSMPContessa" TargetMode="External"/><Relationship Id="rId114" Type="http://schemas.openxmlformats.org/officeDocument/2006/relationships/hyperlink" Target="https://aws.amazon.com/marketplace/pp/prodview-73iwu7dcfuge2?sr=0-114&amp;ref_=beagle&amp;applicationId=AWSMPContessa" TargetMode="External"/><Relationship Id="rId119" Type="http://schemas.openxmlformats.org/officeDocument/2006/relationships/hyperlink" Target="https://aws.amazon.com/marketplace/pp/prodview-64didssatyxno?sr=0-119&amp;ref_=beagle&amp;applicationId=AWSMPContessa" TargetMode="External"/><Relationship Id="rId127" Type="http://schemas.openxmlformats.org/officeDocument/2006/relationships/hyperlink" Target="https://aws.amazon.com/marketplace/pp/prodview-4lpmuzlbr4a2c?sr=0-127&amp;ref_=beagle&amp;applicationId=AWSMPContessa" TargetMode="External"/><Relationship Id="rId10" Type="http://schemas.openxmlformats.org/officeDocument/2006/relationships/hyperlink" Target="https://aws.amazon.com/marketplace/pp/prodview-yd5ydptv3vuz2?sr=0-10&amp;ref_=beagle&amp;applicationId=AWSMPContessa" TargetMode="External"/><Relationship Id="rId31" Type="http://schemas.openxmlformats.org/officeDocument/2006/relationships/hyperlink" Target="https://aws.amazon.com/marketplace/pp/prodview-tmvgq72wrnzpq?sr=0-31&amp;ref_=beagle&amp;applicationId=AWSMPContessa" TargetMode="External"/><Relationship Id="rId44" Type="http://schemas.openxmlformats.org/officeDocument/2006/relationships/hyperlink" Target="https://aws.amazon.com/marketplace/pp/prodview-orpn3qmlgv22e?sr=0-44&amp;ref_=beagle&amp;applicationId=AWSMPContessa" TargetMode="External"/><Relationship Id="rId52" Type="http://schemas.openxmlformats.org/officeDocument/2006/relationships/hyperlink" Target="https://aws.amazon.com/marketplace/pp/prodview-ndthuqa4tzx4s?sr=0-52&amp;ref_=beagle&amp;applicationId=AWSMPContessa" TargetMode="External"/><Relationship Id="rId60" Type="http://schemas.openxmlformats.org/officeDocument/2006/relationships/hyperlink" Target="https://aws.amazon.com/marketplace/pp/prodview-lvlykr3ehaodg?sr=0-60&amp;ref_=beagle&amp;applicationId=AWSMPContessa" TargetMode="External"/><Relationship Id="rId65" Type="http://schemas.openxmlformats.org/officeDocument/2006/relationships/hyperlink" Target="https://aws.amazon.com/marketplace/pp/prodview-kvgy4vkuhavsc?sr=0-65&amp;ref_=beagle&amp;applicationId=AWSMPContessa" TargetMode="External"/><Relationship Id="rId73" Type="http://schemas.openxmlformats.org/officeDocument/2006/relationships/hyperlink" Target="https://aws.amazon.com/marketplace/pp/prodview-jir2e4n66gfyo?sr=0-73&amp;ref_=beagle&amp;applicationId=AWSMPContessa" TargetMode="External"/><Relationship Id="rId78" Type="http://schemas.openxmlformats.org/officeDocument/2006/relationships/hyperlink" Target="https://aws.amazon.com/marketplace/pp/prodview-hpxjylo2pzyqo?sr=0-78&amp;ref_=beagle&amp;applicationId=AWSMPContessa" TargetMode="External"/><Relationship Id="rId81" Type="http://schemas.openxmlformats.org/officeDocument/2006/relationships/hyperlink" Target="https://aws.amazon.com/marketplace/pp/prodview-gy675thtcjzjy?sr=0-81&amp;ref_=beagle&amp;applicationId=AWSMPContessa" TargetMode="External"/><Relationship Id="rId86" Type="http://schemas.openxmlformats.org/officeDocument/2006/relationships/hyperlink" Target="https://aws.amazon.com/marketplace/pp/prodview-g7n63brq7226g?sr=0-86&amp;ref_=beagle&amp;applicationId=AWSMPContessa" TargetMode="External"/><Relationship Id="rId94" Type="http://schemas.openxmlformats.org/officeDocument/2006/relationships/hyperlink" Target="https://aws.amazon.com/marketplace/pp/prodview-eu33kalocbhiw?sr=0-94&amp;ref_=beagle&amp;applicationId=AWSMPContessa" TargetMode="External"/><Relationship Id="rId99" Type="http://schemas.openxmlformats.org/officeDocument/2006/relationships/hyperlink" Target="https://aws.amazon.com/marketplace/pp/prodview-d3e7zdpfaepwu?sr=0-99&amp;ref_=beagle&amp;applicationId=AWSMPContessa" TargetMode="External"/><Relationship Id="rId101" Type="http://schemas.openxmlformats.org/officeDocument/2006/relationships/hyperlink" Target="https://aws.amazon.com/marketplace/pp/prodview-cedhkcjocmfs4?sr=0-101&amp;ref_=beagle&amp;applicationId=AWSMPContessa" TargetMode="External"/><Relationship Id="rId122" Type="http://schemas.openxmlformats.org/officeDocument/2006/relationships/hyperlink" Target="https://aws.amazon.com/marketplace/pp/prodview-5xvkxre4wfnpg?sr=0-122&amp;ref_=beagle&amp;applicationId=AWSMPContessa" TargetMode="External"/><Relationship Id="rId130" Type="http://schemas.openxmlformats.org/officeDocument/2006/relationships/hyperlink" Target="https://aws.amazon.com/marketplace/pp/prodview-3lemxt4oqpqsw?sr=0-130&amp;ref_=beagle&amp;applicationId=AWSMPContessa" TargetMode="External"/><Relationship Id="rId135" Type="http://schemas.openxmlformats.org/officeDocument/2006/relationships/hyperlink" Target="https://aws.amazon.com/marketplace/pp/prodview-2mxpa44owqfyk?sr=0-135&amp;ref_=beagle&amp;applicationId=AWSMPContessa" TargetMode="External"/><Relationship Id="rId4" Type="http://schemas.openxmlformats.org/officeDocument/2006/relationships/hyperlink" Target="https://aws.amazon.com/marketplace/pp/prodview-ysfjbrlu2hdb6?sr=0-4&amp;ref_=beagle&amp;applicationId=AWSMPContessa" TargetMode="External"/><Relationship Id="rId9" Type="http://schemas.openxmlformats.org/officeDocument/2006/relationships/hyperlink" Target="https://aws.amazon.com/marketplace/pp/prodview-yhz3mavy6s7go?sr=0-9&amp;ref_=beagle&amp;applicationId=AWSMPContessa" TargetMode="External"/><Relationship Id="rId13" Type="http://schemas.openxmlformats.org/officeDocument/2006/relationships/hyperlink" Target="https://aws.amazon.com/marketplace/pp/prodview-xilranwbl2ep2?sr=0-13&amp;ref_=beagle&amp;applicationId=AWSMPContessa" TargetMode="External"/><Relationship Id="rId18" Type="http://schemas.openxmlformats.org/officeDocument/2006/relationships/hyperlink" Target="https://aws.amazon.com/marketplace/pp/prodview-wssgafxllqgsu?sr=0-18&amp;ref_=beagle&amp;applicationId=AWSMPContessa" TargetMode="External"/><Relationship Id="rId39" Type="http://schemas.openxmlformats.org/officeDocument/2006/relationships/hyperlink" Target="https://aws.amazon.com/marketplace/pp/prodview-powejeffft672?sr=0-39&amp;ref_=beagle&amp;applicationId=AWSMPContessa" TargetMode="External"/><Relationship Id="rId109" Type="http://schemas.openxmlformats.org/officeDocument/2006/relationships/hyperlink" Target="https://aws.amazon.com/marketplace/pp/prodview-avfxxhmezqpsw?sr=0-109&amp;ref_=beagle&amp;applicationId=AWSMPContessa" TargetMode="External"/><Relationship Id="rId34" Type="http://schemas.openxmlformats.org/officeDocument/2006/relationships/hyperlink" Target="https://aws.amazon.com/marketplace/pp/prodview-qumzmkzc2acri?sr=0-34&amp;ref_=beagle&amp;applicationId=AWSMPContessa" TargetMode="External"/><Relationship Id="rId50" Type="http://schemas.openxmlformats.org/officeDocument/2006/relationships/hyperlink" Target="https://aws.amazon.com/marketplace/pp/prodview-ngoejgm2gjlnk?sr=0-50&amp;ref_=beagle&amp;applicationId=AWSMPContessa" TargetMode="External"/><Relationship Id="rId55" Type="http://schemas.openxmlformats.org/officeDocument/2006/relationships/hyperlink" Target="https://aws.amazon.com/marketplace/pp/prodview-mt4sc2jdln3na?sr=0-55&amp;ref_=beagle&amp;applicationId=AWSMPContessa" TargetMode="External"/><Relationship Id="rId76" Type="http://schemas.openxmlformats.org/officeDocument/2006/relationships/hyperlink" Target="https://aws.amazon.com/marketplace/pp/prodview-ixyavctz3bw3u?sr=0-76&amp;ref_=beagle&amp;applicationId=AWSMPContessa" TargetMode="External"/><Relationship Id="rId97" Type="http://schemas.openxmlformats.org/officeDocument/2006/relationships/hyperlink" Target="https://aws.amazon.com/marketplace/pp/prodview-dpbz3udi2e2ny?sr=0-97&amp;ref_=beagle&amp;applicationId=AWSMPContessa" TargetMode="External"/><Relationship Id="rId104" Type="http://schemas.openxmlformats.org/officeDocument/2006/relationships/hyperlink" Target="https://aws.amazon.com/marketplace/pp/prodview-bnledtcntchye?sr=0-104&amp;ref_=beagle&amp;applicationId=AWSMPContessa" TargetMode="External"/><Relationship Id="rId120" Type="http://schemas.openxmlformats.org/officeDocument/2006/relationships/hyperlink" Target="https://aws.amazon.com/marketplace/pp/prodview-647e3hzk3b3jc?sr=0-120&amp;ref_=beagle&amp;applicationId=AWSMPContessa" TargetMode="External"/><Relationship Id="rId125" Type="http://schemas.openxmlformats.org/officeDocument/2006/relationships/hyperlink" Target="https://aws.amazon.com/marketplace/pp/prodview-4ufqiltbdbdfo?sr=0-125&amp;ref_=beagle&amp;applicationId=AWSMPContessa" TargetMode="External"/><Relationship Id="rId7" Type="http://schemas.openxmlformats.org/officeDocument/2006/relationships/hyperlink" Target="https://aws.amazon.com/marketplace/pp/prodview-ykj5gyumkzlme?sr=0-7&amp;ref_=beagle&amp;applicationId=AWSMPContessa" TargetMode="External"/><Relationship Id="rId71" Type="http://schemas.openxmlformats.org/officeDocument/2006/relationships/hyperlink" Target="https://aws.amazon.com/marketplace/pp/prodview-jk2mldmkcuzbq?sr=0-71&amp;ref_=beagle&amp;applicationId=AWSMPContessa" TargetMode="External"/><Relationship Id="rId92" Type="http://schemas.openxmlformats.org/officeDocument/2006/relationships/hyperlink" Target="https://aws.amazon.com/marketplace/pp/prodview-fmmpvlozifeya?sr=0-92&amp;ref_=beagle&amp;applicationId=AWSMPContessa" TargetMode="External"/><Relationship Id="rId2" Type="http://schemas.openxmlformats.org/officeDocument/2006/relationships/hyperlink" Target="https://aws.amazon.com/marketplace/pp/prodview-z6d6q7p7a65xe?sr=0-2&amp;ref_=beagle&amp;applicationId=AWSMPContessa" TargetMode="External"/><Relationship Id="rId29" Type="http://schemas.openxmlformats.org/officeDocument/2006/relationships/hyperlink" Target="https://aws.amazon.com/marketplace/pp/prodview-u7ps3lcyuiyjc?sr=0-29&amp;ref_=beagle&amp;applicationId=AWSMPContessa" TargetMode="External"/><Relationship Id="rId24" Type="http://schemas.openxmlformats.org/officeDocument/2006/relationships/hyperlink" Target="https://aws.amazon.com/marketplace/pp/prodview-v7w5elnjeaie6?sr=0-24&amp;ref_=beagle&amp;applicationId=AWSMPContessa" TargetMode="External"/><Relationship Id="rId40" Type="http://schemas.openxmlformats.org/officeDocument/2006/relationships/hyperlink" Target="https://aws.amazon.com/marketplace/pp/prodview-pocj2gb5p5nto?sr=0-40&amp;ref_=beagle&amp;applicationId=AWSMPContessa" TargetMode="External"/><Relationship Id="rId45" Type="http://schemas.openxmlformats.org/officeDocument/2006/relationships/hyperlink" Target="https://aws.amazon.com/marketplace/pp/prodview-oegf45s5ylawi?sr=0-45&amp;ref_=beagle&amp;applicationId=AWSMPContessa" TargetMode="External"/><Relationship Id="rId66" Type="http://schemas.openxmlformats.org/officeDocument/2006/relationships/hyperlink" Target="https://aws.amazon.com/marketplace/pp/prodview-ku4dw5smyq7mu?sr=0-66&amp;ref_=beagle&amp;applicationId=AWSMPContessa" TargetMode="External"/><Relationship Id="rId87" Type="http://schemas.openxmlformats.org/officeDocument/2006/relationships/hyperlink" Target="https://aws.amazon.com/marketplace/pp/prodview-g6lcchc7brshw?sr=0-87&amp;ref_=beagle&amp;applicationId=AWSMPContessa" TargetMode="External"/><Relationship Id="rId110" Type="http://schemas.openxmlformats.org/officeDocument/2006/relationships/hyperlink" Target="https://aws.amazon.com/marketplace/pp/prodview-ae4rze4k5yi74?sr=0-110&amp;ref_=beagle&amp;applicationId=AWSMPContessa" TargetMode="External"/><Relationship Id="rId115" Type="http://schemas.openxmlformats.org/officeDocument/2006/relationships/hyperlink" Target="https://aws.amazon.com/marketplace/pp/prodview-6zq43js5rxnpo?sr=0-115&amp;ref_=beagle&amp;applicationId=AWSMPContessa" TargetMode="External"/><Relationship Id="rId131" Type="http://schemas.openxmlformats.org/officeDocument/2006/relationships/hyperlink" Target="https://aws.amazon.com/marketplace/pp/prodview-3bfpv6jsl4tqk?sr=0-131&amp;ref_=beagle&amp;applicationId=AWSMPContessa" TargetMode="External"/><Relationship Id="rId61" Type="http://schemas.openxmlformats.org/officeDocument/2006/relationships/hyperlink" Target="https://aws.amazon.com/marketplace/pp/prodview-lv6b5g7y5m4pm?sr=0-61&amp;ref_=beagle&amp;applicationId=AWSMPContessa" TargetMode="External"/><Relationship Id="rId82" Type="http://schemas.openxmlformats.org/officeDocument/2006/relationships/hyperlink" Target="https://aws.amazon.com/marketplace/pp/prodview-guxsdrz6onxd6?sr=0-82&amp;ref_=beagle&amp;applicationId=AWSMPContessa" TargetMode="External"/><Relationship Id="rId19" Type="http://schemas.openxmlformats.org/officeDocument/2006/relationships/hyperlink" Target="https://aws.amazon.com/marketplace/pp/prodview-woomaqzzxi5j4?sr=0-19&amp;ref_=beagle&amp;applicationId=AWSMPContessa"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fertasa.co.za/member-directory/directory-list/" TargetMode="External"/><Relationship Id="rId13" Type="http://schemas.openxmlformats.org/officeDocument/2006/relationships/hyperlink" Target="http://www.fertasa.co.za/member-directory/directory-list/" TargetMode="External"/><Relationship Id="rId18" Type="http://schemas.openxmlformats.org/officeDocument/2006/relationships/hyperlink" Target="http://www.fertasa.co.za/member-directory/directory-list/" TargetMode="External"/><Relationship Id="rId26" Type="http://schemas.openxmlformats.org/officeDocument/2006/relationships/hyperlink" Target="https://eastafricatenders.com/businesses/fertilizer/" TargetMode="External"/><Relationship Id="rId3" Type="http://schemas.openxmlformats.org/officeDocument/2006/relationships/hyperlink" Target="http://www.fertasa.co.za/member-directory/directory-list/" TargetMode="External"/><Relationship Id="rId21" Type="http://schemas.openxmlformats.org/officeDocument/2006/relationships/hyperlink" Target="https://victormatara.com/list-of-fertilizer-companies-in-kenya/" TargetMode="External"/><Relationship Id="rId7" Type="http://schemas.openxmlformats.org/officeDocument/2006/relationships/hyperlink" Target="http://www.fertasa.co.za/member-directory/directory-list/" TargetMode="External"/><Relationship Id="rId12" Type="http://schemas.openxmlformats.org/officeDocument/2006/relationships/hyperlink" Target="http://www.fertasa.co.za/member-directory/directory-list/" TargetMode="External"/><Relationship Id="rId17" Type="http://schemas.openxmlformats.org/officeDocument/2006/relationships/hyperlink" Target="http://www.fertasa.co.za/member-directory/directory-list/" TargetMode="External"/><Relationship Id="rId25" Type="http://schemas.openxmlformats.org/officeDocument/2006/relationships/hyperlink" Target="https://victormatara.com/list-of-fertilizer-companies-in-kenya/" TargetMode="External"/><Relationship Id="rId2" Type="http://schemas.openxmlformats.org/officeDocument/2006/relationships/hyperlink" Target="http://www.fertasa.co.za/member-directory/directory-list/" TargetMode="External"/><Relationship Id="rId16" Type="http://schemas.openxmlformats.org/officeDocument/2006/relationships/hyperlink" Target="http://www.fertasa.co.za/member-directory/directory-list/" TargetMode="External"/><Relationship Id="rId20" Type="http://schemas.openxmlformats.org/officeDocument/2006/relationships/hyperlink" Target="https://victormatara.com/list-of-fertilizer-companies-in-kenya/" TargetMode="External"/><Relationship Id="rId1" Type="http://schemas.openxmlformats.org/officeDocument/2006/relationships/hyperlink" Target="http://www.fertasa.co.za/member-directory/directory-list/" TargetMode="External"/><Relationship Id="rId6" Type="http://schemas.openxmlformats.org/officeDocument/2006/relationships/hyperlink" Target="http://www.fertasa.co.za/member-directory/directory-list/" TargetMode="External"/><Relationship Id="rId11" Type="http://schemas.openxmlformats.org/officeDocument/2006/relationships/hyperlink" Target="http://www.fertasa.co.za/member-directory/directory-list/" TargetMode="External"/><Relationship Id="rId24" Type="http://schemas.openxmlformats.org/officeDocument/2006/relationships/hyperlink" Target="https://victormatara.com/list-of-fertilizer-companies-in-kenya/" TargetMode="External"/><Relationship Id="rId5" Type="http://schemas.openxmlformats.org/officeDocument/2006/relationships/hyperlink" Target="http://www.fertasa.co.za/member-directory/directory-list/" TargetMode="External"/><Relationship Id="rId15" Type="http://schemas.openxmlformats.org/officeDocument/2006/relationships/hyperlink" Target="http://www.fertasa.co.za/member-directory/directory-list/" TargetMode="External"/><Relationship Id="rId23" Type="http://schemas.openxmlformats.org/officeDocument/2006/relationships/hyperlink" Target="https://victormatara.com/list-of-fertilizer-companies-in-kenya/" TargetMode="External"/><Relationship Id="rId10" Type="http://schemas.openxmlformats.org/officeDocument/2006/relationships/hyperlink" Target="http://www.fertasa.co.za/member-directory/directory-list/" TargetMode="External"/><Relationship Id="rId19" Type="http://schemas.openxmlformats.org/officeDocument/2006/relationships/hyperlink" Target="http://www.fertasa.co.za/member-directory/directory-list/" TargetMode="External"/><Relationship Id="rId4" Type="http://schemas.openxmlformats.org/officeDocument/2006/relationships/hyperlink" Target="http://www.fertasa.co.za/member-directory/directory-list/" TargetMode="External"/><Relationship Id="rId9" Type="http://schemas.openxmlformats.org/officeDocument/2006/relationships/hyperlink" Target="http://www.fertasa.co.za/member-directory/directory-list/" TargetMode="External"/><Relationship Id="rId14" Type="http://schemas.openxmlformats.org/officeDocument/2006/relationships/hyperlink" Target="http://www.fertasa.co.za/member-directory/directory-list/" TargetMode="External"/><Relationship Id="rId22" Type="http://schemas.openxmlformats.org/officeDocument/2006/relationships/hyperlink" Target="https://victormatara.com/list-of-fertilizer-companies-in-kenya/" TargetMode="External"/><Relationship Id="rId27" Type="http://schemas.openxmlformats.org/officeDocument/2006/relationships/hyperlink" Target="https://eastafricatenders.com/businesses/fertilize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ctahr.hawaii.edu/mauisoil/c_placement.aspx" TargetMode="External"/><Relationship Id="rId3" Type="http://schemas.openxmlformats.org/officeDocument/2006/relationships/hyperlink" Target="https://www.gardeningknowhow.com/garden-how-to/soil-fertilizers/sodium-in-plants.htm" TargetMode="External"/><Relationship Id="rId7" Type="http://schemas.openxmlformats.org/officeDocument/2006/relationships/hyperlink" Target="https://counties.agrilife.org/valverde/files/2014/11/Phosphorus-Too-Much-Plants-May-Suffer.pdf" TargetMode="External"/><Relationship Id="rId2" Type="http://schemas.openxmlformats.org/officeDocument/2006/relationships/hyperlink" Target="https://extension.umn.edu/liming/liming-materials-minnesota-soils" TargetMode="External"/><Relationship Id="rId1" Type="http://schemas.openxmlformats.org/officeDocument/2006/relationships/hyperlink" Target="https://extension.usu.edu/yardandgarden/research/solutions-to-soil-problems-ii-high-ph" TargetMode="External"/><Relationship Id="rId6" Type="http://schemas.openxmlformats.org/officeDocument/2006/relationships/hyperlink" Target="https://www.gardeningknowhow.com/garden-how-to/soil-fertilizers/plants-potassium.htm" TargetMode="External"/><Relationship Id="rId5" Type="http://schemas.openxmlformats.org/officeDocument/2006/relationships/hyperlink" Target="https://www.gardeningknowhow.com/garden-how-to/soil-fertilizers/lowering-potassium-levels.htm" TargetMode="External"/><Relationship Id="rId4" Type="http://schemas.openxmlformats.org/officeDocument/2006/relationships/hyperlink" Target="https://www.gardeningknowhow.com/garden-how-to/soil-fertilizers/sodium-in-plants.ht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foodtank.com/wp-content/uploads/2017/05/Food-Tank-SRI-Rice.jpg" TargetMode="External"/><Relationship Id="rId7" Type="http://schemas.openxmlformats.org/officeDocument/2006/relationships/printerSettings" Target="../printerSettings/printerSettings1.bin"/><Relationship Id="rId2" Type="http://schemas.openxmlformats.org/officeDocument/2006/relationships/hyperlink" Target="https://cropwatch.unl.edu/styles/large/public/images/hero/2018/NE-double-crops-peas-grain-sorghum.jpg?itok=6-T5gSP4" TargetMode="External"/><Relationship Id="rId1" Type="http://schemas.openxmlformats.org/officeDocument/2006/relationships/hyperlink" Target="https://b3n8a3n8.rocketcdn.me/wp-content/uploads/2021/06/corn-vs-maize-01.jpg" TargetMode="External"/><Relationship Id="rId6" Type="http://schemas.openxmlformats.org/officeDocument/2006/relationships/hyperlink" Target="https://www.soils.org/files/images/news/indalecio-coffee-aranas-image-2-rl-800x600.jpg" TargetMode="External"/><Relationship Id="rId5" Type="http://schemas.openxmlformats.org/officeDocument/2006/relationships/hyperlink" Target="https://www.gardeningknowhow.com/wp-content/uploads/2016/01/plantain-fruit.jpg" TargetMode="External"/><Relationship Id="rId4" Type="http://schemas.openxmlformats.org/officeDocument/2006/relationships/hyperlink" Target="https://previews.123rf.com/images/davidmartyn/davidmartyn0908/davidmartyn090800034/5444371-green-kidney-beans-growing-in-a-field.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36"/>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2.5703125" defaultRowHeight="15.75" customHeight="1" x14ac:dyDescent="0.2"/>
  <cols>
    <col min="1" max="1" width="36.5703125" customWidth="1"/>
    <col min="2" max="2" width="45.85546875" customWidth="1"/>
    <col min="3" max="4" width="16.42578125" customWidth="1"/>
    <col min="12" max="12" width="14.140625" customWidth="1"/>
    <col min="15" max="15" width="14.5703125" customWidth="1"/>
  </cols>
  <sheetData>
    <row r="1" spans="1:26" ht="90"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2"/>
      <c r="T1" s="2"/>
      <c r="U1" s="2"/>
      <c r="V1" s="2"/>
      <c r="W1" s="2"/>
      <c r="X1" s="2"/>
      <c r="Y1" s="2"/>
      <c r="Z1" s="2"/>
    </row>
    <row r="2" spans="1:26" ht="142.5" x14ac:dyDescent="0.2">
      <c r="A2" s="3" t="s">
        <v>18</v>
      </c>
      <c r="B2" s="3" t="s">
        <v>19</v>
      </c>
      <c r="C2" s="4" t="s">
        <v>20</v>
      </c>
      <c r="D2" s="2"/>
      <c r="E2" s="2"/>
      <c r="F2" s="2"/>
      <c r="G2" s="2"/>
      <c r="H2" s="2"/>
      <c r="I2" s="3">
        <v>1</v>
      </c>
      <c r="J2" s="2"/>
      <c r="K2" s="2"/>
      <c r="L2" s="2"/>
      <c r="M2" s="2"/>
      <c r="N2" s="2"/>
      <c r="O2" s="2"/>
      <c r="P2" s="3">
        <v>1</v>
      </c>
      <c r="Q2" s="3">
        <v>1</v>
      </c>
      <c r="R2" s="2"/>
      <c r="S2" s="2"/>
      <c r="T2" s="2"/>
      <c r="U2" s="2"/>
      <c r="V2" s="2"/>
      <c r="W2" s="2"/>
      <c r="X2" s="2"/>
      <c r="Y2" s="2"/>
      <c r="Z2" s="2"/>
    </row>
    <row r="3" spans="1:26" ht="142.5" x14ac:dyDescent="0.2">
      <c r="A3" s="3" t="s">
        <v>21</v>
      </c>
      <c r="B3" s="3" t="s">
        <v>22</v>
      </c>
      <c r="C3" s="4" t="s">
        <v>23</v>
      </c>
      <c r="D3" s="2"/>
      <c r="E3" s="3">
        <v>1</v>
      </c>
      <c r="F3" s="2"/>
      <c r="G3" s="2"/>
      <c r="H3" s="2"/>
      <c r="I3" s="2"/>
      <c r="J3" s="2"/>
      <c r="K3" s="2"/>
      <c r="L3" s="3">
        <v>1</v>
      </c>
      <c r="M3" s="2"/>
      <c r="N3" s="2"/>
      <c r="O3" s="3">
        <v>1</v>
      </c>
      <c r="P3" s="2"/>
      <c r="Q3" s="2"/>
      <c r="R3" s="3">
        <v>1</v>
      </c>
      <c r="S3" s="2"/>
      <c r="T3" s="2"/>
      <c r="U3" s="2"/>
      <c r="V3" s="2"/>
      <c r="W3" s="2"/>
      <c r="X3" s="2"/>
      <c r="Y3" s="2"/>
      <c r="Z3" s="2"/>
    </row>
    <row r="4" spans="1:26" ht="285" x14ac:dyDescent="0.2">
      <c r="A4" s="3" t="s">
        <v>24</v>
      </c>
      <c r="B4" s="3" t="s">
        <v>25</v>
      </c>
      <c r="C4" s="4" t="s">
        <v>26</v>
      </c>
      <c r="D4" s="2"/>
      <c r="E4" s="2"/>
      <c r="F4" s="2"/>
      <c r="G4" s="2"/>
      <c r="H4" s="2"/>
      <c r="I4" s="2"/>
      <c r="J4" s="2"/>
      <c r="K4" s="2"/>
      <c r="L4" s="3">
        <v>1</v>
      </c>
      <c r="M4" s="2"/>
      <c r="N4" s="3">
        <v>1</v>
      </c>
      <c r="O4" s="2"/>
      <c r="P4" s="2"/>
      <c r="Q4" s="2"/>
      <c r="R4" s="3">
        <v>1</v>
      </c>
      <c r="S4" s="2"/>
      <c r="T4" s="2"/>
      <c r="U4" s="2"/>
      <c r="V4" s="2"/>
      <c r="W4" s="2"/>
      <c r="X4" s="2"/>
      <c r="Y4" s="2"/>
      <c r="Z4" s="2"/>
    </row>
    <row r="5" spans="1:26" ht="142.5" x14ac:dyDescent="0.2">
      <c r="A5" s="3" t="s">
        <v>27</v>
      </c>
      <c r="B5" s="3" t="s">
        <v>28</v>
      </c>
      <c r="C5" s="4" t="s">
        <v>29</v>
      </c>
      <c r="D5" s="2"/>
      <c r="E5" s="2"/>
      <c r="F5" s="2"/>
      <c r="G5" s="2"/>
      <c r="H5" s="2"/>
      <c r="I5" s="2"/>
      <c r="J5" s="2"/>
      <c r="K5" s="2"/>
      <c r="L5" s="3">
        <v>1</v>
      </c>
      <c r="M5" s="2"/>
      <c r="N5" s="3">
        <v>1</v>
      </c>
      <c r="O5" s="2"/>
      <c r="P5" s="3">
        <v>1</v>
      </c>
      <c r="Q5" s="2"/>
      <c r="R5" s="3">
        <v>1</v>
      </c>
      <c r="S5" s="2"/>
      <c r="T5" s="2"/>
      <c r="U5" s="2"/>
      <c r="V5" s="2"/>
      <c r="W5" s="2"/>
      <c r="X5" s="2"/>
      <c r="Y5" s="2"/>
      <c r="Z5" s="2"/>
    </row>
    <row r="6" spans="1:26" ht="142.5" x14ac:dyDescent="0.2">
      <c r="A6" s="3" t="s">
        <v>30</v>
      </c>
      <c r="B6" s="3" t="s">
        <v>31</v>
      </c>
      <c r="C6" s="4" t="s">
        <v>32</v>
      </c>
      <c r="D6" s="2"/>
      <c r="E6" s="2"/>
      <c r="F6" s="2"/>
      <c r="G6" s="2"/>
      <c r="H6" s="2"/>
      <c r="I6" s="2"/>
      <c r="J6" s="2"/>
      <c r="K6" s="2"/>
      <c r="L6" s="2"/>
      <c r="M6" s="2"/>
      <c r="N6" s="3">
        <v>1</v>
      </c>
      <c r="O6" s="2"/>
      <c r="P6" s="3">
        <v>1</v>
      </c>
      <c r="Q6" s="3">
        <v>1</v>
      </c>
      <c r="R6" s="3">
        <v>1</v>
      </c>
      <c r="S6" s="2"/>
      <c r="T6" s="2"/>
      <c r="U6" s="2"/>
      <c r="V6" s="2"/>
      <c r="W6" s="2"/>
      <c r="X6" s="2"/>
      <c r="Y6" s="2"/>
      <c r="Z6" s="2"/>
    </row>
    <row r="7" spans="1:26" ht="142.5" x14ac:dyDescent="0.2">
      <c r="A7" s="3" t="s">
        <v>33</v>
      </c>
      <c r="B7" s="3" t="s">
        <v>34</v>
      </c>
      <c r="C7" s="4" t="s">
        <v>35</v>
      </c>
      <c r="D7" s="2"/>
      <c r="E7" s="2"/>
      <c r="F7" s="2"/>
      <c r="G7" s="2"/>
      <c r="H7" s="2"/>
      <c r="I7" s="2"/>
      <c r="J7" s="3">
        <v>1</v>
      </c>
      <c r="K7" s="2"/>
      <c r="L7" s="3">
        <v>1</v>
      </c>
      <c r="M7" s="2"/>
      <c r="N7" s="3">
        <v>1</v>
      </c>
      <c r="O7" s="3">
        <v>1</v>
      </c>
      <c r="P7" s="3">
        <v>1</v>
      </c>
      <c r="Q7" s="2"/>
      <c r="R7" s="3">
        <v>1</v>
      </c>
      <c r="S7" s="2"/>
      <c r="T7" s="2"/>
      <c r="U7" s="2"/>
      <c r="V7" s="2"/>
      <c r="W7" s="2"/>
      <c r="X7" s="2"/>
      <c r="Y7" s="2"/>
      <c r="Z7" s="2"/>
    </row>
    <row r="8" spans="1:26" ht="142.5" x14ac:dyDescent="0.2">
      <c r="A8" s="3" t="s">
        <v>36</v>
      </c>
      <c r="B8" s="3" t="s">
        <v>37</v>
      </c>
      <c r="C8" s="4" t="s">
        <v>38</v>
      </c>
      <c r="D8" s="2"/>
      <c r="E8" s="2"/>
      <c r="F8" s="2"/>
      <c r="G8" s="2"/>
      <c r="H8" s="2"/>
      <c r="I8" s="2"/>
      <c r="J8" s="2"/>
      <c r="K8" s="2"/>
      <c r="L8" s="3">
        <v>1</v>
      </c>
      <c r="M8" s="2"/>
      <c r="N8" s="3">
        <v>1</v>
      </c>
      <c r="O8" s="3">
        <v>1</v>
      </c>
      <c r="P8" s="3">
        <v>1</v>
      </c>
      <c r="Q8" s="2"/>
      <c r="R8" s="3">
        <v>1</v>
      </c>
      <c r="S8" s="2"/>
      <c r="T8" s="2"/>
      <c r="U8" s="2"/>
      <c r="V8" s="2"/>
      <c r="W8" s="2"/>
      <c r="X8" s="2"/>
      <c r="Y8" s="2"/>
      <c r="Z8" s="2"/>
    </row>
    <row r="9" spans="1:26" ht="142.5" x14ac:dyDescent="0.2">
      <c r="A9" s="3" t="s">
        <v>39</v>
      </c>
      <c r="B9" s="3" t="s">
        <v>40</v>
      </c>
      <c r="C9" s="4" t="s">
        <v>41</v>
      </c>
      <c r="D9" s="2"/>
      <c r="E9" s="2"/>
      <c r="F9" s="2"/>
      <c r="G9" s="2"/>
      <c r="H9" s="2"/>
      <c r="I9" s="2"/>
      <c r="J9" s="3">
        <v>1</v>
      </c>
      <c r="K9" s="2"/>
      <c r="L9" s="3">
        <v>1</v>
      </c>
      <c r="M9" s="2"/>
      <c r="N9" s="3">
        <v>1</v>
      </c>
      <c r="O9" s="2"/>
      <c r="P9" s="3">
        <v>1</v>
      </c>
      <c r="Q9" s="2"/>
      <c r="R9" s="2"/>
      <c r="S9" s="2"/>
      <c r="T9" s="2"/>
      <c r="U9" s="2"/>
      <c r="V9" s="2"/>
      <c r="W9" s="2"/>
      <c r="X9" s="2"/>
      <c r="Y9" s="2"/>
      <c r="Z9" s="2"/>
    </row>
    <row r="10" spans="1:26" ht="142.5" x14ac:dyDescent="0.2">
      <c r="A10" s="3" t="s">
        <v>42</v>
      </c>
      <c r="B10" s="3" t="s">
        <v>43</v>
      </c>
      <c r="C10" s="4" t="s">
        <v>44</v>
      </c>
      <c r="D10" s="2"/>
      <c r="E10" s="2"/>
      <c r="F10" s="2"/>
      <c r="G10" s="2"/>
      <c r="H10" s="2"/>
      <c r="I10" s="5">
        <v>1</v>
      </c>
      <c r="J10" s="2"/>
      <c r="K10" s="2"/>
      <c r="L10" s="3">
        <v>1</v>
      </c>
      <c r="M10" s="2"/>
      <c r="N10" s="3">
        <v>1</v>
      </c>
      <c r="O10" s="2"/>
      <c r="P10" s="2"/>
      <c r="Q10" s="3">
        <v>1</v>
      </c>
      <c r="R10" s="2"/>
      <c r="S10" s="2"/>
      <c r="T10" s="2"/>
      <c r="U10" s="2"/>
      <c r="V10" s="2"/>
      <c r="W10" s="2"/>
      <c r="X10" s="2"/>
      <c r="Y10" s="2"/>
      <c r="Z10" s="2"/>
    </row>
    <row r="11" spans="1:26" ht="142.5" x14ac:dyDescent="0.2">
      <c r="A11" s="3" t="s">
        <v>45</v>
      </c>
      <c r="B11" s="3" t="s">
        <v>46</v>
      </c>
      <c r="C11" s="4" t="s">
        <v>47</v>
      </c>
      <c r="D11" s="2"/>
      <c r="E11" s="2"/>
      <c r="F11" s="2"/>
      <c r="G11" s="2"/>
      <c r="H11" s="2"/>
      <c r="I11" s="2"/>
      <c r="J11" s="2"/>
      <c r="K11" s="2"/>
      <c r="L11" s="3">
        <v>1</v>
      </c>
      <c r="M11" s="2"/>
      <c r="N11" s="3">
        <v>1</v>
      </c>
      <c r="O11" s="2"/>
      <c r="P11" s="3">
        <v>1</v>
      </c>
      <c r="Q11" s="2"/>
      <c r="R11" s="2"/>
      <c r="S11" s="2"/>
      <c r="T11" s="2"/>
      <c r="U11" s="2"/>
      <c r="V11" s="2"/>
      <c r="W11" s="2"/>
      <c r="X11" s="2"/>
      <c r="Y11" s="2"/>
      <c r="Z11" s="2"/>
    </row>
    <row r="12" spans="1:26" ht="142.5" x14ac:dyDescent="0.2">
      <c r="A12" s="3" t="s">
        <v>48</v>
      </c>
      <c r="B12" s="3" t="s">
        <v>49</v>
      </c>
      <c r="C12" s="4" t="s">
        <v>50</v>
      </c>
      <c r="D12" s="2"/>
      <c r="E12" s="2"/>
      <c r="F12" s="3">
        <v>1</v>
      </c>
      <c r="G12" s="2"/>
      <c r="H12" s="2"/>
      <c r="I12" s="3">
        <v>1</v>
      </c>
      <c r="J12" s="2"/>
      <c r="K12" s="2"/>
      <c r="L12" s="3">
        <v>1</v>
      </c>
      <c r="M12" s="2"/>
      <c r="N12" s="3">
        <v>1</v>
      </c>
      <c r="O12" s="2"/>
      <c r="P12" s="2"/>
      <c r="Q12" s="2"/>
      <c r="R12" s="3">
        <v>1</v>
      </c>
      <c r="S12" s="2"/>
      <c r="T12" s="2"/>
      <c r="U12" s="2"/>
      <c r="V12" s="2"/>
      <c r="W12" s="2"/>
      <c r="X12" s="2"/>
      <c r="Y12" s="2"/>
      <c r="Z12" s="2"/>
    </row>
    <row r="13" spans="1:26" ht="185.25" x14ac:dyDescent="0.2">
      <c r="A13" s="3" t="s">
        <v>51</v>
      </c>
      <c r="B13" s="3" t="s">
        <v>52</v>
      </c>
      <c r="C13" s="4" t="s">
        <v>53</v>
      </c>
      <c r="D13" s="2"/>
      <c r="E13" s="2"/>
      <c r="F13" s="2"/>
      <c r="G13" s="2"/>
      <c r="H13" s="2"/>
      <c r="I13" s="2"/>
      <c r="J13" s="2"/>
      <c r="K13" s="2"/>
      <c r="L13" s="3">
        <v>1</v>
      </c>
      <c r="M13" s="2"/>
      <c r="N13" s="3">
        <v>1</v>
      </c>
      <c r="O13" s="2"/>
      <c r="P13" s="2"/>
      <c r="Q13" s="3">
        <v>1</v>
      </c>
      <c r="R13" s="3">
        <v>1</v>
      </c>
      <c r="S13" s="2"/>
      <c r="T13" s="2"/>
      <c r="U13" s="2"/>
      <c r="V13" s="2"/>
      <c r="W13" s="2"/>
      <c r="X13" s="2"/>
      <c r="Y13" s="2"/>
      <c r="Z13" s="2"/>
    </row>
    <row r="14" spans="1:26" ht="142.5" x14ac:dyDescent="0.2">
      <c r="A14" s="3" t="s">
        <v>54</v>
      </c>
      <c r="B14" s="3" t="s">
        <v>55</v>
      </c>
      <c r="C14" s="4" t="s">
        <v>56</v>
      </c>
      <c r="D14" s="2"/>
      <c r="E14" s="2"/>
      <c r="F14" s="2"/>
      <c r="G14" s="2"/>
      <c r="H14" s="2"/>
      <c r="I14" s="3">
        <v>1</v>
      </c>
      <c r="J14" s="3">
        <v>1</v>
      </c>
      <c r="K14" s="2"/>
      <c r="L14" s="2"/>
      <c r="M14" s="2"/>
      <c r="N14" s="2"/>
      <c r="O14" s="2"/>
      <c r="P14" s="3">
        <v>1</v>
      </c>
      <c r="Q14" s="3">
        <v>1</v>
      </c>
      <c r="R14" s="2"/>
      <c r="S14" s="2"/>
      <c r="T14" s="2"/>
      <c r="U14" s="2"/>
      <c r="V14" s="2"/>
      <c r="W14" s="2"/>
      <c r="X14" s="2"/>
      <c r="Y14" s="2"/>
      <c r="Z14" s="2"/>
    </row>
    <row r="15" spans="1:26" ht="142.5" x14ac:dyDescent="0.2">
      <c r="A15" s="3" t="s">
        <v>57</v>
      </c>
      <c r="B15" s="3" t="s">
        <v>58</v>
      </c>
      <c r="C15" s="4" t="s">
        <v>59</v>
      </c>
      <c r="D15" s="2"/>
      <c r="E15" s="2"/>
      <c r="F15" s="2"/>
      <c r="G15" s="2"/>
      <c r="H15" s="2"/>
      <c r="I15" s="2"/>
      <c r="J15" s="2"/>
      <c r="K15" s="2"/>
      <c r="L15" s="3">
        <v>1</v>
      </c>
      <c r="M15" s="2"/>
      <c r="N15" s="2"/>
      <c r="O15" s="2"/>
      <c r="P15" s="3">
        <v>1</v>
      </c>
      <c r="Q15" s="2"/>
      <c r="R15" s="2"/>
      <c r="S15" s="2"/>
      <c r="T15" s="2"/>
      <c r="U15" s="2"/>
      <c r="V15" s="2"/>
      <c r="W15" s="2"/>
      <c r="X15" s="2"/>
      <c r="Y15" s="2"/>
      <c r="Z15" s="2"/>
    </row>
    <row r="16" spans="1:26" ht="142.5" x14ac:dyDescent="0.2">
      <c r="A16" s="3" t="s">
        <v>60</v>
      </c>
      <c r="B16" s="3" t="s">
        <v>61</v>
      </c>
      <c r="C16" s="4" t="s">
        <v>62</v>
      </c>
      <c r="D16" s="2"/>
      <c r="E16" s="2"/>
      <c r="F16" s="2"/>
      <c r="G16" s="2"/>
      <c r="H16" s="2"/>
      <c r="I16" s="2"/>
      <c r="J16" s="2"/>
      <c r="K16" s="2"/>
      <c r="L16" s="3">
        <v>1</v>
      </c>
      <c r="M16" s="2"/>
      <c r="N16" s="2"/>
      <c r="O16" s="2"/>
      <c r="P16" s="2"/>
      <c r="Q16" s="2"/>
      <c r="R16" s="3">
        <v>1</v>
      </c>
      <c r="S16" s="2"/>
      <c r="T16" s="2"/>
      <c r="U16" s="2"/>
      <c r="V16" s="2"/>
      <c r="W16" s="2"/>
      <c r="X16" s="2"/>
      <c r="Y16" s="2"/>
      <c r="Z16" s="2"/>
    </row>
    <row r="17" spans="1:26" ht="142.5" x14ac:dyDescent="0.2">
      <c r="A17" s="3" t="s">
        <v>63</v>
      </c>
      <c r="B17" s="3" t="s">
        <v>64</v>
      </c>
      <c r="C17" s="4" t="s">
        <v>65</v>
      </c>
      <c r="D17" s="2"/>
      <c r="E17" s="2"/>
      <c r="F17" s="2"/>
      <c r="G17" s="2"/>
      <c r="H17" s="2"/>
      <c r="I17" s="3">
        <v>1</v>
      </c>
      <c r="J17" s="2"/>
      <c r="K17" s="2"/>
      <c r="L17" s="2"/>
      <c r="M17" s="2"/>
      <c r="N17" s="2"/>
      <c r="O17" s="2"/>
      <c r="P17" s="2"/>
      <c r="Q17" s="3">
        <v>1</v>
      </c>
      <c r="R17" s="3"/>
      <c r="S17" s="2"/>
      <c r="T17" s="2"/>
      <c r="U17" s="2"/>
      <c r="V17" s="2"/>
      <c r="W17" s="2"/>
      <c r="X17" s="2"/>
      <c r="Y17" s="2"/>
      <c r="Z17" s="2"/>
    </row>
    <row r="18" spans="1:26" ht="142.5" x14ac:dyDescent="0.2">
      <c r="A18" s="3" t="s">
        <v>66</v>
      </c>
      <c r="B18" s="3" t="s">
        <v>67</v>
      </c>
      <c r="C18" s="4" t="s">
        <v>68</v>
      </c>
      <c r="D18" s="2"/>
      <c r="E18" s="2"/>
      <c r="F18" s="3">
        <v>1</v>
      </c>
      <c r="G18" s="2"/>
      <c r="H18" s="2"/>
      <c r="I18" s="5">
        <v>1</v>
      </c>
      <c r="J18" s="2"/>
      <c r="K18" s="2"/>
      <c r="L18" s="2"/>
      <c r="M18" s="2"/>
      <c r="N18" s="2"/>
      <c r="O18" s="2"/>
      <c r="P18" s="3">
        <v>1</v>
      </c>
      <c r="Q18" s="2"/>
      <c r="R18" s="3">
        <v>1</v>
      </c>
      <c r="S18" s="2"/>
      <c r="T18" s="2"/>
      <c r="U18" s="2"/>
      <c r="V18" s="2"/>
      <c r="W18" s="2"/>
      <c r="X18" s="2"/>
      <c r="Y18" s="2"/>
      <c r="Z18" s="2"/>
    </row>
    <row r="19" spans="1:26" ht="199.5" x14ac:dyDescent="0.2">
      <c r="A19" s="3" t="s">
        <v>69</v>
      </c>
      <c r="B19" s="3" t="s">
        <v>70</v>
      </c>
      <c r="C19" s="4" t="s">
        <v>71</v>
      </c>
      <c r="D19" s="2"/>
      <c r="E19" s="2"/>
      <c r="F19" s="2"/>
      <c r="G19" s="2"/>
      <c r="H19" s="2"/>
      <c r="I19" s="2"/>
      <c r="J19" s="2"/>
      <c r="K19" s="2"/>
      <c r="L19" s="3">
        <v>1</v>
      </c>
      <c r="M19" s="2"/>
      <c r="N19" s="2"/>
      <c r="O19" s="2"/>
      <c r="P19" s="2"/>
      <c r="Q19" s="2"/>
      <c r="R19" s="2"/>
      <c r="S19" s="2"/>
      <c r="T19" s="2"/>
      <c r="U19" s="2"/>
      <c r="V19" s="2"/>
      <c r="W19" s="2"/>
      <c r="X19" s="2"/>
      <c r="Y19" s="2"/>
      <c r="Z19" s="2"/>
    </row>
    <row r="20" spans="1:26" ht="142.5" x14ac:dyDescent="0.2">
      <c r="A20" s="3" t="s">
        <v>72</v>
      </c>
      <c r="B20" s="3" t="s">
        <v>73</v>
      </c>
      <c r="C20" s="4" t="s">
        <v>74</v>
      </c>
      <c r="D20" s="2"/>
      <c r="E20" s="2"/>
      <c r="F20" s="2"/>
      <c r="G20" s="2"/>
      <c r="H20" s="2"/>
      <c r="I20" s="5">
        <v>1</v>
      </c>
      <c r="J20" s="2"/>
      <c r="K20" s="2"/>
      <c r="L20" s="2"/>
      <c r="M20" s="2"/>
      <c r="N20" s="2"/>
      <c r="O20" s="2"/>
      <c r="P20" s="2"/>
      <c r="Q20" s="2"/>
      <c r="R20" s="3">
        <v>1</v>
      </c>
      <c r="S20" s="2"/>
      <c r="T20" s="2"/>
      <c r="U20" s="2"/>
      <c r="V20" s="2"/>
      <c r="W20" s="2"/>
      <c r="X20" s="2"/>
      <c r="Y20" s="2"/>
      <c r="Z20" s="2"/>
    </row>
    <row r="21" spans="1:26" ht="156.75" x14ac:dyDescent="0.2">
      <c r="A21" s="3" t="s">
        <v>75</v>
      </c>
      <c r="B21" s="3" t="s">
        <v>76</v>
      </c>
      <c r="C21" s="4" t="s">
        <v>77</v>
      </c>
      <c r="D21" s="2"/>
      <c r="E21" s="2"/>
      <c r="F21" s="2"/>
      <c r="G21" s="2"/>
      <c r="H21" s="2"/>
      <c r="I21" s="2"/>
      <c r="J21" s="2"/>
      <c r="K21" s="2"/>
      <c r="L21" s="3">
        <v>1</v>
      </c>
      <c r="M21" s="2"/>
      <c r="N21" s="2"/>
      <c r="O21" s="2"/>
      <c r="P21" s="2"/>
      <c r="Q21" s="2"/>
      <c r="R21" s="3">
        <v>1</v>
      </c>
      <c r="S21" s="2"/>
      <c r="T21" s="2"/>
      <c r="U21" s="2"/>
      <c r="V21" s="2"/>
      <c r="W21" s="2"/>
      <c r="X21" s="2"/>
      <c r="Y21" s="2"/>
      <c r="Z21" s="2"/>
    </row>
    <row r="22" spans="1:26" ht="142.5" x14ac:dyDescent="0.2">
      <c r="A22" s="3" t="s">
        <v>78</v>
      </c>
      <c r="B22" s="3" t="s">
        <v>79</v>
      </c>
      <c r="C22" s="4" t="s">
        <v>80</v>
      </c>
      <c r="D22" s="2"/>
      <c r="E22" s="2"/>
      <c r="F22" s="2"/>
      <c r="G22" s="2"/>
      <c r="H22" s="2"/>
      <c r="I22" s="5">
        <v>1</v>
      </c>
      <c r="J22" s="2"/>
      <c r="K22" s="2"/>
      <c r="L22" s="2"/>
      <c r="M22" s="2"/>
      <c r="N22" s="2"/>
      <c r="O22" s="2"/>
      <c r="P22" s="2"/>
      <c r="Q22" s="3">
        <v>1</v>
      </c>
      <c r="R22" s="3">
        <v>1</v>
      </c>
      <c r="S22" s="2"/>
      <c r="T22" s="2"/>
      <c r="U22" s="2"/>
      <c r="V22" s="2"/>
      <c r="W22" s="2"/>
      <c r="X22" s="2"/>
      <c r="Y22" s="2"/>
      <c r="Z22" s="2"/>
    </row>
    <row r="23" spans="1:26" ht="142.5" x14ac:dyDescent="0.2">
      <c r="A23" s="3" t="s">
        <v>81</v>
      </c>
      <c r="B23" s="3" t="s">
        <v>82</v>
      </c>
      <c r="C23" s="4" t="s">
        <v>83</v>
      </c>
      <c r="D23" s="2"/>
      <c r="E23" s="2"/>
      <c r="F23" s="2"/>
      <c r="G23" s="2"/>
      <c r="H23" s="2"/>
      <c r="I23" s="3">
        <v>1</v>
      </c>
      <c r="J23" s="2"/>
      <c r="K23" s="2"/>
      <c r="L23" s="2"/>
      <c r="M23" s="2"/>
      <c r="N23" s="3">
        <v>1</v>
      </c>
      <c r="O23" s="3">
        <v>1</v>
      </c>
      <c r="P23" s="3">
        <v>1</v>
      </c>
      <c r="Q23" s="2"/>
      <c r="R23" s="3">
        <v>1</v>
      </c>
      <c r="S23" s="2"/>
      <c r="T23" s="2"/>
      <c r="U23" s="2"/>
      <c r="V23" s="2"/>
      <c r="W23" s="2"/>
      <c r="X23" s="2"/>
      <c r="Y23" s="2"/>
      <c r="Z23" s="2"/>
    </row>
    <row r="24" spans="1:26" ht="142.5" x14ac:dyDescent="0.2">
      <c r="A24" s="3" t="s">
        <v>84</v>
      </c>
      <c r="B24" s="3" t="s">
        <v>85</v>
      </c>
      <c r="C24" s="4" t="s">
        <v>86</v>
      </c>
      <c r="D24" s="2"/>
      <c r="E24" s="2"/>
      <c r="F24" s="3">
        <v>1</v>
      </c>
      <c r="G24" s="2"/>
      <c r="H24" s="2"/>
      <c r="I24" s="2"/>
      <c r="J24" s="3">
        <v>1</v>
      </c>
      <c r="K24" s="2"/>
      <c r="L24" s="3">
        <v>1</v>
      </c>
      <c r="M24" s="2"/>
      <c r="N24" s="2"/>
      <c r="O24" s="2"/>
      <c r="P24" s="3">
        <v>1</v>
      </c>
      <c r="Q24" s="2"/>
      <c r="R24" s="3">
        <v>1</v>
      </c>
      <c r="S24" s="2"/>
      <c r="T24" s="2"/>
      <c r="U24" s="2"/>
      <c r="V24" s="2"/>
      <c r="W24" s="2"/>
      <c r="X24" s="2"/>
      <c r="Y24" s="2"/>
      <c r="Z24" s="2"/>
    </row>
    <row r="25" spans="1:26" ht="292.5" customHeight="1" x14ac:dyDescent="0.2">
      <c r="A25" s="3" t="s">
        <v>87</v>
      </c>
      <c r="B25" s="3" t="s">
        <v>88</v>
      </c>
      <c r="C25" s="4" t="s">
        <v>89</v>
      </c>
      <c r="D25" s="2"/>
      <c r="E25" s="2"/>
      <c r="F25" s="2"/>
      <c r="G25" s="2"/>
      <c r="H25" s="2"/>
      <c r="I25" s="2"/>
      <c r="J25" s="2"/>
      <c r="K25" s="2"/>
      <c r="L25" s="2"/>
      <c r="M25" s="2"/>
      <c r="N25" s="2"/>
      <c r="O25" s="2"/>
      <c r="P25" s="2"/>
      <c r="Q25" s="2"/>
      <c r="R25" s="3">
        <v>1</v>
      </c>
      <c r="S25" s="2"/>
      <c r="T25" s="2"/>
      <c r="U25" s="2"/>
      <c r="V25" s="2"/>
      <c r="W25" s="2"/>
      <c r="X25" s="2"/>
      <c r="Y25" s="2"/>
      <c r="Z25" s="2"/>
    </row>
    <row r="26" spans="1:26" ht="142.5" x14ac:dyDescent="0.2">
      <c r="A26" s="3" t="s">
        <v>90</v>
      </c>
      <c r="B26" s="3" t="s">
        <v>91</v>
      </c>
      <c r="C26" s="4" t="s">
        <v>92</v>
      </c>
      <c r="D26" s="2"/>
      <c r="E26" s="2"/>
      <c r="F26" s="3">
        <v>1</v>
      </c>
      <c r="G26" s="2"/>
      <c r="H26" s="2"/>
      <c r="I26" s="2"/>
      <c r="J26" s="2"/>
      <c r="K26" s="2"/>
      <c r="L26" s="2"/>
      <c r="M26" s="2"/>
      <c r="N26" s="2"/>
      <c r="O26" s="2"/>
      <c r="P26" s="2"/>
      <c r="Q26" s="2"/>
      <c r="R26" s="3">
        <v>1</v>
      </c>
      <c r="S26" s="2"/>
      <c r="T26" s="2"/>
      <c r="U26" s="2"/>
      <c r="V26" s="2"/>
      <c r="W26" s="2"/>
      <c r="X26" s="2"/>
      <c r="Y26" s="2"/>
      <c r="Z26" s="2"/>
    </row>
    <row r="27" spans="1:26" ht="142.5" x14ac:dyDescent="0.2">
      <c r="A27" s="3" t="s">
        <v>93</v>
      </c>
      <c r="B27" s="3" t="s">
        <v>94</v>
      </c>
      <c r="C27" s="4" t="s">
        <v>95</v>
      </c>
      <c r="D27" s="2"/>
      <c r="E27" s="2"/>
      <c r="F27" s="3">
        <v>1</v>
      </c>
      <c r="G27" s="2"/>
      <c r="H27" s="2"/>
      <c r="I27" s="3">
        <v>1</v>
      </c>
      <c r="J27" s="3">
        <v>1</v>
      </c>
      <c r="K27" s="3">
        <v>1</v>
      </c>
      <c r="L27" s="3">
        <v>1</v>
      </c>
      <c r="M27" s="2"/>
      <c r="N27" s="2"/>
      <c r="O27" s="2"/>
      <c r="P27" s="2"/>
      <c r="Q27" s="3">
        <v>1</v>
      </c>
      <c r="R27" s="2"/>
      <c r="S27" s="2"/>
      <c r="T27" s="2"/>
      <c r="U27" s="2"/>
      <c r="V27" s="2"/>
      <c r="W27" s="2"/>
      <c r="X27" s="2"/>
      <c r="Y27" s="2"/>
      <c r="Z27" s="2"/>
    </row>
    <row r="28" spans="1:26" ht="142.5" x14ac:dyDescent="0.2">
      <c r="A28" s="3" t="s">
        <v>96</v>
      </c>
      <c r="B28" s="3" t="s">
        <v>97</v>
      </c>
      <c r="C28" s="4" t="s">
        <v>98</v>
      </c>
      <c r="D28" s="2"/>
      <c r="E28" s="2"/>
      <c r="F28" s="2"/>
      <c r="G28" s="2"/>
      <c r="H28" s="2"/>
      <c r="I28" s="5">
        <v>1</v>
      </c>
      <c r="J28" s="2"/>
      <c r="K28" s="2"/>
      <c r="L28" s="2"/>
      <c r="M28" s="2"/>
      <c r="N28" s="3">
        <v>1</v>
      </c>
      <c r="O28" s="2"/>
      <c r="P28" s="3">
        <v>1</v>
      </c>
      <c r="Q28" s="3">
        <v>1</v>
      </c>
      <c r="R28" s="2"/>
      <c r="S28" s="2"/>
      <c r="T28" s="2"/>
      <c r="U28" s="2"/>
      <c r="V28" s="2"/>
      <c r="W28" s="2"/>
      <c r="X28" s="2"/>
      <c r="Y28" s="2"/>
      <c r="Z28" s="2"/>
    </row>
    <row r="29" spans="1:26" ht="142.5" x14ac:dyDescent="0.2">
      <c r="A29" s="3" t="s">
        <v>99</v>
      </c>
      <c r="B29" s="3" t="s">
        <v>100</v>
      </c>
      <c r="C29" s="4" t="s">
        <v>101</v>
      </c>
      <c r="D29" s="2"/>
      <c r="E29" s="2"/>
      <c r="F29" s="2"/>
      <c r="G29" s="2"/>
      <c r="H29" s="2"/>
      <c r="I29" s="2"/>
      <c r="J29" s="2"/>
      <c r="K29" s="2"/>
      <c r="L29" s="2"/>
      <c r="M29" s="2"/>
      <c r="N29" s="3">
        <v>1</v>
      </c>
      <c r="O29" s="2"/>
      <c r="P29" s="3">
        <v>1</v>
      </c>
      <c r="Q29" s="2"/>
      <c r="R29" s="2"/>
      <c r="S29" s="2"/>
      <c r="T29" s="2"/>
      <c r="U29" s="2"/>
      <c r="V29" s="2"/>
      <c r="W29" s="2"/>
      <c r="X29" s="2"/>
      <c r="Y29" s="2"/>
      <c r="Z29" s="2"/>
    </row>
    <row r="30" spans="1:26" ht="142.5" x14ac:dyDescent="0.2">
      <c r="A30" s="3" t="s">
        <v>102</v>
      </c>
      <c r="B30" s="3" t="s">
        <v>103</v>
      </c>
      <c r="C30" s="4" t="s">
        <v>104</v>
      </c>
      <c r="D30" s="2"/>
      <c r="E30" s="2"/>
      <c r="F30" s="2"/>
      <c r="G30" s="2"/>
      <c r="H30" s="2"/>
      <c r="I30" s="5">
        <v>1</v>
      </c>
      <c r="J30" s="2"/>
      <c r="K30" s="2"/>
      <c r="L30" s="3">
        <v>1</v>
      </c>
      <c r="M30" s="2"/>
      <c r="N30" s="2"/>
      <c r="O30" s="2"/>
      <c r="P30" s="3">
        <v>1</v>
      </c>
      <c r="Q30" s="2"/>
      <c r="R30" s="3">
        <v>1</v>
      </c>
      <c r="S30" s="2"/>
      <c r="T30" s="2"/>
      <c r="U30" s="2"/>
      <c r="V30" s="2"/>
      <c r="W30" s="2"/>
      <c r="X30" s="2"/>
      <c r="Y30" s="2"/>
      <c r="Z30" s="2"/>
    </row>
    <row r="31" spans="1:26" ht="142.5" x14ac:dyDescent="0.2">
      <c r="A31" s="3" t="s">
        <v>105</v>
      </c>
      <c r="B31" s="3" t="s">
        <v>106</v>
      </c>
      <c r="C31" s="4" t="s">
        <v>107</v>
      </c>
      <c r="D31" s="2"/>
      <c r="E31" s="2"/>
      <c r="F31" s="3">
        <v>1</v>
      </c>
      <c r="G31" s="2"/>
      <c r="H31" s="2"/>
      <c r="I31" s="5">
        <v>1</v>
      </c>
      <c r="J31" s="2"/>
      <c r="K31" s="3">
        <v>1</v>
      </c>
      <c r="L31" s="3">
        <v>1</v>
      </c>
      <c r="M31" s="2"/>
      <c r="N31" s="3">
        <v>1</v>
      </c>
      <c r="O31" s="3">
        <v>1</v>
      </c>
      <c r="P31" s="3">
        <v>1</v>
      </c>
      <c r="Q31" s="2"/>
      <c r="R31" s="3">
        <v>1</v>
      </c>
      <c r="S31" s="2"/>
      <c r="T31" s="2"/>
      <c r="U31" s="2"/>
      <c r="V31" s="2"/>
      <c r="W31" s="2"/>
      <c r="X31" s="2"/>
      <c r="Y31" s="2"/>
      <c r="Z31" s="2"/>
    </row>
    <row r="32" spans="1:26" ht="142.5" x14ac:dyDescent="0.2">
      <c r="A32" s="3" t="s">
        <v>108</v>
      </c>
      <c r="B32" s="3" t="s">
        <v>109</v>
      </c>
      <c r="C32" s="4" t="s">
        <v>110</v>
      </c>
      <c r="D32" s="2"/>
      <c r="E32" s="2"/>
      <c r="F32" s="3"/>
      <c r="G32" s="2"/>
      <c r="H32" s="2"/>
      <c r="I32" s="5">
        <v>1</v>
      </c>
      <c r="J32" s="2"/>
      <c r="K32" s="2"/>
      <c r="L32" s="2"/>
      <c r="M32" s="2"/>
      <c r="N32" s="2"/>
      <c r="O32" s="2"/>
      <c r="P32" s="2"/>
      <c r="Q32" s="2"/>
      <c r="R32" s="3">
        <v>1</v>
      </c>
      <c r="S32" s="2"/>
      <c r="T32" s="2"/>
      <c r="U32" s="2"/>
      <c r="V32" s="2"/>
      <c r="W32" s="2"/>
      <c r="X32" s="2"/>
      <c r="Y32" s="2"/>
      <c r="Z32" s="2"/>
    </row>
    <row r="33" spans="1:26" ht="142.5" x14ac:dyDescent="0.2">
      <c r="A33" s="3" t="s">
        <v>111</v>
      </c>
      <c r="B33" s="3" t="s">
        <v>112</v>
      </c>
      <c r="C33" s="4" t="s">
        <v>113</v>
      </c>
      <c r="D33" s="2"/>
      <c r="E33" s="2"/>
      <c r="F33" s="3">
        <v>1</v>
      </c>
      <c r="G33" s="2"/>
      <c r="H33" s="2"/>
      <c r="I33" s="2"/>
      <c r="J33" s="2"/>
      <c r="K33" s="2"/>
      <c r="L33" s="3">
        <v>1</v>
      </c>
      <c r="M33" s="2"/>
      <c r="N33" s="2"/>
      <c r="O33" s="2"/>
      <c r="P33" s="3">
        <v>1</v>
      </c>
      <c r="Q33" s="2"/>
      <c r="R33" s="3">
        <v>1</v>
      </c>
      <c r="S33" s="2"/>
      <c r="T33" s="2"/>
      <c r="U33" s="2"/>
      <c r="V33" s="2"/>
      <c r="W33" s="2"/>
      <c r="X33" s="2"/>
      <c r="Y33" s="2"/>
      <c r="Z33" s="2"/>
    </row>
    <row r="34" spans="1:26" ht="142.5" x14ac:dyDescent="0.2">
      <c r="A34" s="3" t="s">
        <v>114</v>
      </c>
      <c r="B34" s="3" t="s">
        <v>115</v>
      </c>
      <c r="C34" s="4" t="s">
        <v>116</v>
      </c>
      <c r="D34" s="2"/>
      <c r="E34" s="2"/>
      <c r="F34" s="3">
        <v>1</v>
      </c>
      <c r="G34" s="2"/>
      <c r="H34" s="2"/>
      <c r="I34" s="2"/>
      <c r="J34" s="2"/>
      <c r="K34" s="2"/>
      <c r="L34" s="3">
        <v>1</v>
      </c>
      <c r="M34" s="2"/>
      <c r="N34" s="2"/>
      <c r="O34" s="2"/>
      <c r="P34" s="3">
        <v>1</v>
      </c>
      <c r="Q34" s="2"/>
      <c r="R34" s="3">
        <v>1</v>
      </c>
      <c r="S34" s="2"/>
      <c r="T34" s="2"/>
      <c r="U34" s="2"/>
      <c r="V34" s="2"/>
      <c r="W34" s="2"/>
      <c r="X34" s="2"/>
      <c r="Y34" s="2"/>
      <c r="Z34" s="2"/>
    </row>
    <row r="35" spans="1:26" ht="142.5" x14ac:dyDescent="0.2">
      <c r="A35" s="3" t="s">
        <v>117</v>
      </c>
      <c r="B35" s="3" t="s">
        <v>118</v>
      </c>
      <c r="C35" s="4" t="s">
        <v>119</v>
      </c>
      <c r="D35" s="2"/>
      <c r="E35" s="2"/>
      <c r="F35" s="3">
        <v>1</v>
      </c>
      <c r="G35" s="2"/>
      <c r="H35" s="2"/>
      <c r="I35" s="5">
        <v>1</v>
      </c>
      <c r="J35" s="2"/>
      <c r="K35" s="2"/>
      <c r="L35" s="2"/>
      <c r="M35" s="2"/>
      <c r="N35" s="2"/>
      <c r="O35" s="2"/>
      <c r="P35" s="3">
        <v>1</v>
      </c>
      <c r="Q35" s="2"/>
      <c r="R35" s="3">
        <v>1</v>
      </c>
      <c r="S35" s="2"/>
      <c r="T35" s="2"/>
      <c r="U35" s="2"/>
      <c r="V35" s="2"/>
      <c r="W35" s="2"/>
      <c r="X35" s="2"/>
      <c r="Y35" s="2"/>
      <c r="Z35" s="2"/>
    </row>
    <row r="36" spans="1:26" ht="142.5" x14ac:dyDescent="0.2">
      <c r="A36" s="3" t="s">
        <v>120</v>
      </c>
      <c r="B36" s="3" t="s">
        <v>121</v>
      </c>
      <c r="C36" s="4" t="s">
        <v>122</v>
      </c>
      <c r="D36" s="2"/>
      <c r="E36" s="2"/>
      <c r="F36" s="2"/>
      <c r="G36" s="2"/>
      <c r="H36" s="2"/>
      <c r="I36" s="2"/>
      <c r="J36" s="3">
        <v>1</v>
      </c>
      <c r="K36" s="2"/>
      <c r="L36" s="2"/>
      <c r="M36" s="2"/>
      <c r="N36" s="2"/>
      <c r="O36" s="3">
        <v>1</v>
      </c>
      <c r="P36" s="3">
        <v>1</v>
      </c>
      <c r="Q36" s="2"/>
      <c r="R36" s="2"/>
      <c r="S36" s="2"/>
      <c r="T36" s="2"/>
      <c r="U36" s="2"/>
      <c r="V36" s="2"/>
      <c r="W36" s="2"/>
      <c r="X36" s="2"/>
      <c r="Y36" s="2"/>
      <c r="Z36" s="2"/>
    </row>
    <row r="37" spans="1:26" ht="142.5" x14ac:dyDescent="0.2">
      <c r="A37" s="3" t="s">
        <v>123</v>
      </c>
      <c r="B37" s="3" t="s">
        <v>124</v>
      </c>
      <c r="C37" s="4" t="s">
        <v>125</v>
      </c>
      <c r="D37" s="2"/>
      <c r="E37" s="2"/>
      <c r="F37" s="2"/>
      <c r="G37" s="2"/>
      <c r="H37" s="2"/>
      <c r="I37" s="2"/>
      <c r="J37" s="2"/>
      <c r="K37" s="2"/>
      <c r="L37" s="3">
        <v>1</v>
      </c>
      <c r="M37" s="2"/>
      <c r="N37" s="3">
        <v>1</v>
      </c>
      <c r="O37" s="2"/>
      <c r="P37" s="2"/>
      <c r="Q37" s="2"/>
      <c r="R37" s="3">
        <v>1</v>
      </c>
      <c r="S37" s="2"/>
      <c r="T37" s="2"/>
      <c r="U37" s="2"/>
      <c r="V37" s="2"/>
      <c r="W37" s="2"/>
      <c r="X37" s="2"/>
      <c r="Y37" s="2"/>
      <c r="Z37" s="2"/>
    </row>
    <row r="38" spans="1:26" ht="142.5" x14ac:dyDescent="0.2">
      <c r="A38" s="3" t="s">
        <v>126</v>
      </c>
      <c r="B38" s="3" t="s">
        <v>127</v>
      </c>
      <c r="C38" s="4" t="s">
        <v>128</v>
      </c>
      <c r="D38" s="2"/>
      <c r="E38" s="2"/>
      <c r="F38" s="2"/>
      <c r="G38" s="2"/>
      <c r="H38" s="2"/>
      <c r="I38" s="2"/>
      <c r="J38" s="2"/>
      <c r="K38" s="2"/>
      <c r="L38" s="2"/>
      <c r="M38" s="2"/>
      <c r="N38" s="2"/>
      <c r="O38" s="2"/>
      <c r="P38" s="2"/>
      <c r="Q38" s="2"/>
      <c r="R38" s="3">
        <v>1</v>
      </c>
      <c r="S38" s="2"/>
      <c r="T38" s="2"/>
      <c r="U38" s="2"/>
      <c r="V38" s="2"/>
      <c r="W38" s="2"/>
      <c r="X38" s="2"/>
      <c r="Y38" s="2"/>
      <c r="Z38" s="2"/>
    </row>
    <row r="39" spans="1:26" ht="102" x14ac:dyDescent="0.2">
      <c r="A39" s="3" t="s">
        <v>129</v>
      </c>
      <c r="B39" s="3" t="s">
        <v>130</v>
      </c>
      <c r="C39" s="6" t="s">
        <v>131</v>
      </c>
      <c r="D39" s="2"/>
      <c r="E39" s="2"/>
      <c r="F39" s="3">
        <v>1</v>
      </c>
      <c r="G39" s="2"/>
      <c r="H39" s="2"/>
      <c r="I39" s="2"/>
      <c r="J39" s="2"/>
      <c r="K39" s="2"/>
      <c r="L39" s="2"/>
      <c r="M39" s="2"/>
      <c r="N39" s="2"/>
      <c r="O39" s="3">
        <v>1</v>
      </c>
      <c r="P39" s="3">
        <v>1</v>
      </c>
      <c r="Q39" s="2"/>
      <c r="R39" s="3">
        <v>1</v>
      </c>
      <c r="S39" s="2"/>
      <c r="T39" s="2"/>
      <c r="U39" s="2"/>
      <c r="V39" s="2"/>
      <c r="W39" s="2"/>
      <c r="X39" s="2"/>
      <c r="Y39" s="2"/>
      <c r="Z39" s="2"/>
    </row>
    <row r="40" spans="1:26" ht="142.5" x14ac:dyDescent="0.2">
      <c r="A40" s="3" t="s">
        <v>132</v>
      </c>
      <c r="B40" s="3" t="s">
        <v>133</v>
      </c>
      <c r="C40" s="4" t="s">
        <v>134</v>
      </c>
      <c r="D40" s="2"/>
      <c r="E40" s="2"/>
      <c r="F40" s="2"/>
      <c r="G40" s="2"/>
      <c r="H40" s="2"/>
      <c r="I40" s="2"/>
      <c r="J40" s="2"/>
      <c r="K40" s="2"/>
      <c r="L40" s="2"/>
      <c r="M40" s="2"/>
      <c r="N40" s="2"/>
      <c r="O40" s="2"/>
      <c r="P40" s="3">
        <v>1</v>
      </c>
      <c r="Q40" s="2"/>
      <c r="R40" s="3">
        <v>1</v>
      </c>
      <c r="S40" s="2"/>
      <c r="T40" s="2"/>
      <c r="U40" s="2"/>
      <c r="V40" s="2"/>
      <c r="W40" s="2"/>
      <c r="X40" s="2"/>
      <c r="Y40" s="2"/>
      <c r="Z40" s="2"/>
    </row>
    <row r="41" spans="1:26" ht="228" x14ac:dyDescent="0.2">
      <c r="A41" s="3" t="s">
        <v>135</v>
      </c>
      <c r="B41" s="3" t="s">
        <v>136</v>
      </c>
      <c r="C41" s="4" t="s">
        <v>137</v>
      </c>
      <c r="D41" s="2"/>
      <c r="E41" s="2"/>
      <c r="F41" s="2"/>
      <c r="G41" s="2"/>
      <c r="H41" s="2"/>
      <c r="I41" s="2"/>
      <c r="J41" s="2"/>
      <c r="K41" s="2"/>
      <c r="L41" s="2"/>
      <c r="M41" s="2"/>
      <c r="N41" s="2"/>
      <c r="O41" s="2"/>
      <c r="P41" s="2"/>
      <c r="Q41" s="2"/>
      <c r="R41" s="3">
        <v>1</v>
      </c>
      <c r="S41" s="2"/>
      <c r="T41" s="2"/>
      <c r="U41" s="2"/>
      <c r="V41" s="2"/>
      <c r="W41" s="2"/>
      <c r="X41" s="2"/>
      <c r="Y41" s="2"/>
      <c r="Z41" s="2"/>
    </row>
    <row r="42" spans="1:26" ht="142.5" x14ac:dyDescent="0.2">
      <c r="A42" s="3" t="s">
        <v>138</v>
      </c>
      <c r="B42" s="3" t="s">
        <v>139</v>
      </c>
      <c r="C42" s="4" t="s">
        <v>140</v>
      </c>
      <c r="D42" s="2"/>
      <c r="E42" s="2"/>
      <c r="F42" s="3">
        <v>1</v>
      </c>
      <c r="G42" s="2"/>
      <c r="H42" s="2"/>
      <c r="I42" s="5">
        <v>1</v>
      </c>
      <c r="J42" s="2"/>
      <c r="K42" s="2"/>
      <c r="L42" s="2"/>
      <c r="M42" s="2"/>
      <c r="N42" s="2"/>
      <c r="O42" s="2"/>
      <c r="P42" s="3">
        <v>1</v>
      </c>
      <c r="Q42" s="2"/>
      <c r="R42" s="3">
        <v>1</v>
      </c>
      <c r="S42" s="2"/>
      <c r="T42" s="2"/>
      <c r="U42" s="2"/>
      <c r="V42" s="2"/>
      <c r="W42" s="2"/>
      <c r="X42" s="2"/>
      <c r="Y42" s="2"/>
      <c r="Z42" s="2"/>
    </row>
    <row r="43" spans="1:26" ht="142.5" x14ac:dyDescent="0.2">
      <c r="A43" s="3" t="s">
        <v>141</v>
      </c>
      <c r="B43" s="3" t="s">
        <v>142</v>
      </c>
      <c r="C43" s="4" t="s">
        <v>143</v>
      </c>
      <c r="D43" s="2"/>
      <c r="E43" s="2"/>
      <c r="F43" s="2"/>
      <c r="G43" s="2"/>
      <c r="H43" s="2"/>
      <c r="I43" s="2"/>
      <c r="J43" s="2"/>
      <c r="K43" s="2"/>
      <c r="L43" s="2"/>
      <c r="M43" s="2"/>
      <c r="N43" s="2"/>
      <c r="O43" s="2"/>
      <c r="P43" s="3">
        <v>1</v>
      </c>
      <c r="Q43" s="2"/>
      <c r="R43" s="3">
        <v>1</v>
      </c>
      <c r="S43" s="2"/>
      <c r="T43" s="2"/>
      <c r="U43" s="2"/>
      <c r="V43" s="2"/>
      <c r="W43" s="2"/>
      <c r="X43" s="2"/>
      <c r="Y43" s="2"/>
      <c r="Z43" s="2"/>
    </row>
    <row r="44" spans="1:26" ht="142.5" x14ac:dyDescent="0.2">
      <c r="A44" s="3" t="s">
        <v>144</v>
      </c>
      <c r="B44" s="3" t="s">
        <v>145</v>
      </c>
      <c r="C44" s="4" t="s">
        <v>146</v>
      </c>
      <c r="D44" s="2"/>
      <c r="E44" s="2"/>
      <c r="F44" s="3">
        <v>1</v>
      </c>
      <c r="G44" s="2"/>
      <c r="H44" s="2"/>
      <c r="I44" s="2"/>
      <c r="J44" s="2"/>
      <c r="K44" s="2"/>
      <c r="L44" s="3">
        <v>1</v>
      </c>
      <c r="M44" s="2"/>
      <c r="N44" s="2"/>
      <c r="O44" s="2"/>
      <c r="P44" s="2"/>
      <c r="Q44" s="2"/>
      <c r="R44" s="3">
        <v>1</v>
      </c>
      <c r="S44" s="2"/>
      <c r="T44" s="2"/>
      <c r="U44" s="2"/>
      <c r="V44" s="2"/>
      <c r="W44" s="2"/>
      <c r="X44" s="2"/>
      <c r="Y44" s="2"/>
      <c r="Z44" s="2"/>
    </row>
    <row r="45" spans="1:26" ht="142.5" x14ac:dyDescent="0.2">
      <c r="A45" s="3" t="s">
        <v>147</v>
      </c>
      <c r="B45" s="3" t="s">
        <v>148</v>
      </c>
      <c r="C45" s="4" t="s">
        <v>149</v>
      </c>
      <c r="D45" s="2"/>
      <c r="E45" s="2"/>
      <c r="F45" s="3">
        <v>1</v>
      </c>
      <c r="G45" s="2"/>
      <c r="H45" s="2"/>
      <c r="I45" s="5">
        <v>1</v>
      </c>
      <c r="J45" s="2"/>
      <c r="K45" s="2"/>
      <c r="L45" s="2"/>
      <c r="M45" s="2"/>
      <c r="N45" s="3">
        <v>1</v>
      </c>
      <c r="O45" s="3">
        <v>1</v>
      </c>
      <c r="P45" s="3">
        <v>1</v>
      </c>
      <c r="Q45" s="3">
        <v>1</v>
      </c>
      <c r="R45" s="3">
        <v>1</v>
      </c>
      <c r="S45" s="2"/>
      <c r="T45" s="2"/>
      <c r="U45" s="2"/>
      <c r="V45" s="2"/>
      <c r="W45" s="2"/>
      <c r="X45" s="2"/>
      <c r="Y45" s="2"/>
      <c r="Z45" s="2"/>
    </row>
    <row r="46" spans="1:26" ht="256.5" x14ac:dyDescent="0.2">
      <c r="A46" s="3" t="s">
        <v>150</v>
      </c>
      <c r="B46" s="3" t="s">
        <v>151</v>
      </c>
      <c r="C46" s="4" t="s">
        <v>152</v>
      </c>
      <c r="D46" s="2"/>
      <c r="E46" s="2"/>
      <c r="F46" s="3">
        <v>1</v>
      </c>
      <c r="G46" s="2"/>
      <c r="H46" s="2"/>
      <c r="I46" s="5">
        <v>1</v>
      </c>
      <c r="J46" s="2"/>
      <c r="K46" s="2"/>
      <c r="L46" s="2"/>
      <c r="M46" s="2"/>
      <c r="N46" s="3">
        <v>1</v>
      </c>
      <c r="O46" s="3">
        <v>1</v>
      </c>
      <c r="P46" s="3">
        <v>1</v>
      </c>
      <c r="Q46" s="2"/>
      <c r="R46" s="3">
        <v>1</v>
      </c>
      <c r="S46" s="2"/>
      <c r="T46" s="2"/>
      <c r="U46" s="2"/>
      <c r="V46" s="2"/>
      <c r="W46" s="2"/>
      <c r="X46" s="2"/>
      <c r="Y46" s="2"/>
      <c r="Z46" s="2"/>
    </row>
    <row r="47" spans="1:26" ht="142.5" x14ac:dyDescent="0.2">
      <c r="A47" s="3" t="s">
        <v>153</v>
      </c>
      <c r="B47" s="3" t="s">
        <v>154</v>
      </c>
      <c r="C47" s="4" t="s">
        <v>155</v>
      </c>
      <c r="D47" s="2"/>
      <c r="E47" s="2"/>
      <c r="F47" s="2"/>
      <c r="G47" s="2"/>
      <c r="H47" s="2"/>
      <c r="I47" s="2"/>
      <c r="J47" s="2"/>
      <c r="K47" s="2"/>
      <c r="L47" s="2"/>
      <c r="M47" s="2"/>
      <c r="N47" s="2"/>
      <c r="O47" s="2"/>
      <c r="P47" s="3">
        <v>1</v>
      </c>
      <c r="Q47" s="3">
        <v>1</v>
      </c>
      <c r="R47" s="3">
        <v>1</v>
      </c>
      <c r="S47" s="2"/>
      <c r="T47" s="2"/>
      <c r="U47" s="2"/>
      <c r="V47" s="2"/>
      <c r="W47" s="2"/>
      <c r="X47" s="2"/>
      <c r="Y47" s="2"/>
      <c r="Z47" s="2"/>
    </row>
    <row r="48" spans="1:26" ht="185.25" x14ac:dyDescent="0.2">
      <c r="A48" s="3" t="s">
        <v>156</v>
      </c>
      <c r="B48" s="3" t="s">
        <v>157</v>
      </c>
      <c r="C48" s="4" t="s">
        <v>158</v>
      </c>
      <c r="D48" s="2"/>
      <c r="E48" s="2"/>
      <c r="F48" s="3">
        <v>1</v>
      </c>
      <c r="G48" s="2"/>
      <c r="H48" s="2"/>
      <c r="I48" s="2"/>
      <c r="J48" s="2"/>
      <c r="K48" s="2"/>
      <c r="L48" s="2"/>
      <c r="M48" s="2"/>
      <c r="N48" s="2"/>
      <c r="O48" s="2"/>
      <c r="P48" s="3">
        <v>1</v>
      </c>
      <c r="Q48" s="2"/>
      <c r="R48" s="3">
        <v>1</v>
      </c>
      <c r="S48" s="2"/>
      <c r="T48" s="2"/>
      <c r="U48" s="2"/>
      <c r="V48" s="2"/>
      <c r="W48" s="2"/>
      <c r="X48" s="2"/>
      <c r="Y48" s="2"/>
      <c r="Z48" s="2"/>
    </row>
    <row r="49" spans="1:26" ht="142.5" x14ac:dyDescent="0.2">
      <c r="A49" s="3" t="s">
        <v>159</v>
      </c>
      <c r="B49" s="3" t="s">
        <v>160</v>
      </c>
      <c r="C49" s="4" t="s">
        <v>161</v>
      </c>
      <c r="D49" s="2"/>
      <c r="E49" s="2"/>
      <c r="F49" s="2"/>
      <c r="G49" s="2"/>
      <c r="H49" s="2"/>
      <c r="I49" s="2"/>
      <c r="J49" s="2"/>
      <c r="K49" s="2"/>
      <c r="L49" s="3">
        <v>1</v>
      </c>
      <c r="M49" s="2"/>
      <c r="N49" s="2"/>
      <c r="O49" s="2"/>
      <c r="P49" s="2"/>
      <c r="Q49" s="2"/>
      <c r="R49" s="3">
        <v>1</v>
      </c>
      <c r="S49" s="2"/>
      <c r="T49" s="2"/>
      <c r="U49" s="2"/>
      <c r="V49" s="2"/>
      <c r="W49" s="2"/>
      <c r="X49" s="2"/>
      <c r="Y49" s="2"/>
      <c r="Z49" s="2"/>
    </row>
    <row r="50" spans="1:26" ht="185.25" x14ac:dyDescent="0.2">
      <c r="A50" s="3" t="s">
        <v>162</v>
      </c>
      <c r="B50" s="3" t="s">
        <v>163</v>
      </c>
      <c r="C50" s="4" t="s">
        <v>164</v>
      </c>
      <c r="D50" s="2"/>
      <c r="E50" s="2"/>
      <c r="F50" s="2"/>
      <c r="G50" s="2"/>
      <c r="H50" s="2"/>
      <c r="I50" s="2"/>
      <c r="J50" s="2"/>
      <c r="K50" s="2"/>
      <c r="L50" s="3">
        <v>1</v>
      </c>
      <c r="M50" s="2"/>
      <c r="N50" s="2"/>
      <c r="O50" s="2"/>
      <c r="P50" s="2"/>
      <c r="Q50" s="2"/>
      <c r="R50" s="3">
        <v>1</v>
      </c>
      <c r="S50" s="2"/>
      <c r="T50" s="2"/>
      <c r="U50" s="2"/>
      <c r="V50" s="2"/>
      <c r="W50" s="2"/>
      <c r="X50" s="2"/>
      <c r="Y50" s="2"/>
      <c r="Z50" s="2"/>
    </row>
    <row r="51" spans="1:26" ht="102" x14ac:dyDescent="0.2">
      <c r="A51" s="3" t="s">
        <v>165</v>
      </c>
      <c r="B51" s="3" t="s">
        <v>166</v>
      </c>
      <c r="C51" s="6" t="s">
        <v>167</v>
      </c>
      <c r="D51" s="2"/>
      <c r="E51" s="2"/>
      <c r="F51" s="2"/>
      <c r="G51" s="2"/>
      <c r="H51" s="2"/>
      <c r="I51" s="2"/>
      <c r="J51" s="2"/>
      <c r="K51" s="2"/>
      <c r="L51" s="3">
        <v>1</v>
      </c>
      <c r="M51" s="2"/>
      <c r="N51" s="2"/>
      <c r="O51" s="2"/>
      <c r="P51" s="2"/>
      <c r="Q51" s="2"/>
      <c r="R51" s="3">
        <v>1</v>
      </c>
      <c r="S51" s="2"/>
      <c r="T51" s="2"/>
      <c r="U51" s="2"/>
      <c r="V51" s="2"/>
      <c r="W51" s="2"/>
      <c r="X51" s="2"/>
      <c r="Y51" s="2"/>
      <c r="Z51" s="2"/>
    </row>
    <row r="52" spans="1:26" ht="242.25" x14ac:dyDescent="0.2">
      <c r="A52" s="3" t="s">
        <v>168</v>
      </c>
      <c r="B52" s="3" t="s">
        <v>169</v>
      </c>
      <c r="C52" s="4" t="s">
        <v>170</v>
      </c>
      <c r="D52" s="2"/>
      <c r="E52" s="2"/>
      <c r="F52" s="3">
        <v>1</v>
      </c>
      <c r="G52" s="2"/>
      <c r="H52" s="2"/>
      <c r="I52" s="2"/>
      <c r="J52" s="2"/>
      <c r="K52" s="2"/>
      <c r="L52" s="2"/>
      <c r="M52" s="2"/>
      <c r="N52" s="2"/>
      <c r="O52" s="2"/>
      <c r="P52" s="3">
        <v>1</v>
      </c>
      <c r="Q52" s="2"/>
      <c r="R52" s="3">
        <v>1</v>
      </c>
      <c r="S52" s="2"/>
      <c r="T52" s="2"/>
      <c r="U52" s="2"/>
      <c r="V52" s="2"/>
      <c r="W52" s="2"/>
      <c r="X52" s="2"/>
      <c r="Y52" s="2"/>
      <c r="Z52" s="2"/>
    </row>
    <row r="53" spans="1:26" ht="142.5" x14ac:dyDescent="0.2">
      <c r="A53" s="3" t="s">
        <v>171</v>
      </c>
      <c r="B53" s="3" t="s">
        <v>172</v>
      </c>
      <c r="C53" s="4" t="s">
        <v>173</v>
      </c>
      <c r="D53" s="2"/>
      <c r="E53" s="2"/>
      <c r="F53" s="2"/>
      <c r="G53" s="2"/>
      <c r="H53" s="2"/>
      <c r="I53" s="2"/>
      <c r="J53" s="2"/>
      <c r="K53" s="2"/>
      <c r="L53" s="2"/>
      <c r="M53" s="2"/>
      <c r="N53" s="2"/>
      <c r="O53" s="2"/>
      <c r="P53" s="2"/>
      <c r="Q53" s="2"/>
      <c r="R53" s="3">
        <v>1</v>
      </c>
      <c r="S53" s="2"/>
      <c r="T53" s="2"/>
      <c r="U53" s="2"/>
      <c r="V53" s="2"/>
      <c r="W53" s="2"/>
      <c r="X53" s="2"/>
      <c r="Y53" s="2"/>
      <c r="Z53" s="2"/>
    </row>
    <row r="54" spans="1:26" ht="142.5" x14ac:dyDescent="0.2">
      <c r="A54" s="3" t="s">
        <v>174</v>
      </c>
      <c r="B54" s="3" t="s">
        <v>175</v>
      </c>
      <c r="C54" s="4" t="s">
        <v>176</v>
      </c>
      <c r="D54" s="3">
        <v>1</v>
      </c>
      <c r="E54" s="3">
        <v>1</v>
      </c>
      <c r="F54" s="3">
        <v>1</v>
      </c>
      <c r="G54" s="3">
        <v>1</v>
      </c>
      <c r="H54" s="3">
        <v>1</v>
      </c>
      <c r="I54" s="2"/>
      <c r="J54" s="2"/>
      <c r="K54" s="3">
        <v>1</v>
      </c>
      <c r="L54" s="2"/>
      <c r="M54" s="3">
        <v>1</v>
      </c>
      <c r="N54" s="3"/>
      <c r="O54" s="2"/>
      <c r="P54" s="2"/>
      <c r="Q54" s="2"/>
      <c r="R54" s="3">
        <v>1</v>
      </c>
      <c r="S54" s="2"/>
      <c r="T54" s="2"/>
      <c r="U54" s="2"/>
      <c r="V54" s="2"/>
      <c r="W54" s="2"/>
      <c r="X54" s="2"/>
      <c r="Y54" s="2"/>
      <c r="Z54" s="2"/>
    </row>
    <row r="55" spans="1:26" ht="142.5" x14ac:dyDescent="0.2">
      <c r="A55" s="3" t="s">
        <v>177</v>
      </c>
      <c r="B55" s="3" t="s">
        <v>178</v>
      </c>
      <c r="C55" s="4" t="s">
        <v>179</v>
      </c>
      <c r="D55" s="2"/>
      <c r="E55" s="2"/>
      <c r="F55" s="2"/>
      <c r="G55" s="2"/>
      <c r="H55" s="2"/>
      <c r="I55" s="2"/>
      <c r="J55" s="2"/>
      <c r="K55" s="2"/>
      <c r="L55" s="2"/>
      <c r="M55" s="2"/>
      <c r="N55" s="2"/>
      <c r="O55" s="2"/>
      <c r="P55" s="2"/>
      <c r="Q55" s="2"/>
      <c r="R55" s="3">
        <v>1</v>
      </c>
      <c r="S55" s="2"/>
      <c r="T55" s="2"/>
      <c r="U55" s="2"/>
      <c r="V55" s="2"/>
      <c r="W55" s="2"/>
      <c r="X55" s="2"/>
      <c r="Y55" s="2"/>
      <c r="Z55" s="2"/>
    </row>
    <row r="56" spans="1:26" ht="142.5" x14ac:dyDescent="0.2">
      <c r="A56" s="3" t="s">
        <v>180</v>
      </c>
      <c r="B56" s="3" t="s">
        <v>181</v>
      </c>
      <c r="C56" s="6" t="s">
        <v>182</v>
      </c>
      <c r="D56" s="3">
        <v>1</v>
      </c>
      <c r="E56" s="3">
        <v>1</v>
      </c>
      <c r="F56" s="3">
        <v>1</v>
      </c>
      <c r="G56" s="3">
        <v>1</v>
      </c>
      <c r="H56" s="3">
        <v>1</v>
      </c>
      <c r="I56" s="2"/>
      <c r="J56" s="2"/>
      <c r="K56" s="3">
        <v>1</v>
      </c>
      <c r="L56" s="2"/>
      <c r="M56" s="3">
        <v>1</v>
      </c>
      <c r="N56" s="2"/>
      <c r="O56" s="2"/>
      <c r="P56" s="2"/>
      <c r="Q56" s="2"/>
      <c r="R56" s="3">
        <v>1</v>
      </c>
      <c r="S56" s="2"/>
      <c r="T56" s="2"/>
      <c r="U56" s="2"/>
      <c r="V56" s="2"/>
      <c r="W56" s="2"/>
      <c r="X56" s="2"/>
      <c r="Y56" s="2"/>
      <c r="Z56" s="2"/>
    </row>
    <row r="57" spans="1:26" ht="142.5" x14ac:dyDescent="0.2">
      <c r="A57" s="3" t="s">
        <v>183</v>
      </c>
      <c r="B57" s="3" t="s">
        <v>184</v>
      </c>
      <c r="C57" s="4" t="s">
        <v>185</v>
      </c>
      <c r="D57" s="2"/>
      <c r="E57" s="2"/>
      <c r="F57" s="2"/>
      <c r="G57" s="2"/>
      <c r="H57" s="2"/>
      <c r="I57" s="5">
        <v>1</v>
      </c>
      <c r="J57" s="2"/>
      <c r="K57" s="2"/>
      <c r="L57" s="2"/>
      <c r="M57" s="2"/>
      <c r="N57" s="3">
        <v>1</v>
      </c>
      <c r="O57" s="3">
        <v>1</v>
      </c>
      <c r="P57" s="3">
        <v>1</v>
      </c>
      <c r="Q57" s="3">
        <v>1</v>
      </c>
      <c r="R57" s="3">
        <v>1</v>
      </c>
      <c r="S57" s="2"/>
      <c r="T57" s="2"/>
      <c r="U57" s="2"/>
      <c r="V57" s="2"/>
      <c r="W57" s="2"/>
      <c r="X57" s="2"/>
      <c r="Y57" s="2"/>
      <c r="Z57" s="2"/>
    </row>
    <row r="58" spans="1:26" ht="142.5" x14ac:dyDescent="0.2">
      <c r="A58" s="3" t="s">
        <v>186</v>
      </c>
      <c r="B58" s="3" t="s">
        <v>187</v>
      </c>
      <c r="C58" s="4" t="s">
        <v>188</v>
      </c>
      <c r="D58" s="2"/>
      <c r="E58" s="2"/>
      <c r="F58" s="2"/>
      <c r="G58" s="2"/>
      <c r="H58" s="2"/>
      <c r="I58" s="2"/>
      <c r="J58" s="2"/>
      <c r="K58" s="2"/>
      <c r="L58" s="2"/>
      <c r="M58" s="2"/>
      <c r="N58" s="3">
        <v>1</v>
      </c>
      <c r="O58" s="2"/>
      <c r="P58" s="3">
        <v>1</v>
      </c>
      <c r="Q58" s="2"/>
      <c r="R58" s="3">
        <v>1</v>
      </c>
      <c r="S58" s="2"/>
      <c r="T58" s="2"/>
      <c r="U58" s="2"/>
      <c r="V58" s="2"/>
      <c r="W58" s="2"/>
      <c r="X58" s="2"/>
      <c r="Y58" s="2"/>
      <c r="Z58" s="2"/>
    </row>
    <row r="59" spans="1:26" ht="156.75" x14ac:dyDescent="0.2">
      <c r="A59" s="3" t="s">
        <v>189</v>
      </c>
      <c r="B59" s="3" t="s">
        <v>190</v>
      </c>
      <c r="C59" s="4" t="s">
        <v>191</v>
      </c>
      <c r="D59" s="2"/>
      <c r="E59" s="2"/>
      <c r="F59" s="2"/>
      <c r="G59" s="2"/>
      <c r="H59" s="2"/>
      <c r="I59" s="2"/>
      <c r="J59" s="2"/>
      <c r="K59" s="2"/>
      <c r="L59" s="3">
        <v>1</v>
      </c>
      <c r="M59" s="3">
        <v>1</v>
      </c>
      <c r="N59" s="2"/>
      <c r="O59" s="2"/>
      <c r="P59" s="2"/>
      <c r="Q59" s="2"/>
      <c r="R59" s="2"/>
      <c r="S59" s="2"/>
      <c r="T59" s="2"/>
      <c r="U59" s="2"/>
      <c r="V59" s="2"/>
      <c r="W59" s="2"/>
      <c r="X59" s="2"/>
      <c r="Y59" s="2"/>
      <c r="Z59" s="2"/>
    </row>
    <row r="60" spans="1:26" ht="142.5" x14ac:dyDescent="0.2">
      <c r="A60" s="3" t="s">
        <v>192</v>
      </c>
      <c r="B60" s="3" t="s">
        <v>193</v>
      </c>
      <c r="C60" s="4" t="s">
        <v>194</v>
      </c>
      <c r="D60" s="2"/>
      <c r="E60" s="2"/>
      <c r="F60" s="3">
        <v>1</v>
      </c>
      <c r="G60" s="2"/>
      <c r="H60" s="2"/>
      <c r="I60" s="2"/>
      <c r="J60" s="2"/>
      <c r="K60" s="2"/>
      <c r="L60" s="3">
        <v>1</v>
      </c>
      <c r="M60" s="2"/>
      <c r="N60" s="3">
        <v>1</v>
      </c>
      <c r="O60" s="2"/>
      <c r="P60" s="3">
        <v>1</v>
      </c>
      <c r="Q60" s="2"/>
      <c r="R60" s="3">
        <v>1</v>
      </c>
      <c r="S60" s="2"/>
      <c r="T60" s="2"/>
      <c r="U60" s="2"/>
      <c r="V60" s="2"/>
      <c r="W60" s="2"/>
      <c r="X60" s="2"/>
      <c r="Y60" s="2"/>
      <c r="Z60" s="2"/>
    </row>
    <row r="61" spans="1:26" ht="142.5" x14ac:dyDescent="0.2">
      <c r="A61" s="3" t="s">
        <v>195</v>
      </c>
      <c r="B61" s="3" t="s">
        <v>196</v>
      </c>
      <c r="C61" s="4" t="s">
        <v>197</v>
      </c>
      <c r="D61" s="2"/>
      <c r="E61" s="2"/>
      <c r="F61" s="2"/>
      <c r="G61" s="2"/>
      <c r="H61" s="2"/>
      <c r="I61" s="2"/>
      <c r="J61" s="2"/>
      <c r="K61" s="2"/>
      <c r="L61" s="3">
        <v>1</v>
      </c>
      <c r="M61" s="2"/>
      <c r="N61" s="2"/>
      <c r="O61" s="2"/>
      <c r="P61" s="2"/>
      <c r="Q61" s="2"/>
      <c r="R61" s="3">
        <v>1</v>
      </c>
      <c r="S61" s="2"/>
      <c r="T61" s="2"/>
      <c r="U61" s="2"/>
      <c r="V61" s="2"/>
      <c r="W61" s="2"/>
      <c r="X61" s="2"/>
      <c r="Y61" s="2"/>
      <c r="Z61" s="2"/>
    </row>
    <row r="62" spans="1:26" ht="142.5" x14ac:dyDescent="0.2">
      <c r="A62" s="3" t="s">
        <v>198</v>
      </c>
      <c r="B62" s="3" t="s">
        <v>199</v>
      </c>
      <c r="C62" s="4" t="s">
        <v>200</v>
      </c>
      <c r="D62" s="2"/>
      <c r="E62" s="2"/>
      <c r="F62" s="2"/>
      <c r="G62" s="2"/>
      <c r="H62" s="2"/>
      <c r="I62" s="2"/>
      <c r="J62" s="2"/>
      <c r="K62" s="2"/>
      <c r="L62" s="3">
        <v>1</v>
      </c>
      <c r="M62" s="2"/>
      <c r="N62" s="2"/>
      <c r="O62" s="2"/>
      <c r="P62" s="2"/>
      <c r="Q62" s="2"/>
      <c r="R62" s="3">
        <v>1</v>
      </c>
      <c r="S62" s="2"/>
      <c r="T62" s="2"/>
      <c r="U62" s="2"/>
      <c r="V62" s="2"/>
      <c r="W62" s="2"/>
      <c r="X62" s="2"/>
      <c r="Y62" s="2"/>
      <c r="Z62" s="2"/>
    </row>
    <row r="63" spans="1:26" ht="142.5" x14ac:dyDescent="0.2">
      <c r="A63" s="3" t="s">
        <v>201</v>
      </c>
      <c r="B63" s="3" t="s">
        <v>202</v>
      </c>
      <c r="C63" s="4" t="s">
        <v>203</v>
      </c>
      <c r="D63" s="2"/>
      <c r="E63" s="2"/>
      <c r="F63" s="2"/>
      <c r="G63" s="2"/>
      <c r="H63" s="2"/>
      <c r="I63" s="2"/>
      <c r="J63" s="2"/>
      <c r="K63" s="2"/>
      <c r="L63" s="2"/>
      <c r="M63" s="2"/>
      <c r="N63" s="2"/>
      <c r="O63" s="2"/>
      <c r="P63" s="2"/>
      <c r="Q63" s="2"/>
      <c r="R63" s="3">
        <v>1</v>
      </c>
      <c r="S63" s="2"/>
      <c r="T63" s="2"/>
      <c r="U63" s="2"/>
      <c r="V63" s="2"/>
      <c r="W63" s="2"/>
      <c r="X63" s="2"/>
      <c r="Y63" s="2"/>
      <c r="Z63" s="2"/>
    </row>
    <row r="64" spans="1:26" ht="142.5" x14ac:dyDescent="0.2">
      <c r="A64" s="3" t="s">
        <v>204</v>
      </c>
      <c r="B64" s="3" t="s">
        <v>205</v>
      </c>
      <c r="C64" s="4" t="s">
        <v>206</v>
      </c>
      <c r="D64" s="2"/>
      <c r="E64" s="2"/>
      <c r="F64" s="2"/>
      <c r="G64" s="2"/>
      <c r="H64" s="2"/>
      <c r="I64" s="3">
        <v>1</v>
      </c>
      <c r="J64" s="2"/>
      <c r="K64" s="2"/>
      <c r="L64" s="2"/>
      <c r="M64" s="3">
        <v>1</v>
      </c>
      <c r="N64" s="3">
        <v>1</v>
      </c>
      <c r="O64" s="2"/>
      <c r="P64" s="3">
        <v>1</v>
      </c>
      <c r="Q64" s="2"/>
      <c r="R64" s="3">
        <v>1</v>
      </c>
      <c r="S64" s="2"/>
      <c r="T64" s="2"/>
      <c r="U64" s="2"/>
      <c r="V64" s="2"/>
      <c r="W64" s="2"/>
      <c r="X64" s="2"/>
      <c r="Y64" s="2"/>
      <c r="Z64" s="2"/>
    </row>
    <row r="65" spans="1:26" ht="142.5" x14ac:dyDescent="0.2">
      <c r="A65" s="3" t="s">
        <v>207</v>
      </c>
      <c r="B65" s="3" t="s">
        <v>208</v>
      </c>
      <c r="C65" s="4" t="s">
        <v>209</v>
      </c>
      <c r="D65" s="2"/>
      <c r="E65" s="2"/>
      <c r="F65" s="2"/>
      <c r="G65" s="2"/>
      <c r="H65" s="2"/>
      <c r="I65" s="2"/>
      <c r="J65" s="2"/>
      <c r="K65" s="2"/>
      <c r="L65" s="2"/>
      <c r="M65" s="2"/>
      <c r="N65" s="2"/>
      <c r="O65" s="2"/>
      <c r="P65" s="2"/>
      <c r="Q65" s="2"/>
      <c r="R65" s="3">
        <v>1</v>
      </c>
      <c r="S65" s="2"/>
      <c r="T65" s="2"/>
      <c r="U65" s="2"/>
      <c r="V65" s="2"/>
      <c r="W65" s="2"/>
      <c r="X65" s="2"/>
      <c r="Y65" s="2"/>
      <c r="Z65" s="2"/>
    </row>
    <row r="66" spans="1:26" ht="142.5" x14ac:dyDescent="0.2">
      <c r="A66" s="3" t="s">
        <v>210</v>
      </c>
      <c r="B66" s="3" t="s">
        <v>210</v>
      </c>
      <c r="C66" s="4" t="s">
        <v>211</v>
      </c>
      <c r="D66" s="2"/>
      <c r="E66" s="2"/>
      <c r="F66" s="2"/>
      <c r="G66" s="2"/>
      <c r="H66" s="2"/>
      <c r="I66" s="2"/>
      <c r="J66" s="2"/>
      <c r="K66" s="2"/>
      <c r="L66" s="2"/>
      <c r="M66" s="2"/>
      <c r="N66" s="2"/>
      <c r="O66" s="2"/>
      <c r="P66" s="3">
        <v>1</v>
      </c>
      <c r="Q66" s="3">
        <v>1</v>
      </c>
      <c r="R66" s="2"/>
      <c r="S66" s="2"/>
      <c r="T66" s="2"/>
      <c r="U66" s="2"/>
      <c r="V66" s="2"/>
      <c r="W66" s="2"/>
      <c r="X66" s="2"/>
      <c r="Y66" s="2"/>
      <c r="Z66" s="2"/>
    </row>
    <row r="67" spans="1:26" ht="171" x14ac:dyDescent="0.2">
      <c r="A67" s="3" t="s">
        <v>212</v>
      </c>
      <c r="B67" s="3" t="s">
        <v>213</v>
      </c>
      <c r="C67" s="4" t="s">
        <v>214</v>
      </c>
      <c r="D67" s="2"/>
      <c r="E67" s="2"/>
      <c r="F67" s="3">
        <v>1</v>
      </c>
      <c r="G67" s="2"/>
      <c r="H67" s="2"/>
      <c r="I67" s="2"/>
      <c r="J67" s="2"/>
      <c r="K67" s="2"/>
      <c r="L67" s="2"/>
      <c r="M67" s="3">
        <v>1</v>
      </c>
      <c r="N67" s="2"/>
      <c r="O67" s="2"/>
      <c r="P67" s="3">
        <v>1</v>
      </c>
      <c r="Q67" s="3">
        <v>1</v>
      </c>
      <c r="R67" s="3">
        <v>1</v>
      </c>
      <c r="S67" s="2"/>
      <c r="T67" s="2"/>
      <c r="U67" s="2"/>
      <c r="V67" s="2"/>
      <c r="W67" s="2"/>
      <c r="X67" s="2"/>
      <c r="Y67" s="2"/>
      <c r="Z67" s="2"/>
    </row>
    <row r="68" spans="1:26" ht="142.5" x14ac:dyDescent="0.2">
      <c r="A68" s="3" t="s">
        <v>215</v>
      </c>
      <c r="B68" s="3" t="s">
        <v>216</v>
      </c>
      <c r="C68" s="4" t="s">
        <v>217</v>
      </c>
      <c r="D68" s="2"/>
      <c r="E68" s="2"/>
      <c r="F68" s="2"/>
      <c r="G68" s="2"/>
      <c r="H68" s="2"/>
      <c r="I68" s="2"/>
      <c r="J68" s="2"/>
      <c r="K68" s="2"/>
      <c r="L68" s="2"/>
      <c r="M68" s="2"/>
      <c r="N68" s="2"/>
      <c r="O68" s="2"/>
      <c r="P68" s="3">
        <v>1</v>
      </c>
      <c r="Q68" s="3"/>
      <c r="R68" s="3">
        <v>1</v>
      </c>
      <c r="S68" s="2"/>
      <c r="T68" s="2"/>
      <c r="U68" s="2"/>
      <c r="V68" s="2"/>
      <c r="W68" s="2"/>
      <c r="X68" s="2"/>
      <c r="Y68" s="2"/>
      <c r="Z68" s="2"/>
    </row>
    <row r="69" spans="1:26" ht="142.5" x14ac:dyDescent="0.2">
      <c r="A69" s="3" t="s">
        <v>218</v>
      </c>
      <c r="B69" s="3" t="s">
        <v>218</v>
      </c>
      <c r="C69" s="4" t="s">
        <v>219</v>
      </c>
      <c r="D69" s="2"/>
      <c r="E69" s="2"/>
      <c r="F69" s="2"/>
      <c r="G69" s="2"/>
      <c r="H69" s="2"/>
      <c r="I69" s="2"/>
      <c r="J69" s="2"/>
      <c r="K69" s="2"/>
      <c r="L69" s="2"/>
      <c r="M69" s="2"/>
      <c r="N69" s="3">
        <v>1</v>
      </c>
      <c r="O69" s="2"/>
      <c r="P69" s="3">
        <v>1</v>
      </c>
      <c r="Q69" s="2"/>
      <c r="R69" s="3">
        <v>1</v>
      </c>
      <c r="S69" s="2"/>
      <c r="T69" s="2"/>
      <c r="U69" s="2"/>
      <c r="V69" s="2"/>
      <c r="W69" s="2"/>
      <c r="X69" s="2"/>
      <c r="Y69" s="2"/>
      <c r="Z69" s="2"/>
    </row>
    <row r="70" spans="1:26" ht="199.5" x14ac:dyDescent="0.2">
      <c r="A70" s="3" t="s">
        <v>220</v>
      </c>
      <c r="B70" s="3" t="s">
        <v>221</v>
      </c>
      <c r="C70" s="4" t="s">
        <v>222</v>
      </c>
      <c r="D70" s="2"/>
      <c r="E70" s="2"/>
      <c r="F70" s="2"/>
      <c r="G70" s="2"/>
      <c r="H70" s="2"/>
      <c r="I70" s="2"/>
      <c r="J70" s="2"/>
      <c r="K70" s="2"/>
      <c r="L70" s="2"/>
      <c r="M70" s="2"/>
      <c r="N70" s="2"/>
      <c r="O70" s="2"/>
      <c r="P70" s="3">
        <v>1</v>
      </c>
      <c r="Q70" s="2"/>
      <c r="R70" s="3">
        <v>1</v>
      </c>
      <c r="S70" s="2"/>
      <c r="T70" s="2"/>
      <c r="U70" s="2"/>
      <c r="V70" s="2"/>
      <c r="W70" s="2"/>
      <c r="X70" s="2"/>
      <c r="Y70" s="2"/>
      <c r="Z70" s="2"/>
    </row>
    <row r="71" spans="1:26" ht="199.5" x14ac:dyDescent="0.2">
      <c r="A71" s="3" t="s">
        <v>223</v>
      </c>
      <c r="B71" s="3" t="s">
        <v>224</v>
      </c>
      <c r="C71" s="4" t="s">
        <v>225</v>
      </c>
      <c r="D71" s="2"/>
      <c r="E71" s="2"/>
      <c r="F71" s="2"/>
      <c r="G71" s="2"/>
      <c r="H71" s="2"/>
      <c r="I71" s="5">
        <v>1</v>
      </c>
      <c r="J71" s="2"/>
      <c r="K71" s="2"/>
      <c r="L71" s="2"/>
      <c r="M71" s="2"/>
      <c r="N71" s="2"/>
      <c r="O71" s="2"/>
      <c r="P71" s="3">
        <v>1</v>
      </c>
      <c r="Q71" s="2"/>
      <c r="R71" s="3">
        <v>1</v>
      </c>
      <c r="S71" s="2"/>
      <c r="T71" s="2"/>
      <c r="U71" s="2"/>
      <c r="V71" s="2"/>
      <c r="W71" s="2"/>
      <c r="X71" s="2"/>
      <c r="Y71" s="2"/>
      <c r="Z71" s="2"/>
    </row>
    <row r="72" spans="1:26" ht="228" x14ac:dyDescent="0.2">
      <c r="A72" s="3" t="s">
        <v>226</v>
      </c>
      <c r="B72" s="3" t="s">
        <v>227</v>
      </c>
      <c r="C72" s="4" t="s">
        <v>228</v>
      </c>
      <c r="D72" s="2"/>
      <c r="E72" s="2"/>
      <c r="F72" s="2"/>
      <c r="G72" s="2"/>
      <c r="H72" s="2"/>
      <c r="I72" s="2"/>
      <c r="J72" s="2"/>
      <c r="K72" s="2"/>
      <c r="L72" s="2"/>
      <c r="M72" s="2"/>
      <c r="N72" s="2"/>
      <c r="O72" s="2"/>
      <c r="P72" s="2"/>
      <c r="Q72" s="2"/>
      <c r="R72" s="3">
        <v>1</v>
      </c>
      <c r="S72" s="2"/>
      <c r="T72" s="2"/>
      <c r="U72" s="2"/>
      <c r="V72" s="2"/>
      <c r="W72" s="2"/>
      <c r="X72" s="2"/>
      <c r="Y72" s="2"/>
      <c r="Z72" s="2"/>
    </row>
    <row r="73" spans="1:26" ht="142.5" x14ac:dyDescent="0.2">
      <c r="A73" s="3" t="s">
        <v>229</v>
      </c>
      <c r="B73" s="3" t="s">
        <v>230</v>
      </c>
      <c r="C73" s="4" t="s">
        <v>231</v>
      </c>
      <c r="D73" s="2"/>
      <c r="E73" s="2"/>
      <c r="F73" s="2"/>
      <c r="G73" s="2"/>
      <c r="H73" s="2"/>
      <c r="I73" s="2"/>
      <c r="J73" s="2"/>
      <c r="K73" s="2"/>
      <c r="L73" s="2"/>
      <c r="M73" s="2"/>
      <c r="N73" s="3">
        <v>1</v>
      </c>
      <c r="O73" s="3">
        <v>1</v>
      </c>
      <c r="P73" s="3">
        <v>1</v>
      </c>
      <c r="Q73" s="2"/>
      <c r="R73" s="3">
        <v>1</v>
      </c>
      <c r="S73" s="2"/>
      <c r="T73" s="2"/>
      <c r="U73" s="2"/>
      <c r="V73" s="2"/>
      <c r="W73" s="2"/>
      <c r="X73" s="2"/>
      <c r="Y73" s="2"/>
      <c r="Z73" s="2"/>
    </row>
    <row r="74" spans="1:26" ht="142.5" x14ac:dyDescent="0.2">
      <c r="A74" s="3" t="s">
        <v>232</v>
      </c>
      <c r="B74" s="3" t="s">
        <v>148</v>
      </c>
      <c r="C74" s="4" t="s">
        <v>233</v>
      </c>
      <c r="D74" s="2"/>
      <c r="E74" s="2"/>
      <c r="F74" s="2"/>
      <c r="G74" s="2"/>
      <c r="H74" s="2"/>
      <c r="I74" s="2"/>
      <c r="J74" s="2"/>
      <c r="K74" s="2"/>
      <c r="L74" s="2"/>
      <c r="M74" s="2"/>
      <c r="N74" s="3">
        <v>1</v>
      </c>
      <c r="O74" s="2"/>
      <c r="P74" s="3">
        <v>1</v>
      </c>
      <c r="Q74" s="2"/>
      <c r="R74" s="3">
        <v>1</v>
      </c>
      <c r="S74" s="2"/>
      <c r="T74" s="2"/>
      <c r="U74" s="2"/>
      <c r="V74" s="2"/>
      <c r="W74" s="2"/>
      <c r="X74" s="2"/>
      <c r="Y74" s="2"/>
      <c r="Z74" s="2"/>
    </row>
    <row r="75" spans="1:26" ht="142.5" x14ac:dyDescent="0.2">
      <c r="A75" s="3" t="s">
        <v>234</v>
      </c>
      <c r="B75" s="3" t="s">
        <v>235</v>
      </c>
      <c r="C75" s="4" t="s">
        <v>236</v>
      </c>
      <c r="D75" s="2"/>
      <c r="E75" s="2"/>
      <c r="F75" s="2"/>
      <c r="G75" s="2"/>
      <c r="H75" s="5">
        <v>1</v>
      </c>
      <c r="I75" s="2"/>
      <c r="J75" s="2"/>
      <c r="K75" s="2"/>
      <c r="L75" s="3">
        <v>1</v>
      </c>
      <c r="M75" s="2"/>
      <c r="N75" s="2"/>
      <c r="O75" s="3">
        <v>1</v>
      </c>
      <c r="P75" s="2"/>
      <c r="Q75" s="2"/>
      <c r="R75" s="3">
        <v>1</v>
      </c>
      <c r="S75" s="2"/>
      <c r="T75" s="2"/>
      <c r="U75" s="2"/>
      <c r="V75" s="2"/>
      <c r="W75" s="2"/>
      <c r="X75" s="2"/>
      <c r="Y75" s="2"/>
      <c r="Z75" s="2"/>
    </row>
    <row r="76" spans="1:26" ht="409.5" x14ac:dyDescent="0.2">
      <c r="A76" s="3" t="s">
        <v>237</v>
      </c>
      <c r="B76" s="3" t="s">
        <v>238</v>
      </c>
      <c r="C76" s="4" t="s">
        <v>239</v>
      </c>
      <c r="D76" s="2"/>
      <c r="E76" s="2"/>
      <c r="F76" s="2"/>
      <c r="G76" s="2"/>
      <c r="H76" s="2"/>
      <c r="I76" s="2"/>
      <c r="J76" s="2"/>
      <c r="K76" s="2"/>
      <c r="L76" s="2"/>
      <c r="M76" s="2"/>
      <c r="N76" s="2"/>
      <c r="O76" s="2"/>
      <c r="P76" s="3">
        <v>1</v>
      </c>
      <c r="Q76" s="3">
        <v>1</v>
      </c>
      <c r="R76" s="3">
        <v>1</v>
      </c>
      <c r="S76" s="2"/>
      <c r="T76" s="2"/>
      <c r="U76" s="2"/>
      <c r="V76" s="2"/>
      <c r="W76" s="2"/>
      <c r="X76" s="2"/>
      <c r="Y76" s="2"/>
      <c r="Z76" s="2"/>
    </row>
    <row r="77" spans="1:26" ht="142.5" x14ac:dyDescent="0.2">
      <c r="A77" s="3" t="s">
        <v>240</v>
      </c>
      <c r="B77" s="3" t="s">
        <v>241</v>
      </c>
      <c r="C77" s="4" t="s">
        <v>242</v>
      </c>
      <c r="D77" s="2"/>
      <c r="E77" s="2"/>
      <c r="F77" s="2"/>
      <c r="G77" s="2"/>
      <c r="H77" s="2"/>
      <c r="I77" s="2"/>
      <c r="J77" s="2"/>
      <c r="K77" s="2"/>
      <c r="L77" s="2"/>
      <c r="M77" s="2"/>
      <c r="N77" s="2"/>
      <c r="O77" s="2"/>
      <c r="P77" s="3">
        <v>1</v>
      </c>
      <c r="Q77" s="2"/>
      <c r="R77" s="3">
        <v>1</v>
      </c>
      <c r="S77" s="2"/>
      <c r="T77" s="2"/>
      <c r="U77" s="2"/>
      <c r="V77" s="2"/>
      <c r="W77" s="2"/>
      <c r="X77" s="2"/>
      <c r="Y77" s="2"/>
      <c r="Z77" s="2"/>
    </row>
    <row r="78" spans="1:26" ht="142.5" x14ac:dyDescent="0.2">
      <c r="A78" s="3" t="s">
        <v>243</v>
      </c>
      <c r="B78" s="3" t="s">
        <v>244</v>
      </c>
      <c r="C78" s="4" t="s">
        <v>245</v>
      </c>
      <c r="D78" s="2"/>
      <c r="E78" s="2"/>
      <c r="F78" s="2"/>
      <c r="G78" s="2"/>
      <c r="H78" s="2"/>
      <c r="I78" s="2"/>
      <c r="J78" s="2"/>
      <c r="K78" s="2"/>
      <c r="L78" s="3">
        <v>1</v>
      </c>
      <c r="M78" s="3" t="s">
        <v>246</v>
      </c>
      <c r="N78" s="3">
        <v>1</v>
      </c>
      <c r="O78" s="3">
        <v>1</v>
      </c>
      <c r="P78" s="3">
        <v>1</v>
      </c>
      <c r="Q78" s="2"/>
      <c r="R78" s="3">
        <v>1</v>
      </c>
      <c r="S78" s="2"/>
      <c r="T78" s="2"/>
      <c r="U78" s="2"/>
      <c r="V78" s="2"/>
      <c r="W78" s="2"/>
      <c r="X78" s="2"/>
      <c r="Y78" s="2"/>
      <c r="Z78" s="2"/>
    </row>
    <row r="79" spans="1:26" ht="270.75" x14ac:dyDescent="0.2">
      <c r="A79" s="3" t="s">
        <v>247</v>
      </c>
      <c r="B79" s="3" t="s">
        <v>248</v>
      </c>
      <c r="C79" s="4" t="s">
        <v>249</v>
      </c>
      <c r="D79" s="2"/>
      <c r="E79" s="2"/>
      <c r="F79" s="2"/>
      <c r="G79" s="2"/>
      <c r="H79" s="2"/>
      <c r="I79" s="2"/>
      <c r="J79" s="2"/>
      <c r="K79" s="2"/>
      <c r="L79" s="2"/>
      <c r="M79" s="2"/>
      <c r="N79" s="2"/>
      <c r="O79" s="2"/>
      <c r="P79" s="2"/>
      <c r="Q79" s="3">
        <v>1</v>
      </c>
      <c r="R79" s="2"/>
      <c r="S79" s="2"/>
      <c r="T79" s="2"/>
      <c r="U79" s="2"/>
      <c r="V79" s="2"/>
      <c r="W79" s="2"/>
      <c r="X79" s="2"/>
      <c r="Y79" s="2"/>
      <c r="Z79" s="2"/>
    </row>
    <row r="80" spans="1:26" ht="142.5" x14ac:dyDescent="0.2">
      <c r="A80" s="3" t="s">
        <v>250</v>
      </c>
      <c r="B80" s="3" t="s">
        <v>251</v>
      </c>
      <c r="C80" s="4" t="s">
        <v>252</v>
      </c>
      <c r="D80" s="2"/>
      <c r="E80" s="2"/>
      <c r="F80" s="2"/>
      <c r="G80" s="2"/>
      <c r="H80" s="2"/>
      <c r="I80" s="5">
        <v>1</v>
      </c>
      <c r="J80" s="2"/>
      <c r="K80" s="2"/>
      <c r="L80" s="3">
        <v>1</v>
      </c>
      <c r="M80" s="2"/>
      <c r="N80" s="2"/>
      <c r="O80" s="3">
        <v>1</v>
      </c>
      <c r="P80" s="2"/>
      <c r="Q80" s="2"/>
      <c r="R80" s="3">
        <v>1</v>
      </c>
      <c r="S80" s="2"/>
      <c r="T80" s="2"/>
      <c r="U80" s="2"/>
      <c r="V80" s="2"/>
      <c r="W80" s="2"/>
      <c r="X80" s="2"/>
      <c r="Y80" s="2"/>
      <c r="Z80" s="2"/>
    </row>
    <row r="81" spans="1:26" ht="142.5" x14ac:dyDescent="0.2">
      <c r="A81" s="3" t="s">
        <v>253</v>
      </c>
      <c r="B81" s="3" t="s">
        <v>254</v>
      </c>
      <c r="C81" s="4" t="s">
        <v>255</v>
      </c>
      <c r="D81" s="2"/>
      <c r="E81" s="2"/>
      <c r="F81" s="2"/>
      <c r="G81" s="2"/>
      <c r="H81" s="2"/>
      <c r="I81" s="2"/>
      <c r="J81" s="3">
        <v>1</v>
      </c>
      <c r="K81" s="2"/>
      <c r="L81" s="3">
        <v>1</v>
      </c>
      <c r="M81" s="2"/>
      <c r="N81" s="3">
        <v>1</v>
      </c>
      <c r="O81" s="3">
        <v>1</v>
      </c>
      <c r="P81" s="3">
        <v>1</v>
      </c>
      <c r="Q81" s="2"/>
      <c r="R81" s="3">
        <v>1</v>
      </c>
      <c r="S81" s="2"/>
      <c r="T81" s="2"/>
      <c r="U81" s="2"/>
      <c r="V81" s="2"/>
      <c r="W81" s="2"/>
      <c r="X81" s="2"/>
      <c r="Y81" s="2"/>
      <c r="Z81" s="2"/>
    </row>
    <row r="82" spans="1:26" ht="142.5" x14ac:dyDescent="0.2">
      <c r="A82" s="3" t="s">
        <v>256</v>
      </c>
      <c r="B82" s="3" t="s">
        <v>257</v>
      </c>
      <c r="C82" s="4" t="s">
        <v>258</v>
      </c>
      <c r="D82" s="2"/>
      <c r="E82" s="2"/>
      <c r="F82" s="2"/>
      <c r="G82" s="2"/>
      <c r="H82" s="2"/>
      <c r="I82" s="2"/>
      <c r="J82" s="2"/>
      <c r="K82" s="2"/>
      <c r="L82" s="2"/>
      <c r="M82" s="2"/>
      <c r="N82" s="2"/>
      <c r="O82" s="2"/>
      <c r="P82" s="3">
        <v>1</v>
      </c>
      <c r="Q82" s="2"/>
      <c r="R82" s="3">
        <v>1</v>
      </c>
      <c r="S82" s="2"/>
      <c r="T82" s="2"/>
      <c r="U82" s="2"/>
      <c r="V82" s="2"/>
      <c r="W82" s="2"/>
      <c r="X82" s="2"/>
      <c r="Y82" s="2"/>
      <c r="Z82" s="2"/>
    </row>
    <row r="83" spans="1:26" ht="142.5" x14ac:dyDescent="0.2">
      <c r="A83" s="3" t="s">
        <v>259</v>
      </c>
      <c r="B83" s="3" t="s">
        <v>260</v>
      </c>
      <c r="C83" s="4" t="s">
        <v>261</v>
      </c>
      <c r="D83" s="2"/>
      <c r="E83" s="2"/>
      <c r="F83" s="2"/>
      <c r="G83" s="2"/>
      <c r="H83" s="2"/>
      <c r="I83" s="2"/>
      <c r="J83" s="2"/>
      <c r="K83" s="2"/>
      <c r="L83" s="2"/>
      <c r="M83" s="2"/>
      <c r="N83" s="2"/>
      <c r="O83" s="2"/>
      <c r="P83" s="2"/>
      <c r="Q83" s="2"/>
      <c r="R83" s="3">
        <v>1</v>
      </c>
      <c r="S83" s="2"/>
      <c r="T83" s="2"/>
      <c r="U83" s="2"/>
      <c r="V83" s="2"/>
      <c r="W83" s="2"/>
      <c r="X83" s="2"/>
      <c r="Y83" s="2"/>
      <c r="Z83" s="2"/>
    </row>
    <row r="84" spans="1:26" ht="142.5" x14ac:dyDescent="0.2">
      <c r="A84" s="3" t="s">
        <v>262</v>
      </c>
      <c r="B84" s="3" t="s">
        <v>263</v>
      </c>
      <c r="C84" s="4" t="s">
        <v>264</v>
      </c>
      <c r="D84" s="2"/>
      <c r="E84" s="2"/>
      <c r="F84" s="2"/>
      <c r="G84" s="2"/>
      <c r="H84" s="2"/>
      <c r="I84" s="2"/>
      <c r="J84" s="2"/>
      <c r="K84" s="2"/>
      <c r="L84" s="2"/>
      <c r="M84" s="3">
        <v>1</v>
      </c>
      <c r="N84" s="2"/>
      <c r="O84" s="2"/>
      <c r="P84" s="2"/>
      <c r="Q84" s="2"/>
      <c r="R84" s="3">
        <v>1</v>
      </c>
      <c r="S84" s="2"/>
      <c r="T84" s="2"/>
      <c r="U84" s="2"/>
      <c r="V84" s="2"/>
      <c r="W84" s="2"/>
      <c r="X84" s="2"/>
      <c r="Y84" s="2"/>
      <c r="Z84" s="2"/>
    </row>
    <row r="85" spans="1:26" ht="142.5" x14ac:dyDescent="0.2">
      <c r="A85" s="3" t="s">
        <v>265</v>
      </c>
      <c r="B85" s="3" t="s">
        <v>266</v>
      </c>
      <c r="C85" s="4" t="s">
        <v>267</v>
      </c>
      <c r="D85" s="2"/>
      <c r="E85" s="2"/>
      <c r="F85" s="2"/>
      <c r="G85" s="2"/>
      <c r="H85" s="2"/>
      <c r="I85" s="2"/>
      <c r="J85" s="2"/>
      <c r="K85" s="2"/>
      <c r="L85" s="3">
        <v>1</v>
      </c>
      <c r="M85" s="2"/>
      <c r="N85" s="2"/>
      <c r="O85" s="2"/>
      <c r="P85" s="3">
        <v>1</v>
      </c>
      <c r="Q85" s="2"/>
      <c r="R85" s="3">
        <v>1</v>
      </c>
      <c r="S85" s="2"/>
      <c r="T85" s="2"/>
      <c r="U85" s="2"/>
      <c r="V85" s="2"/>
      <c r="W85" s="2"/>
      <c r="X85" s="2"/>
      <c r="Y85" s="2"/>
      <c r="Z85" s="2"/>
    </row>
    <row r="86" spans="1:26" ht="142.5" x14ac:dyDescent="0.2">
      <c r="A86" s="3" t="s">
        <v>268</v>
      </c>
      <c r="B86" s="3" t="s">
        <v>269</v>
      </c>
      <c r="C86" s="4" t="s">
        <v>270</v>
      </c>
      <c r="D86" s="2"/>
      <c r="E86" s="2"/>
      <c r="F86" s="3">
        <v>1</v>
      </c>
      <c r="G86" s="2"/>
      <c r="H86" s="2"/>
      <c r="I86" s="5">
        <v>1</v>
      </c>
      <c r="J86" s="2"/>
      <c r="K86" s="2"/>
      <c r="L86" s="2"/>
      <c r="M86" s="2"/>
      <c r="N86" s="2"/>
      <c r="O86" s="2"/>
      <c r="P86" s="3">
        <v>1</v>
      </c>
      <c r="Q86" s="2"/>
      <c r="R86" s="3">
        <v>1</v>
      </c>
      <c r="S86" s="2"/>
      <c r="T86" s="2"/>
      <c r="U86" s="2"/>
      <c r="V86" s="2"/>
      <c r="W86" s="2"/>
      <c r="X86" s="2"/>
      <c r="Y86" s="2"/>
      <c r="Z86" s="2"/>
    </row>
    <row r="87" spans="1:26" ht="142.5" x14ac:dyDescent="0.2">
      <c r="A87" s="3" t="s">
        <v>271</v>
      </c>
      <c r="B87" s="3" t="s">
        <v>272</v>
      </c>
      <c r="C87" s="4" t="s">
        <v>273</v>
      </c>
      <c r="D87" s="2"/>
      <c r="E87" s="2"/>
      <c r="F87" s="2"/>
      <c r="G87" s="2"/>
      <c r="H87" s="2"/>
      <c r="I87" s="2"/>
      <c r="J87" s="2"/>
      <c r="K87" s="2"/>
      <c r="L87" s="2"/>
      <c r="M87" s="2"/>
      <c r="N87" s="2"/>
      <c r="O87" s="2"/>
      <c r="P87" s="2"/>
      <c r="Q87" s="2"/>
      <c r="R87" s="3">
        <v>1</v>
      </c>
      <c r="S87" s="2"/>
      <c r="T87" s="2"/>
      <c r="U87" s="2"/>
      <c r="V87" s="2"/>
      <c r="W87" s="2"/>
      <c r="X87" s="2"/>
      <c r="Y87" s="2"/>
      <c r="Z87" s="2"/>
    </row>
    <row r="88" spans="1:26" ht="285" x14ac:dyDescent="0.2">
      <c r="A88" s="3" t="s">
        <v>274</v>
      </c>
      <c r="B88" s="3" t="s">
        <v>275</v>
      </c>
      <c r="C88" s="4" t="s">
        <v>276</v>
      </c>
      <c r="D88" s="2"/>
      <c r="E88" s="2"/>
      <c r="F88" s="2"/>
      <c r="G88" s="2"/>
      <c r="H88" s="2"/>
      <c r="I88" s="5">
        <v>1</v>
      </c>
      <c r="J88" s="3">
        <v>1</v>
      </c>
      <c r="K88" s="2"/>
      <c r="L88" s="2"/>
      <c r="M88" s="2"/>
      <c r="N88" s="2"/>
      <c r="O88" s="2"/>
      <c r="P88" s="3">
        <v>1</v>
      </c>
      <c r="Q88" s="3">
        <v>1</v>
      </c>
      <c r="R88" s="3">
        <v>1</v>
      </c>
      <c r="S88" s="2"/>
      <c r="T88" s="2"/>
      <c r="U88" s="2"/>
      <c r="V88" s="2"/>
      <c r="W88" s="2"/>
      <c r="X88" s="2"/>
      <c r="Y88" s="2"/>
      <c r="Z88" s="2"/>
    </row>
    <row r="89" spans="1:26" ht="142.5" x14ac:dyDescent="0.2">
      <c r="A89" s="3" t="s">
        <v>277</v>
      </c>
      <c r="B89" s="3" t="s">
        <v>278</v>
      </c>
      <c r="C89" s="4" t="s">
        <v>279</v>
      </c>
      <c r="D89" s="2"/>
      <c r="E89" s="2"/>
      <c r="F89" s="3">
        <v>1</v>
      </c>
      <c r="G89" s="2"/>
      <c r="H89" s="2"/>
      <c r="I89" s="2"/>
      <c r="J89" s="2"/>
      <c r="K89" s="2"/>
      <c r="L89" s="2"/>
      <c r="M89" s="3">
        <v>1</v>
      </c>
      <c r="N89" s="2"/>
      <c r="O89" s="2"/>
      <c r="P89" s="2"/>
      <c r="Q89" s="2"/>
      <c r="R89" s="3">
        <v>1</v>
      </c>
      <c r="S89" s="2"/>
      <c r="T89" s="2"/>
      <c r="U89" s="2"/>
      <c r="V89" s="2"/>
      <c r="W89" s="2"/>
      <c r="X89" s="2"/>
      <c r="Y89" s="2"/>
      <c r="Z89" s="2"/>
    </row>
    <row r="90" spans="1:26" ht="102" x14ac:dyDescent="0.2">
      <c r="A90" s="3" t="s">
        <v>280</v>
      </c>
      <c r="B90" s="3" t="s">
        <v>281</v>
      </c>
      <c r="C90" s="6" t="s">
        <v>282</v>
      </c>
      <c r="D90" s="2"/>
      <c r="E90" s="2"/>
      <c r="F90" s="2"/>
      <c r="G90" s="2"/>
      <c r="H90" s="2"/>
      <c r="I90" s="2"/>
      <c r="J90" s="2"/>
      <c r="K90" s="2"/>
      <c r="L90" s="2"/>
      <c r="M90" s="2"/>
      <c r="N90" s="3">
        <v>1</v>
      </c>
      <c r="O90" s="3">
        <v>1</v>
      </c>
      <c r="P90" s="3">
        <v>1</v>
      </c>
      <c r="Q90" s="2"/>
      <c r="R90" s="3">
        <v>1</v>
      </c>
      <c r="S90" s="2"/>
      <c r="T90" s="2"/>
      <c r="U90" s="2"/>
      <c r="V90" s="2"/>
      <c r="W90" s="2"/>
      <c r="X90" s="2"/>
      <c r="Y90" s="2"/>
      <c r="Z90" s="2"/>
    </row>
    <row r="91" spans="1:26" ht="171" x14ac:dyDescent="0.2">
      <c r="A91" s="3" t="s">
        <v>283</v>
      </c>
      <c r="B91" s="3" t="s">
        <v>284</v>
      </c>
      <c r="C91" s="4" t="s">
        <v>285</v>
      </c>
      <c r="D91" s="2"/>
      <c r="E91" s="2"/>
      <c r="F91" s="2"/>
      <c r="G91" s="2"/>
      <c r="H91" s="2"/>
      <c r="I91" s="2"/>
      <c r="J91" s="2"/>
      <c r="K91" s="2"/>
      <c r="L91" s="2"/>
      <c r="M91" s="2"/>
      <c r="N91" s="2"/>
      <c r="O91" s="2"/>
      <c r="P91" s="3">
        <v>1</v>
      </c>
      <c r="Q91" s="3">
        <v>1</v>
      </c>
      <c r="R91" s="3">
        <v>1</v>
      </c>
      <c r="S91" s="2"/>
      <c r="T91" s="2"/>
      <c r="U91" s="2"/>
      <c r="V91" s="2"/>
      <c r="W91" s="2"/>
      <c r="X91" s="2"/>
      <c r="Y91" s="2"/>
      <c r="Z91" s="2"/>
    </row>
    <row r="92" spans="1:26" ht="171" x14ac:dyDescent="0.2">
      <c r="A92" s="3" t="s">
        <v>286</v>
      </c>
      <c r="B92" s="3" t="s">
        <v>287</v>
      </c>
      <c r="C92" s="4" t="s">
        <v>288</v>
      </c>
      <c r="D92" s="2"/>
      <c r="E92" s="2"/>
      <c r="F92" s="2"/>
      <c r="G92" s="2"/>
      <c r="H92" s="2"/>
      <c r="I92" s="2"/>
      <c r="J92" s="2"/>
      <c r="K92" s="2"/>
      <c r="L92" s="2"/>
      <c r="M92" s="2"/>
      <c r="N92" s="2"/>
      <c r="O92" s="2"/>
      <c r="P92" s="3">
        <v>1</v>
      </c>
      <c r="Q92" s="2"/>
      <c r="R92" s="3">
        <v>1</v>
      </c>
      <c r="S92" s="2"/>
      <c r="T92" s="2"/>
      <c r="U92" s="2"/>
      <c r="V92" s="2"/>
      <c r="W92" s="2"/>
      <c r="X92" s="2"/>
      <c r="Y92" s="2"/>
      <c r="Z92" s="2"/>
    </row>
    <row r="93" spans="1:26" ht="156.75" x14ac:dyDescent="0.2">
      <c r="A93" s="3" t="s">
        <v>289</v>
      </c>
      <c r="B93" s="3" t="s">
        <v>290</v>
      </c>
      <c r="C93" s="4" t="s">
        <v>291</v>
      </c>
      <c r="D93" s="2"/>
      <c r="E93" s="2"/>
      <c r="F93" s="2"/>
      <c r="G93" s="2"/>
      <c r="H93" s="2"/>
      <c r="I93" s="5">
        <v>1</v>
      </c>
      <c r="J93" s="2"/>
      <c r="K93" s="2"/>
      <c r="L93" s="2"/>
      <c r="M93" s="2"/>
      <c r="N93" s="2"/>
      <c r="O93" s="2"/>
      <c r="P93" s="3">
        <v>1</v>
      </c>
      <c r="Q93" s="3">
        <v>1</v>
      </c>
      <c r="R93" s="2"/>
      <c r="S93" s="2"/>
      <c r="T93" s="2"/>
      <c r="U93" s="2"/>
      <c r="V93" s="2"/>
      <c r="W93" s="2"/>
      <c r="X93" s="2"/>
      <c r="Y93" s="2"/>
      <c r="Z93" s="2"/>
    </row>
    <row r="94" spans="1:26" ht="228" x14ac:dyDescent="0.2">
      <c r="A94" s="3" t="s">
        <v>292</v>
      </c>
      <c r="B94" s="3" t="s">
        <v>293</v>
      </c>
      <c r="C94" s="4" t="s">
        <v>294</v>
      </c>
      <c r="D94" s="2"/>
      <c r="E94" s="2"/>
      <c r="F94" s="2"/>
      <c r="G94" s="2"/>
      <c r="H94" s="2"/>
      <c r="I94" s="2"/>
      <c r="J94" s="2"/>
      <c r="K94" s="2"/>
      <c r="L94" s="2"/>
      <c r="M94" s="2"/>
      <c r="N94" s="3">
        <v>1</v>
      </c>
      <c r="O94" s="3">
        <v>1</v>
      </c>
      <c r="P94" s="3">
        <v>1</v>
      </c>
      <c r="Q94" s="2"/>
      <c r="R94" s="3">
        <v>1</v>
      </c>
      <c r="S94" s="2"/>
      <c r="T94" s="2"/>
      <c r="U94" s="2"/>
      <c r="V94" s="2"/>
      <c r="W94" s="2"/>
      <c r="X94" s="2"/>
      <c r="Y94" s="2"/>
      <c r="Z94" s="2"/>
    </row>
    <row r="95" spans="1:26" ht="213.75" x14ac:dyDescent="0.2">
      <c r="A95" s="3" t="s">
        <v>295</v>
      </c>
      <c r="B95" s="3" t="s">
        <v>296</v>
      </c>
      <c r="C95" s="4" t="s">
        <v>297</v>
      </c>
      <c r="D95" s="2"/>
      <c r="E95" s="2"/>
      <c r="F95" s="3">
        <v>1</v>
      </c>
      <c r="G95" s="2"/>
      <c r="H95" s="2"/>
      <c r="I95" s="2"/>
      <c r="J95" s="2"/>
      <c r="K95" s="2"/>
      <c r="L95" s="2"/>
      <c r="M95" s="3">
        <v>1</v>
      </c>
      <c r="N95" s="2"/>
      <c r="O95" s="2"/>
      <c r="P95" s="2"/>
      <c r="Q95" s="2"/>
      <c r="R95" s="3">
        <v>1</v>
      </c>
      <c r="S95" s="2"/>
      <c r="T95" s="2"/>
      <c r="U95" s="2"/>
      <c r="V95" s="2"/>
      <c r="W95" s="2"/>
      <c r="X95" s="2"/>
      <c r="Y95" s="2"/>
      <c r="Z95" s="2"/>
    </row>
    <row r="96" spans="1:26" ht="242.25" x14ac:dyDescent="0.2">
      <c r="A96" s="3" t="s">
        <v>298</v>
      </c>
      <c r="B96" s="3" t="s">
        <v>299</v>
      </c>
      <c r="C96" s="4" t="s">
        <v>300</v>
      </c>
      <c r="D96" s="2"/>
      <c r="E96" s="2"/>
      <c r="F96" s="2"/>
      <c r="G96" s="2"/>
      <c r="H96" s="2"/>
      <c r="I96" s="5">
        <v>1</v>
      </c>
      <c r="J96" s="2"/>
      <c r="K96" s="2"/>
      <c r="L96" s="2"/>
      <c r="M96" s="2"/>
      <c r="N96" s="2"/>
      <c r="O96" s="2"/>
      <c r="P96" s="3">
        <v>1</v>
      </c>
      <c r="Q96" s="2"/>
      <c r="R96" s="3">
        <v>1</v>
      </c>
      <c r="S96" s="2"/>
      <c r="T96" s="2"/>
      <c r="U96" s="2"/>
      <c r="V96" s="2"/>
      <c r="W96" s="2"/>
      <c r="X96" s="2"/>
      <c r="Y96" s="2"/>
      <c r="Z96" s="2"/>
    </row>
    <row r="97" spans="1:26" ht="213.75" x14ac:dyDescent="0.2">
      <c r="A97" s="3" t="s">
        <v>301</v>
      </c>
      <c r="B97" s="3" t="s">
        <v>302</v>
      </c>
      <c r="C97" s="4" t="s">
        <v>303</v>
      </c>
      <c r="D97" s="2"/>
      <c r="E97" s="2"/>
      <c r="F97" s="2"/>
      <c r="G97" s="2"/>
      <c r="H97" s="2"/>
      <c r="I97" s="2"/>
      <c r="J97" s="2"/>
      <c r="K97" s="2"/>
      <c r="L97" s="2"/>
      <c r="M97" s="2"/>
      <c r="N97" s="3">
        <v>1</v>
      </c>
      <c r="O97" s="2"/>
      <c r="P97" s="3">
        <v>1</v>
      </c>
      <c r="Q97" s="2"/>
      <c r="R97" s="2"/>
      <c r="S97" s="2"/>
      <c r="T97" s="2"/>
      <c r="U97" s="2"/>
      <c r="V97" s="2"/>
      <c r="W97" s="2"/>
      <c r="X97" s="2"/>
      <c r="Y97" s="2"/>
      <c r="Z97" s="2"/>
    </row>
    <row r="98" spans="1:26" ht="142.5" x14ac:dyDescent="0.2">
      <c r="A98" s="3" t="s">
        <v>304</v>
      </c>
      <c r="B98" s="3" t="s">
        <v>305</v>
      </c>
      <c r="C98" s="4" t="s">
        <v>306</v>
      </c>
      <c r="D98" s="2"/>
      <c r="E98" s="2"/>
      <c r="F98" s="2"/>
      <c r="G98" s="2"/>
      <c r="H98" s="2"/>
      <c r="I98" s="5"/>
      <c r="J98" s="2"/>
      <c r="K98" s="2"/>
      <c r="L98" s="2"/>
      <c r="M98" s="2"/>
      <c r="N98" s="2"/>
      <c r="O98" s="2"/>
      <c r="P98" s="3">
        <v>1</v>
      </c>
      <c r="Q98" s="3">
        <v>1</v>
      </c>
      <c r="R98" s="3">
        <v>1</v>
      </c>
      <c r="S98" s="2"/>
      <c r="T98" s="2"/>
      <c r="U98" s="2"/>
      <c r="V98" s="2"/>
      <c r="W98" s="2"/>
      <c r="X98" s="2"/>
      <c r="Y98" s="2"/>
      <c r="Z98" s="2"/>
    </row>
    <row r="99" spans="1:26" ht="142.5" x14ac:dyDescent="0.2">
      <c r="A99" s="3" t="s">
        <v>307</v>
      </c>
      <c r="B99" s="3" t="s">
        <v>308</v>
      </c>
      <c r="C99" s="4" t="s">
        <v>309</v>
      </c>
      <c r="D99" s="2"/>
      <c r="E99" s="2"/>
      <c r="F99" s="2"/>
      <c r="G99" s="2"/>
      <c r="H99" s="2"/>
      <c r="I99" s="2"/>
      <c r="J99" s="2"/>
      <c r="K99" s="2"/>
      <c r="L99" s="3">
        <v>1</v>
      </c>
      <c r="M99" s="2"/>
      <c r="N99" s="2"/>
      <c r="O99" s="2"/>
      <c r="P99" s="3">
        <v>1</v>
      </c>
      <c r="Q99" s="2"/>
      <c r="R99" s="3">
        <v>1</v>
      </c>
      <c r="S99" s="2"/>
      <c r="T99" s="2"/>
      <c r="U99" s="2"/>
      <c r="V99" s="2"/>
      <c r="W99" s="2"/>
      <c r="X99" s="2"/>
      <c r="Y99" s="2"/>
      <c r="Z99" s="2"/>
    </row>
    <row r="100" spans="1:26" ht="142.5" x14ac:dyDescent="0.2">
      <c r="A100" s="3" t="s">
        <v>310</v>
      </c>
      <c r="B100" s="3" t="s">
        <v>311</v>
      </c>
      <c r="C100" s="4" t="s">
        <v>312</v>
      </c>
      <c r="D100" s="2"/>
      <c r="E100" s="2"/>
      <c r="F100" s="2"/>
      <c r="G100" s="2"/>
      <c r="H100" s="2"/>
      <c r="I100" s="5">
        <v>1</v>
      </c>
      <c r="J100" s="2"/>
      <c r="K100" s="2"/>
      <c r="L100" s="2"/>
      <c r="M100" s="2"/>
      <c r="N100" s="2"/>
      <c r="O100" s="2"/>
      <c r="P100" s="3">
        <v>1</v>
      </c>
      <c r="Q100" s="2"/>
      <c r="R100" s="3">
        <v>1</v>
      </c>
      <c r="S100" s="2"/>
      <c r="T100" s="2"/>
      <c r="U100" s="2"/>
      <c r="V100" s="2"/>
      <c r="W100" s="2"/>
      <c r="X100" s="2"/>
      <c r="Y100" s="2"/>
      <c r="Z100" s="2"/>
    </row>
    <row r="101" spans="1:26" ht="285" x14ac:dyDescent="0.2">
      <c r="A101" s="3" t="s">
        <v>313</v>
      </c>
      <c r="B101" s="3" t="s">
        <v>314</v>
      </c>
      <c r="C101" s="4" t="s">
        <v>315</v>
      </c>
      <c r="D101" s="2"/>
      <c r="E101" s="2"/>
      <c r="F101" s="2"/>
      <c r="G101" s="2"/>
      <c r="H101" s="2"/>
      <c r="I101" s="2"/>
      <c r="J101" s="2"/>
      <c r="K101" s="2"/>
      <c r="L101" s="3">
        <v>1</v>
      </c>
      <c r="M101" s="2"/>
      <c r="N101" s="2"/>
      <c r="O101" s="2"/>
      <c r="P101" s="2"/>
      <c r="Q101" s="2"/>
      <c r="R101" s="3">
        <v>1</v>
      </c>
      <c r="S101" s="2"/>
      <c r="T101" s="2"/>
      <c r="U101" s="2"/>
      <c r="V101" s="2"/>
      <c r="W101" s="2"/>
      <c r="X101" s="2"/>
      <c r="Y101" s="2"/>
      <c r="Z101" s="2"/>
    </row>
    <row r="102" spans="1:26" ht="213.75" x14ac:dyDescent="0.2">
      <c r="A102" s="3" t="s">
        <v>316</v>
      </c>
      <c r="B102" s="3" t="s">
        <v>317</v>
      </c>
      <c r="C102" s="4" t="s">
        <v>318</v>
      </c>
      <c r="D102" s="2"/>
      <c r="E102" s="3">
        <v>1</v>
      </c>
      <c r="F102" s="2"/>
      <c r="G102" s="2"/>
      <c r="H102" s="2"/>
      <c r="I102" s="2"/>
      <c r="J102" s="2"/>
      <c r="K102" s="2"/>
      <c r="L102" s="2"/>
      <c r="M102" s="2"/>
      <c r="N102" s="2"/>
      <c r="O102" s="3">
        <v>1</v>
      </c>
      <c r="P102" s="2"/>
      <c r="Q102" s="2"/>
      <c r="R102" s="3">
        <v>1</v>
      </c>
      <c r="S102" s="2"/>
      <c r="T102" s="2"/>
      <c r="U102" s="2"/>
      <c r="V102" s="2"/>
      <c r="W102" s="2"/>
      <c r="X102" s="2"/>
      <c r="Y102" s="2"/>
      <c r="Z102" s="2"/>
    </row>
    <row r="103" spans="1:26" ht="142.5" x14ac:dyDescent="0.2">
      <c r="A103" s="3" t="s">
        <v>319</v>
      </c>
      <c r="B103" s="3" t="s">
        <v>320</v>
      </c>
      <c r="C103" s="4" t="s">
        <v>321</v>
      </c>
      <c r="D103" s="2"/>
      <c r="E103" s="2"/>
      <c r="F103" s="2"/>
      <c r="G103" s="2"/>
      <c r="H103" s="2"/>
      <c r="I103" s="2"/>
      <c r="J103" s="2"/>
      <c r="K103" s="2"/>
      <c r="L103" s="3">
        <v>1</v>
      </c>
      <c r="M103" s="2"/>
      <c r="N103" s="2"/>
      <c r="O103" s="2"/>
      <c r="P103" s="2"/>
      <c r="Q103" s="2"/>
      <c r="R103" s="3">
        <v>1</v>
      </c>
      <c r="S103" s="2"/>
      <c r="T103" s="2"/>
      <c r="U103" s="2"/>
      <c r="V103" s="2"/>
      <c r="W103" s="2"/>
      <c r="X103" s="2"/>
      <c r="Y103" s="2"/>
      <c r="Z103" s="2"/>
    </row>
    <row r="104" spans="1:26" ht="142.5" x14ac:dyDescent="0.2">
      <c r="A104" s="3" t="s">
        <v>322</v>
      </c>
      <c r="B104" s="3" t="s">
        <v>323</v>
      </c>
      <c r="C104" s="4" t="s">
        <v>324</v>
      </c>
      <c r="D104" s="2"/>
      <c r="E104" s="2"/>
      <c r="F104" s="2"/>
      <c r="G104" s="2"/>
      <c r="H104" s="2"/>
      <c r="I104" s="2"/>
      <c r="J104" s="2"/>
      <c r="K104" s="2"/>
      <c r="L104" s="2"/>
      <c r="M104" s="2"/>
      <c r="N104" s="2"/>
      <c r="O104" s="2"/>
      <c r="P104" s="2"/>
      <c r="Q104" s="3">
        <v>1</v>
      </c>
      <c r="R104" s="2"/>
      <c r="S104" s="2"/>
      <c r="T104" s="2"/>
      <c r="U104" s="2"/>
      <c r="V104" s="2"/>
      <c r="W104" s="2"/>
      <c r="X104" s="2"/>
      <c r="Y104" s="2"/>
      <c r="Z104" s="2"/>
    </row>
    <row r="105" spans="1:26" ht="142.5" x14ac:dyDescent="0.2">
      <c r="A105" s="3" t="s">
        <v>325</v>
      </c>
      <c r="B105" s="3" t="s">
        <v>326</v>
      </c>
      <c r="C105" s="4" t="s">
        <v>327</v>
      </c>
      <c r="D105" s="2"/>
      <c r="E105" s="2"/>
      <c r="F105" s="3">
        <v>1</v>
      </c>
      <c r="G105" s="2"/>
      <c r="H105" s="2"/>
      <c r="I105" s="2"/>
      <c r="J105" s="2"/>
      <c r="K105" s="2"/>
      <c r="L105" s="2"/>
      <c r="M105" s="2"/>
      <c r="N105" s="2"/>
      <c r="O105" s="2"/>
      <c r="P105" s="2"/>
      <c r="Q105" s="2"/>
      <c r="R105" s="3">
        <v>1</v>
      </c>
      <c r="S105" s="2"/>
      <c r="T105" s="2"/>
      <c r="U105" s="2"/>
      <c r="V105" s="2"/>
      <c r="W105" s="2"/>
      <c r="X105" s="2"/>
      <c r="Y105" s="2"/>
      <c r="Z105" s="2"/>
    </row>
    <row r="106" spans="1:26" ht="242.25" x14ac:dyDescent="0.2">
      <c r="A106" s="3" t="s">
        <v>328</v>
      </c>
      <c r="B106" s="3" t="s">
        <v>329</v>
      </c>
      <c r="C106" s="4" t="s">
        <v>330</v>
      </c>
      <c r="D106" s="2"/>
      <c r="E106" s="2"/>
      <c r="F106" s="2"/>
      <c r="G106" s="2"/>
      <c r="H106" s="5">
        <v>1</v>
      </c>
      <c r="I106" s="2"/>
      <c r="J106" s="2"/>
      <c r="K106" s="2"/>
      <c r="L106" s="2"/>
      <c r="M106" s="2"/>
      <c r="N106" s="2"/>
      <c r="O106" s="2"/>
      <c r="P106" s="2"/>
      <c r="Q106" s="2"/>
      <c r="R106" s="3">
        <v>1</v>
      </c>
      <c r="S106" s="2"/>
      <c r="T106" s="2"/>
      <c r="U106" s="2"/>
      <c r="V106" s="2"/>
      <c r="W106" s="2"/>
      <c r="X106" s="2"/>
      <c r="Y106" s="2"/>
      <c r="Z106" s="2"/>
    </row>
    <row r="107" spans="1:26" ht="327.75" x14ac:dyDescent="0.2">
      <c r="A107" s="3" t="s">
        <v>331</v>
      </c>
      <c r="B107" s="3" t="s">
        <v>332</v>
      </c>
      <c r="C107" s="4" t="s">
        <v>333</v>
      </c>
      <c r="D107" s="2"/>
      <c r="E107" s="2"/>
      <c r="F107" s="2"/>
      <c r="G107" s="2"/>
      <c r="H107" s="2"/>
      <c r="I107" s="2"/>
      <c r="J107" s="2"/>
      <c r="K107" s="2"/>
      <c r="L107" s="3">
        <v>1</v>
      </c>
      <c r="M107" s="2"/>
      <c r="N107" s="2"/>
      <c r="O107" s="2"/>
      <c r="P107" s="2"/>
      <c r="Q107" s="2"/>
      <c r="R107" s="3">
        <v>1</v>
      </c>
      <c r="S107" s="2"/>
      <c r="T107" s="2"/>
      <c r="U107" s="2"/>
      <c r="V107" s="2"/>
      <c r="W107" s="2"/>
      <c r="X107" s="2"/>
      <c r="Y107" s="2"/>
      <c r="Z107" s="2"/>
    </row>
    <row r="108" spans="1:26" ht="142.5" x14ac:dyDescent="0.2">
      <c r="A108" s="3" t="s">
        <v>334</v>
      </c>
      <c r="B108" s="3" t="s">
        <v>335</v>
      </c>
      <c r="C108" s="4" t="s">
        <v>336</v>
      </c>
      <c r="D108" s="2"/>
      <c r="E108" s="2"/>
      <c r="F108" s="2"/>
      <c r="G108" s="2"/>
      <c r="H108" s="2"/>
      <c r="I108" s="2"/>
      <c r="J108" s="2"/>
      <c r="K108" s="2"/>
      <c r="L108" s="2"/>
      <c r="M108" s="2"/>
      <c r="N108" s="2"/>
      <c r="O108" s="2"/>
      <c r="P108" s="2"/>
      <c r="Q108" s="2"/>
      <c r="R108" s="3">
        <v>1</v>
      </c>
      <c r="S108" s="2"/>
      <c r="T108" s="2"/>
      <c r="U108" s="2"/>
      <c r="V108" s="2"/>
      <c r="W108" s="2"/>
      <c r="X108" s="2"/>
      <c r="Y108" s="2"/>
      <c r="Z108" s="2"/>
    </row>
    <row r="109" spans="1:26" ht="142.5" x14ac:dyDescent="0.2">
      <c r="A109" s="3" t="s">
        <v>337</v>
      </c>
      <c r="B109" s="3" t="s">
        <v>338</v>
      </c>
      <c r="C109" s="4" t="s">
        <v>339</v>
      </c>
      <c r="D109" s="2"/>
      <c r="E109" s="2"/>
      <c r="F109" s="2"/>
      <c r="G109" s="2"/>
      <c r="H109" s="2"/>
      <c r="I109" s="2"/>
      <c r="J109" s="2"/>
      <c r="K109" s="2"/>
      <c r="L109" s="2"/>
      <c r="M109" s="2"/>
      <c r="N109" s="2"/>
      <c r="O109" s="2"/>
      <c r="P109" s="2"/>
      <c r="Q109" s="2"/>
      <c r="R109" s="3">
        <v>1</v>
      </c>
      <c r="S109" s="2"/>
      <c r="T109" s="2"/>
      <c r="U109" s="2"/>
      <c r="V109" s="2"/>
      <c r="W109" s="2"/>
      <c r="X109" s="2"/>
      <c r="Y109" s="2"/>
      <c r="Z109" s="2"/>
    </row>
    <row r="110" spans="1:26" ht="270.75" x14ac:dyDescent="0.2">
      <c r="A110" s="3" t="s">
        <v>340</v>
      </c>
      <c r="B110" s="3" t="s">
        <v>341</v>
      </c>
      <c r="C110" s="4" t="s">
        <v>342</v>
      </c>
      <c r="D110" s="2"/>
      <c r="E110" s="2"/>
      <c r="F110" s="2"/>
      <c r="G110" s="2"/>
      <c r="H110" s="2"/>
      <c r="I110" s="2"/>
      <c r="J110" s="2"/>
      <c r="K110" s="2"/>
      <c r="L110" s="2"/>
      <c r="M110" s="2"/>
      <c r="N110" s="2"/>
      <c r="O110" s="2"/>
      <c r="P110" s="2"/>
      <c r="Q110" s="2"/>
      <c r="R110" s="3">
        <v>1</v>
      </c>
      <c r="S110" s="2"/>
      <c r="T110" s="2"/>
      <c r="U110" s="2"/>
      <c r="V110" s="2"/>
      <c r="W110" s="2"/>
      <c r="X110" s="2"/>
      <c r="Y110" s="2"/>
      <c r="Z110" s="2"/>
    </row>
    <row r="111" spans="1:26" ht="228" x14ac:dyDescent="0.2">
      <c r="A111" s="3" t="s">
        <v>343</v>
      </c>
      <c r="B111" s="3" t="s">
        <v>344</v>
      </c>
      <c r="C111" s="4" t="s">
        <v>345</v>
      </c>
      <c r="D111" s="2"/>
      <c r="E111" s="2"/>
      <c r="F111" s="3">
        <v>1</v>
      </c>
      <c r="G111" s="2"/>
      <c r="H111" s="2"/>
      <c r="I111" s="2"/>
      <c r="J111" s="2"/>
      <c r="K111" s="2"/>
      <c r="L111" s="2"/>
      <c r="M111" s="2"/>
      <c r="N111" s="2"/>
      <c r="O111" s="2"/>
      <c r="P111" s="2"/>
      <c r="Q111" s="2"/>
      <c r="R111" s="3">
        <v>1</v>
      </c>
      <c r="S111" s="2"/>
      <c r="T111" s="2"/>
      <c r="U111" s="2"/>
      <c r="V111" s="2"/>
      <c r="W111" s="2"/>
      <c r="X111" s="2"/>
      <c r="Y111" s="2"/>
      <c r="Z111" s="2"/>
    </row>
    <row r="112" spans="1:26" ht="142.5" x14ac:dyDescent="0.2">
      <c r="A112" s="3" t="s">
        <v>346</v>
      </c>
      <c r="B112" s="3" t="s">
        <v>347</v>
      </c>
      <c r="C112" s="4" t="s">
        <v>348</v>
      </c>
      <c r="D112" s="2"/>
      <c r="E112" s="2"/>
      <c r="F112" s="3">
        <v>1</v>
      </c>
      <c r="G112" s="2"/>
      <c r="H112" s="2"/>
      <c r="I112" s="2"/>
      <c r="J112" s="2"/>
      <c r="K112" s="2"/>
      <c r="L112" s="2"/>
      <c r="M112" s="2"/>
      <c r="N112" s="2"/>
      <c r="O112" s="2"/>
      <c r="P112" s="2"/>
      <c r="Q112" s="2"/>
      <c r="R112" s="3">
        <v>1</v>
      </c>
      <c r="S112" s="2"/>
      <c r="T112" s="2"/>
      <c r="U112" s="2"/>
      <c r="V112" s="2"/>
      <c r="W112" s="2"/>
      <c r="X112" s="2"/>
      <c r="Y112" s="2"/>
      <c r="Z112" s="2"/>
    </row>
    <row r="113" spans="1:26" ht="285" x14ac:dyDescent="0.2">
      <c r="A113" s="3" t="s">
        <v>349</v>
      </c>
      <c r="B113" s="3" t="s">
        <v>350</v>
      </c>
      <c r="C113" s="4" t="s">
        <v>351</v>
      </c>
      <c r="D113" s="2"/>
      <c r="E113" s="3">
        <v>1</v>
      </c>
      <c r="F113" s="2"/>
      <c r="G113" s="2"/>
      <c r="H113" s="2"/>
      <c r="I113" s="5">
        <v>1</v>
      </c>
      <c r="J113" s="2"/>
      <c r="K113" s="2"/>
      <c r="L113" s="2"/>
      <c r="M113" s="3">
        <v>1</v>
      </c>
      <c r="N113" s="2"/>
      <c r="O113" s="2"/>
      <c r="P113" s="2"/>
      <c r="Q113" s="2"/>
      <c r="R113" s="3">
        <v>1</v>
      </c>
      <c r="S113" s="2"/>
      <c r="T113" s="2"/>
      <c r="U113" s="2"/>
      <c r="V113" s="2"/>
      <c r="W113" s="2"/>
      <c r="X113" s="2"/>
      <c r="Y113" s="2"/>
      <c r="Z113" s="2"/>
    </row>
    <row r="114" spans="1:26" ht="142.5" x14ac:dyDescent="0.2">
      <c r="A114" s="3" t="s">
        <v>352</v>
      </c>
      <c r="B114" s="3" t="s">
        <v>353</v>
      </c>
      <c r="C114" s="4" t="s">
        <v>354</v>
      </c>
      <c r="D114" s="2"/>
      <c r="E114" s="2"/>
      <c r="F114" s="2"/>
      <c r="G114" s="2"/>
      <c r="H114" s="2"/>
      <c r="I114" s="2"/>
      <c r="J114" s="2"/>
      <c r="K114" s="2"/>
      <c r="L114" s="2"/>
      <c r="M114" s="2"/>
      <c r="N114" s="2"/>
      <c r="O114" s="2"/>
      <c r="P114" s="2"/>
      <c r="Q114" s="2"/>
      <c r="R114" s="3">
        <v>1</v>
      </c>
      <c r="S114" s="2"/>
      <c r="T114" s="2"/>
      <c r="U114" s="2"/>
      <c r="V114" s="2"/>
      <c r="W114" s="2"/>
      <c r="X114" s="2"/>
      <c r="Y114" s="2"/>
      <c r="Z114" s="2"/>
    </row>
    <row r="115" spans="1:26" ht="342" x14ac:dyDescent="0.2">
      <c r="A115" s="3" t="s">
        <v>355</v>
      </c>
      <c r="B115" s="3" t="s">
        <v>356</v>
      </c>
      <c r="C115" s="4" t="s">
        <v>357</v>
      </c>
      <c r="D115" s="2"/>
      <c r="E115" s="2"/>
      <c r="F115" s="3">
        <v>1</v>
      </c>
      <c r="G115" s="2"/>
      <c r="H115" s="2"/>
      <c r="I115" s="5">
        <v>1</v>
      </c>
      <c r="J115" s="2"/>
      <c r="K115" s="2"/>
      <c r="L115" s="2"/>
      <c r="M115" s="2"/>
      <c r="N115" s="2"/>
      <c r="O115" s="2"/>
      <c r="P115" s="2"/>
      <c r="Q115" s="3">
        <v>1</v>
      </c>
      <c r="R115" s="3">
        <v>1</v>
      </c>
      <c r="S115" s="2"/>
      <c r="T115" s="2"/>
      <c r="U115" s="2"/>
      <c r="V115" s="2"/>
      <c r="W115" s="2"/>
      <c r="X115" s="2"/>
      <c r="Y115" s="2"/>
      <c r="Z115" s="2"/>
    </row>
    <row r="116" spans="1:26" ht="185.25" x14ac:dyDescent="0.2">
      <c r="A116" s="3" t="s">
        <v>358</v>
      </c>
      <c r="B116" s="3" t="s">
        <v>359</v>
      </c>
      <c r="C116" s="4" t="s">
        <v>360</v>
      </c>
      <c r="D116" s="2"/>
      <c r="E116" s="2"/>
      <c r="F116" s="2"/>
      <c r="G116" s="2"/>
      <c r="H116" s="2"/>
      <c r="I116" s="2"/>
      <c r="J116" s="2"/>
      <c r="K116" s="2"/>
      <c r="L116" s="2"/>
      <c r="M116" s="2"/>
      <c r="N116" s="2"/>
      <c r="O116" s="2"/>
      <c r="P116" s="3">
        <v>1</v>
      </c>
      <c r="Q116" s="2"/>
      <c r="R116" s="3">
        <v>1</v>
      </c>
      <c r="S116" s="2"/>
      <c r="T116" s="2"/>
      <c r="U116" s="2"/>
      <c r="V116" s="2"/>
      <c r="W116" s="2"/>
      <c r="X116" s="2"/>
      <c r="Y116" s="2"/>
      <c r="Z116" s="2"/>
    </row>
    <row r="117" spans="1:26" ht="213.75" x14ac:dyDescent="0.2">
      <c r="A117" s="3" t="s">
        <v>361</v>
      </c>
      <c r="B117" s="3" t="s">
        <v>362</v>
      </c>
      <c r="C117" s="4" t="s">
        <v>363</v>
      </c>
      <c r="D117" s="2"/>
      <c r="E117" s="2"/>
      <c r="F117" s="3">
        <v>1</v>
      </c>
      <c r="G117" s="2"/>
      <c r="H117" s="2"/>
      <c r="I117" s="2"/>
      <c r="J117" s="2"/>
      <c r="K117" s="2"/>
      <c r="L117" s="2"/>
      <c r="M117" s="2"/>
      <c r="N117" s="2"/>
      <c r="O117" s="2"/>
      <c r="P117" s="2"/>
      <c r="Q117" s="2"/>
      <c r="R117" s="3">
        <v>1</v>
      </c>
      <c r="S117" s="2"/>
      <c r="T117" s="2"/>
      <c r="U117" s="2"/>
      <c r="V117" s="2"/>
      <c r="W117" s="2"/>
      <c r="X117" s="2"/>
      <c r="Y117" s="2"/>
      <c r="Z117" s="2"/>
    </row>
    <row r="118" spans="1:26" ht="142.5" x14ac:dyDescent="0.2">
      <c r="A118" s="3" t="s">
        <v>364</v>
      </c>
      <c r="B118" s="3" t="s">
        <v>365</v>
      </c>
      <c r="C118" s="4" t="s">
        <v>366</v>
      </c>
      <c r="D118" s="2"/>
      <c r="E118" s="2"/>
      <c r="F118" s="3">
        <v>1</v>
      </c>
      <c r="G118" s="2"/>
      <c r="H118" s="2"/>
      <c r="I118" s="2"/>
      <c r="J118" s="3">
        <v>1</v>
      </c>
      <c r="K118" s="2"/>
      <c r="L118" s="2"/>
      <c r="M118" s="2"/>
      <c r="N118" s="2"/>
      <c r="O118" s="2"/>
      <c r="P118" s="2"/>
      <c r="Q118" s="2"/>
      <c r="R118" s="3">
        <v>1</v>
      </c>
      <c r="S118" s="2"/>
      <c r="T118" s="2"/>
      <c r="U118" s="2"/>
      <c r="V118" s="2"/>
      <c r="W118" s="2"/>
      <c r="X118" s="2"/>
      <c r="Y118" s="2"/>
      <c r="Z118" s="2"/>
    </row>
    <row r="119" spans="1:26" ht="142.5" x14ac:dyDescent="0.2">
      <c r="A119" s="3" t="s">
        <v>367</v>
      </c>
      <c r="B119" s="3" t="s">
        <v>368</v>
      </c>
      <c r="C119" s="4" t="s">
        <v>369</v>
      </c>
      <c r="D119" s="2"/>
      <c r="E119" s="2"/>
      <c r="F119" s="2"/>
      <c r="G119" s="2"/>
      <c r="H119" s="2"/>
      <c r="I119" s="2"/>
      <c r="J119" s="2"/>
      <c r="K119" s="2"/>
      <c r="L119" s="2"/>
      <c r="M119" s="2"/>
      <c r="N119" s="3">
        <v>1</v>
      </c>
      <c r="O119" s="2"/>
      <c r="P119" s="3">
        <v>1</v>
      </c>
      <c r="Q119" s="2"/>
      <c r="R119" s="3">
        <v>1</v>
      </c>
      <c r="S119" s="2"/>
      <c r="T119" s="2"/>
      <c r="U119" s="2"/>
      <c r="V119" s="2"/>
      <c r="W119" s="2"/>
      <c r="X119" s="2"/>
      <c r="Y119" s="2"/>
      <c r="Z119" s="2"/>
    </row>
    <row r="120" spans="1:26" ht="242.25" x14ac:dyDescent="0.2">
      <c r="A120" s="3" t="s">
        <v>370</v>
      </c>
      <c r="B120" s="3" t="s">
        <v>371</v>
      </c>
      <c r="C120" s="4" t="s">
        <v>372</v>
      </c>
      <c r="D120" s="2"/>
      <c r="E120" s="2"/>
      <c r="F120" s="2"/>
      <c r="G120" s="2"/>
      <c r="H120" s="2"/>
      <c r="I120" s="2"/>
      <c r="J120" s="2"/>
      <c r="K120" s="2"/>
      <c r="L120" s="2"/>
      <c r="M120" s="2"/>
      <c r="N120" s="3">
        <v>1</v>
      </c>
      <c r="O120" s="3">
        <v>1</v>
      </c>
      <c r="P120" s="3">
        <v>1</v>
      </c>
      <c r="Q120" s="2"/>
      <c r="R120" s="3">
        <v>1</v>
      </c>
      <c r="S120" s="2"/>
      <c r="T120" s="2"/>
      <c r="U120" s="2"/>
      <c r="V120" s="2"/>
      <c r="W120" s="2"/>
      <c r="X120" s="2"/>
      <c r="Y120" s="2"/>
      <c r="Z120" s="2"/>
    </row>
    <row r="121" spans="1:26" ht="256.5" x14ac:dyDescent="0.2">
      <c r="A121" s="3" t="s">
        <v>373</v>
      </c>
      <c r="B121" s="3" t="s">
        <v>374</v>
      </c>
      <c r="C121" s="4" t="s">
        <v>375</v>
      </c>
      <c r="D121" s="2"/>
      <c r="E121" s="2"/>
      <c r="F121" s="2"/>
      <c r="G121" s="2"/>
      <c r="H121" s="2"/>
      <c r="I121" s="2"/>
      <c r="J121" s="2"/>
      <c r="K121" s="2"/>
      <c r="L121" s="2"/>
      <c r="M121" s="2"/>
      <c r="N121" s="2"/>
      <c r="O121" s="2"/>
      <c r="P121" s="2"/>
      <c r="Q121" s="2"/>
      <c r="R121" s="3">
        <v>1</v>
      </c>
      <c r="S121" s="2"/>
      <c r="T121" s="2"/>
      <c r="U121" s="2"/>
      <c r="V121" s="2"/>
      <c r="W121" s="2"/>
      <c r="X121" s="2"/>
      <c r="Y121" s="2"/>
      <c r="Z121" s="2"/>
    </row>
    <row r="122" spans="1:26" ht="384.75" x14ac:dyDescent="0.2">
      <c r="A122" s="3" t="s">
        <v>376</v>
      </c>
      <c r="B122" s="3" t="s">
        <v>377</v>
      </c>
      <c r="C122" s="4" t="s">
        <v>378</v>
      </c>
      <c r="D122" s="2"/>
      <c r="E122" s="2"/>
      <c r="F122" s="2"/>
      <c r="G122" s="2"/>
      <c r="H122" s="2"/>
      <c r="I122" s="2"/>
      <c r="J122" s="2"/>
      <c r="K122" s="2"/>
      <c r="L122" s="3">
        <v>1</v>
      </c>
      <c r="M122" s="2"/>
      <c r="N122" s="3">
        <v>1</v>
      </c>
      <c r="O122" s="2"/>
      <c r="P122" s="2"/>
      <c r="Q122" s="2"/>
      <c r="R122" s="2"/>
      <c r="S122" s="2"/>
      <c r="T122" s="2"/>
      <c r="U122" s="2"/>
      <c r="V122" s="2"/>
      <c r="W122" s="2"/>
      <c r="X122" s="2"/>
      <c r="Y122" s="2"/>
      <c r="Z122" s="2"/>
    </row>
    <row r="123" spans="1:26" ht="370.5" x14ac:dyDescent="0.2">
      <c r="A123" s="3" t="s">
        <v>379</v>
      </c>
      <c r="B123" s="3" t="s">
        <v>380</v>
      </c>
      <c r="C123" s="4" t="s">
        <v>381</v>
      </c>
      <c r="D123" s="2"/>
      <c r="E123" s="2"/>
      <c r="F123" s="3">
        <v>1</v>
      </c>
      <c r="G123" s="2"/>
      <c r="H123" s="2"/>
      <c r="I123" s="2"/>
      <c r="J123" s="2"/>
      <c r="K123" s="2"/>
      <c r="L123" s="2"/>
      <c r="M123" s="2"/>
      <c r="N123" s="2"/>
      <c r="O123" s="2"/>
      <c r="P123" s="3">
        <v>1</v>
      </c>
      <c r="Q123" s="2"/>
      <c r="R123" s="3">
        <v>1</v>
      </c>
      <c r="S123" s="2"/>
      <c r="T123" s="2"/>
      <c r="U123" s="2"/>
      <c r="V123" s="2"/>
      <c r="W123" s="2"/>
      <c r="X123" s="2"/>
      <c r="Y123" s="2"/>
      <c r="Z123" s="2"/>
    </row>
    <row r="124" spans="1:26" ht="256.5" x14ac:dyDescent="0.2">
      <c r="A124" s="3" t="s">
        <v>382</v>
      </c>
      <c r="B124" s="3" t="s">
        <v>383</v>
      </c>
      <c r="C124" s="4" t="s">
        <v>384</v>
      </c>
      <c r="D124" s="2"/>
      <c r="E124" s="2"/>
      <c r="F124" s="2"/>
      <c r="G124" s="2"/>
      <c r="H124" s="2"/>
      <c r="I124" s="2"/>
      <c r="J124" s="2"/>
      <c r="K124" s="2"/>
      <c r="L124" s="2"/>
      <c r="M124" s="2"/>
      <c r="N124" s="2"/>
      <c r="O124" s="2"/>
      <c r="P124" s="2"/>
      <c r="Q124" s="2"/>
      <c r="R124" s="5">
        <v>1</v>
      </c>
      <c r="S124" s="2"/>
      <c r="T124" s="2"/>
      <c r="U124" s="2"/>
      <c r="V124" s="2"/>
      <c r="W124" s="2"/>
      <c r="X124" s="2"/>
      <c r="Y124" s="2"/>
      <c r="Z124" s="2"/>
    </row>
    <row r="125" spans="1:26" ht="142.5" x14ac:dyDescent="0.2">
      <c r="A125" s="3" t="s">
        <v>385</v>
      </c>
      <c r="B125" s="3" t="s">
        <v>386</v>
      </c>
      <c r="C125" s="4" t="s">
        <v>387</v>
      </c>
      <c r="D125" s="2"/>
      <c r="E125" s="2"/>
      <c r="F125" s="2"/>
      <c r="G125" s="2"/>
      <c r="H125" s="2"/>
      <c r="I125" s="2"/>
      <c r="J125" s="5">
        <v>1</v>
      </c>
      <c r="K125" s="2"/>
      <c r="L125" s="5">
        <v>1</v>
      </c>
      <c r="M125" s="2"/>
      <c r="N125" s="2"/>
      <c r="O125" s="2"/>
      <c r="P125" s="2"/>
      <c r="Q125" s="2"/>
      <c r="R125" s="2"/>
      <c r="S125" s="2"/>
      <c r="T125" s="2"/>
      <c r="U125" s="2"/>
      <c r="V125" s="2"/>
      <c r="W125" s="2"/>
      <c r="X125" s="2"/>
      <c r="Y125" s="2"/>
      <c r="Z125" s="2"/>
    </row>
    <row r="126" spans="1:26" ht="142.5" x14ac:dyDescent="0.2">
      <c r="A126" s="3" t="s">
        <v>388</v>
      </c>
      <c r="B126" s="3" t="s">
        <v>389</v>
      </c>
      <c r="C126" s="4" t="s">
        <v>390</v>
      </c>
      <c r="D126" s="2"/>
      <c r="E126" s="2"/>
      <c r="F126" s="2"/>
      <c r="G126" s="2"/>
      <c r="H126" s="2"/>
      <c r="I126" s="2"/>
      <c r="J126" s="2"/>
      <c r="K126" s="2"/>
      <c r="L126" s="2"/>
      <c r="M126" s="2"/>
      <c r="N126" s="2"/>
      <c r="O126" s="2"/>
      <c r="P126" s="2"/>
      <c r="Q126" s="5">
        <v>1</v>
      </c>
      <c r="R126" s="2"/>
      <c r="S126" s="2"/>
      <c r="T126" s="2"/>
      <c r="U126" s="2"/>
      <c r="V126" s="2"/>
      <c r="W126" s="2"/>
      <c r="X126" s="2"/>
      <c r="Y126" s="2"/>
      <c r="Z126" s="2"/>
    </row>
    <row r="127" spans="1:26" ht="114" x14ac:dyDescent="0.2">
      <c r="A127" s="3" t="s">
        <v>391</v>
      </c>
      <c r="B127" s="3" t="s">
        <v>392</v>
      </c>
      <c r="C127" s="6" t="s">
        <v>393</v>
      </c>
      <c r="D127" s="2"/>
      <c r="E127" s="2"/>
      <c r="F127" s="5">
        <v>1</v>
      </c>
      <c r="G127" s="2"/>
      <c r="H127" s="2"/>
      <c r="I127" s="5">
        <v>1</v>
      </c>
      <c r="J127" s="2"/>
      <c r="K127" s="2"/>
      <c r="L127" s="2"/>
      <c r="M127" s="2"/>
      <c r="N127" s="2"/>
      <c r="O127" s="2"/>
      <c r="P127" s="2"/>
      <c r="Q127" s="2"/>
      <c r="R127" s="5">
        <v>1</v>
      </c>
      <c r="S127" s="2"/>
      <c r="T127" s="2"/>
      <c r="U127" s="2"/>
      <c r="V127" s="2"/>
      <c r="W127" s="2"/>
      <c r="X127" s="2"/>
      <c r="Y127" s="2"/>
      <c r="Z127" s="2"/>
    </row>
    <row r="128" spans="1:26" ht="142.5" x14ac:dyDescent="0.2">
      <c r="A128" s="3" t="s">
        <v>394</v>
      </c>
      <c r="B128" s="3" t="s">
        <v>395</v>
      </c>
      <c r="C128" s="4" t="s">
        <v>396</v>
      </c>
      <c r="D128" s="2"/>
      <c r="E128" s="2"/>
      <c r="F128" s="2"/>
      <c r="G128" s="2"/>
      <c r="H128" s="2"/>
      <c r="I128" s="2"/>
      <c r="J128" s="2"/>
      <c r="K128" s="2"/>
      <c r="L128" s="2"/>
      <c r="M128" s="2"/>
      <c r="N128" s="2"/>
      <c r="O128" s="2"/>
      <c r="P128" s="2"/>
      <c r="Q128" s="2"/>
      <c r="R128" s="5">
        <v>1</v>
      </c>
      <c r="S128" s="2"/>
      <c r="T128" s="2"/>
      <c r="U128" s="2"/>
      <c r="V128" s="2"/>
      <c r="W128" s="2"/>
      <c r="X128" s="2"/>
      <c r="Y128" s="2"/>
      <c r="Z128" s="2"/>
    </row>
    <row r="129" spans="1:26" ht="199.5" x14ac:dyDescent="0.2">
      <c r="A129" s="3" t="s">
        <v>397</v>
      </c>
      <c r="B129" s="3" t="s">
        <v>398</v>
      </c>
      <c r="C129" s="4" t="s">
        <v>399</v>
      </c>
      <c r="D129" s="2"/>
      <c r="E129" s="2"/>
      <c r="F129" s="2"/>
      <c r="G129" s="2"/>
      <c r="H129" s="2"/>
      <c r="I129" s="2"/>
      <c r="J129" s="2"/>
      <c r="K129" s="2"/>
      <c r="L129" s="2"/>
      <c r="M129" s="2"/>
      <c r="N129" s="2"/>
      <c r="O129" s="2"/>
      <c r="P129" s="2"/>
      <c r="Q129" s="5">
        <v>1</v>
      </c>
      <c r="R129" s="2"/>
      <c r="S129" s="2"/>
      <c r="T129" s="2"/>
      <c r="U129" s="2"/>
      <c r="V129" s="2"/>
      <c r="W129" s="2"/>
      <c r="X129" s="2"/>
      <c r="Y129" s="2"/>
      <c r="Z129" s="2"/>
    </row>
    <row r="130" spans="1:26" ht="270.75" x14ac:dyDescent="0.2">
      <c r="A130" s="3" t="s">
        <v>400</v>
      </c>
      <c r="B130" s="3" t="s">
        <v>401</v>
      </c>
      <c r="C130" s="4" t="s">
        <v>402</v>
      </c>
      <c r="D130" s="2"/>
      <c r="E130" s="2"/>
      <c r="F130" s="2"/>
      <c r="G130" s="2"/>
      <c r="H130" s="2"/>
      <c r="I130" s="2"/>
      <c r="J130" s="2"/>
      <c r="K130" s="2"/>
      <c r="L130" s="2"/>
      <c r="M130" s="2"/>
      <c r="N130" s="2"/>
      <c r="O130" s="2"/>
      <c r="P130" s="2"/>
      <c r="Q130" s="2"/>
      <c r="R130" s="5">
        <v>1</v>
      </c>
      <c r="S130" s="2"/>
      <c r="T130" s="2"/>
      <c r="U130" s="2"/>
      <c r="V130" s="2"/>
      <c r="W130" s="2"/>
      <c r="X130" s="2"/>
      <c r="Y130" s="2"/>
      <c r="Z130" s="2"/>
    </row>
    <row r="131" spans="1:26" ht="142.5" x14ac:dyDescent="0.2">
      <c r="A131" s="3" t="s">
        <v>403</v>
      </c>
      <c r="B131" s="3" t="s">
        <v>404</v>
      </c>
      <c r="C131" s="4" t="s">
        <v>405</v>
      </c>
      <c r="D131" s="2"/>
      <c r="E131" s="2"/>
      <c r="F131" s="2"/>
      <c r="G131" s="2"/>
      <c r="H131" s="2"/>
      <c r="I131" s="2"/>
      <c r="J131" s="2"/>
      <c r="K131" s="2"/>
      <c r="L131" s="2"/>
      <c r="M131" s="2"/>
      <c r="N131" s="2"/>
      <c r="O131" s="2"/>
      <c r="P131" s="2"/>
      <c r="Q131" s="2"/>
      <c r="R131" s="5">
        <v>1</v>
      </c>
      <c r="S131" s="2"/>
      <c r="T131" s="2"/>
      <c r="U131" s="2"/>
      <c r="V131" s="2"/>
      <c r="W131" s="2"/>
      <c r="X131" s="2"/>
      <c r="Y131" s="2"/>
      <c r="Z131" s="2"/>
    </row>
    <row r="132" spans="1:26" ht="171" x14ac:dyDescent="0.2">
      <c r="A132" s="3" t="s">
        <v>406</v>
      </c>
      <c r="B132" s="3" t="s">
        <v>407</v>
      </c>
      <c r="C132" s="4" t="s">
        <v>408</v>
      </c>
      <c r="D132" s="2"/>
      <c r="E132" s="5">
        <v>1</v>
      </c>
      <c r="F132" s="2"/>
      <c r="G132" s="2"/>
      <c r="H132" s="2"/>
      <c r="I132" s="2"/>
      <c r="J132" s="2"/>
      <c r="K132" s="2"/>
      <c r="L132" s="5">
        <v>1</v>
      </c>
      <c r="M132" s="2"/>
      <c r="N132" s="2"/>
      <c r="O132" s="2"/>
      <c r="P132" s="2"/>
      <c r="Q132" s="2"/>
      <c r="R132" s="5">
        <v>1</v>
      </c>
      <c r="S132" s="2"/>
      <c r="T132" s="2"/>
      <c r="U132" s="2"/>
      <c r="V132" s="2"/>
      <c r="W132" s="2"/>
      <c r="X132" s="2"/>
      <c r="Y132" s="2"/>
      <c r="Z132" s="2"/>
    </row>
    <row r="133" spans="1:26" ht="313.5" x14ac:dyDescent="0.2">
      <c r="A133" s="3" t="s">
        <v>409</v>
      </c>
      <c r="B133" s="3" t="s">
        <v>410</v>
      </c>
      <c r="C133" s="4" t="s">
        <v>411</v>
      </c>
      <c r="D133" s="2"/>
      <c r="E133" s="2"/>
      <c r="F133" s="5">
        <v>1</v>
      </c>
      <c r="G133" s="2"/>
      <c r="H133" s="2"/>
      <c r="I133" s="2"/>
      <c r="J133" s="2"/>
      <c r="K133" s="2"/>
      <c r="L133" s="2"/>
      <c r="M133" s="2"/>
      <c r="N133" s="2"/>
      <c r="O133" s="2"/>
      <c r="P133" s="2"/>
      <c r="Q133" s="2"/>
      <c r="R133" s="5">
        <v>1</v>
      </c>
      <c r="S133" s="2"/>
      <c r="T133" s="2"/>
      <c r="U133" s="2"/>
      <c r="V133" s="2"/>
      <c r="W133" s="2"/>
      <c r="X133" s="2"/>
      <c r="Y133" s="2"/>
      <c r="Z133" s="2"/>
    </row>
    <row r="134" spans="1:26" ht="142.5" x14ac:dyDescent="0.2">
      <c r="A134" s="3" t="s">
        <v>412</v>
      </c>
      <c r="B134" s="3" t="s">
        <v>413</v>
      </c>
      <c r="C134" s="4" t="s">
        <v>414</v>
      </c>
      <c r="D134" s="2"/>
      <c r="E134" s="2"/>
      <c r="F134" s="2"/>
      <c r="G134" s="2"/>
      <c r="H134" s="2"/>
      <c r="I134" s="5">
        <v>1</v>
      </c>
      <c r="J134" s="2"/>
      <c r="K134" s="2"/>
      <c r="L134" s="2"/>
      <c r="M134" s="2"/>
      <c r="N134" s="2"/>
      <c r="O134" s="2"/>
      <c r="P134" s="2"/>
      <c r="Q134" s="2"/>
      <c r="R134" s="5">
        <v>1</v>
      </c>
      <c r="S134" s="2"/>
      <c r="T134" s="2"/>
      <c r="U134" s="2"/>
      <c r="V134" s="2"/>
      <c r="W134" s="2"/>
      <c r="X134" s="2"/>
      <c r="Y134" s="2"/>
      <c r="Z134" s="2"/>
    </row>
    <row r="135" spans="1:26" ht="156.75" x14ac:dyDescent="0.2">
      <c r="A135" s="3" t="s">
        <v>415</v>
      </c>
      <c r="B135" s="3" t="s">
        <v>416</v>
      </c>
      <c r="C135" s="4" t="s">
        <v>417</v>
      </c>
      <c r="D135" s="2"/>
      <c r="E135" s="2"/>
      <c r="F135" s="2"/>
      <c r="G135" s="2"/>
      <c r="H135" s="2"/>
      <c r="I135" s="2"/>
      <c r="J135" s="2"/>
      <c r="K135" s="2"/>
      <c r="L135" s="2"/>
      <c r="M135" s="2"/>
      <c r="N135" s="2"/>
      <c r="O135" s="2"/>
      <c r="P135" s="2"/>
      <c r="Q135" s="2"/>
      <c r="R135" s="5">
        <v>1</v>
      </c>
      <c r="S135" s="2"/>
      <c r="T135" s="2"/>
      <c r="U135" s="2"/>
      <c r="V135" s="2"/>
      <c r="W135" s="2"/>
      <c r="X135" s="2"/>
      <c r="Y135" s="2"/>
      <c r="Z135" s="2"/>
    </row>
    <row r="136" spans="1:26" ht="213.75" x14ac:dyDescent="0.2">
      <c r="A136" s="3" t="s">
        <v>418</v>
      </c>
      <c r="B136" s="3" t="s">
        <v>419</v>
      </c>
      <c r="C136" s="4" t="s">
        <v>420</v>
      </c>
      <c r="D136" s="2"/>
      <c r="E136" s="2"/>
      <c r="F136" s="5">
        <v>1</v>
      </c>
      <c r="G136" s="2"/>
      <c r="H136" s="2"/>
      <c r="I136" s="2"/>
      <c r="J136" s="2"/>
      <c r="K136" s="2"/>
      <c r="L136" s="2"/>
      <c r="M136" s="2"/>
      <c r="N136" s="2"/>
      <c r="O136" s="2"/>
      <c r="P136" s="2"/>
      <c r="Q136" s="2"/>
      <c r="R136" s="5">
        <v>1</v>
      </c>
      <c r="S136" s="2"/>
      <c r="T136" s="2"/>
      <c r="U136" s="2"/>
      <c r="V136" s="2"/>
      <c r="W136" s="2"/>
      <c r="X136" s="2"/>
      <c r="Y136" s="2"/>
      <c r="Z136" s="2"/>
    </row>
  </sheetData>
  <autoFilter ref="A1:Z136" xr:uid="{00000000-0009-0000-0000-000000000000}"/>
  <hyperlinks>
    <hyperlink ref="C2" r:id="rId1" xr:uid="{00000000-0004-0000-0000-000000000000}"/>
    <hyperlink ref="C3" r:id="rId2" xr:uid="{00000000-0004-0000-0000-000001000000}"/>
    <hyperlink ref="C4" r:id="rId3" xr:uid="{00000000-0004-0000-0000-000002000000}"/>
    <hyperlink ref="C5" r:id="rId4" xr:uid="{00000000-0004-0000-0000-000003000000}"/>
    <hyperlink ref="C6" r:id="rId5" xr:uid="{00000000-0004-0000-0000-000004000000}"/>
    <hyperlink ref="C7" r:id="rId6" xr:uid="{00000000-0004-0000-0000-000005000000}"/>
    <hyperlink ref="C8" r:id="rId7" location="resources" xr:uid="{00000000-0004-0000-0000-000006000000}"/>
    <hyperlink ref="C9" r:id="rId8" xr:uid="{00000000-0004-0000-0000-000007000000}"/>
    <hyperlink ref="C10" r:id="rId9" xr:uid="{00000000-0004-0000-0000-000008000000}"/>
    <hyperlink ref="C11" r:id="rId10" xr:uid="{00000000-0004-0000-0000-000009000000}"/>
    <hyperlink ref="C12" r:id="rId11" xr:uid="{00000000-0004-0000-0000-00000A000000}"/>
    <hyperlink ref="C13" r:id="rId12" xr:uid="{00000000-0004-0000-0000-00000B000000}"/>
    <hyperlink ref="C14" r:id="rId13" xr:uid="{00000000-0004-0000-0000-00000C000000}"/>
    <hyperlink ref="C15" r:id="rId14" xr:uid="{00000000-0004-0000-0000-00000D000000}"/>
    <hyperlink ref="C16" r:id="rId15" xr:uid="{00000000-0004-0000-0000-00000E000000}"/>
    <hyperlink ref="C17" r:id="rId16" xr:uid="{00000000-0004-0000-0000-00000F000000}"/>
    <hyperlink ref="C18" r:id="rId17" xr:uid="{00000000-0004-0000-0000-000010000000}"/>
    <hyperlink ref="C19" r:id="rId18" xr:uid="{00000000-0004-0000-0000-000011000000}"/>
    <hyperlink ref="C20" r:id="rId19" xr:uid="{00000000-0004-0000-0000-000012000000}"/>
    <hyperlink ref="C21" r:id="rId20" xr:uid="{00000000-0004-0000-0000-000013000000}"/>
    <hyperlink ref="C22" r:id="rId21" xr:uid="{00000000-0004-0000-0000-000014000000}"/>
    <hyperlink ref="C23" r:id="rId22" xr:uid="{00000000-0004-0000-0000-000015000000}"/>
    <hyperlink ref="C24" r:id="rId23" xr:uid="{00000000-0004-0000-0000-000016000000}"/>
    <hyperlink ref="C25" r:id="rId24" xr:uid="{00000000-0004-0000-0000-000017000000}"/>
    <hyperlink ref="C26" r:id="rId25" xr:uid="{00000000-0004-0000-0000-000018000000}"/>
    <hyperlink ref="C27" r:id="rId26" xr:uid="{00000000-0004-0000-0000-000019000000}"/>
    <hyperlink ref="C28" r:id="rId27" xr:uid="{00000000-0004-0000-0000-00001A000000}"/>
    <hyperlink ref="C29" r:id="rId28" xr:uid="{00000000-0004-0000-0000-00001B000000}"/>
    <hyperlink ref="C30" r:id="rId29" xr:uid="{00000000-0004-0000-0000-00001C000000}"/>
    <hyperlink ref="C31" r:id="rId30" xr:uid="{00000000-0004-0000-0000-00001D000000}"/>
    <hyperlink ref="C32" r:id="rId31" xr:uid="{00000000-0004-0000-0000-00001E000000}"/>
    <hyperlink ref="C33" r:id="rId32" xr:uid="{00000000-0004-0000-0000-00001F000000}"/>
    <hyperlink ref="C34" r:id="rId33" xr:uid="{00000000-0004-0000-0000-000020000000}"/>
    <hyperlink ref="C35" r:id="rId34" xr:uid="{00000000-0004-0000-0000-000021000000}"/>
    <hyperlink ref="C36" r:id="rId35" xr:uid="{00000000-0004-0000-0000-000022000000}"/>
    <hyperlink ref="C37" r:id="rId36" xr:uid="{00000000-0004-0000-0000-000023000000}"/>
    <hyperlink ref="C38" r:id="rId37" xr:uid="{00000000-0004-0000-0000-000024000000}"/>
    <hyperlink ref="C39" r:id="rId38" xr:uid="{00000000-0004-0000-0000-000025000000}"/>
    <hyperlink ref="C40" r:id="rId39" xr:uid="{00000000-0004-0000-0000-000026000000}"/>
    <hyperlink ref="C41" r:id="rId40" xr:uid="{00000000-0004-0000-0000-000027000000}"/>
    <hyperlink ref="C42" r:id="rId41" xr:uid="{00000000-0004-0000-0000-000028000000}"/>
    <hyperlink ref="C43" r:id="rId42" xr:uid="{00000000-0004-0000-0000-000029000000}"/>
    <hyperlink ref="C44" r:id="rId43" xr:uid="{00000000-0004-0000-0000-00002A000000}"/>
    <hyperlink ref="C45" r:id="rId44" xr:uid="{00000000-0004-0000-0000-00002B000000}"/>
    <hyperlink ref="C46" r:id="rId45" xr:uid="{00000000-0004-0000-0000-00002C000000}"/>
    <hyperlink ref="C47" r:id="rId46" xr:uid="{00000000-0004-0000-0000-00002D000000}"/>
    <hyperlink ref="C48" r:id="rId47" xr:uid="{00000000-0004-0000-0000-00002E000000}"/>
    <hyperlink ref="C49" r:id="rId48" xr:uid="{00000000-0004-0000-0000-00002F000000}"/>
    <hyperlink ref="C50" r:id="rId49" xr:uid="{00000000-0004-0000-0000-000030000000}"/>
    <hyperlink ref="C51" r:id="rId50" xr:uid="{00000000-0004-0000-0000-000031000000}"/>
    <hyperlink ref="C52" r:id="rId51" xr:uid="{00000000-0004-0000-0000-000032000000}"/>
    <hyperlink ref="C53" r:id="rId52" xr:uid="{00000000-0004-0000-0000-000033000000}"/>
    <hyperlink ref="C54" r:id="rId53" xr:uid="{00000000-0004-0000-0000-000034000000}"/>
    <hyperlink ref="C55" r:id="rId54" xr:uid="{00000000-0004-0000-0000-000035000000}"/>
    <hyperlink ref="C56" r:id="rId55" xr:uid="{00000000-0004-0000-0000-000036000000}"/>
    <hyperlink ref="C57" r:id="rId56" xr:uid="{00000000-0004-0000-0000-000037000000}"/>
    <hyperlink ref="C58" r:id="rId57" xr:uid="{00000000-0004-0000-0000-000038000000}"/>
    <hyperlink ref="C59" r:id="rId58" xr:uid="{00000000-0004-0000-0000-000039000000}"/>
    <hyperlink ref="C60" r:id="rId59" xr:uid="{00000000-0004-0000-0000-00003A000000}"/>
    <hyperlink ref="C61" r:id="rId60" xr:uid="{00000000-0004-0000-0000-00003B000000}"/>
    <hyperlink ref="C62" r:id="rId61" xr:uid="{00000000-0004-0000-0000-00003C000000}"/>
    <hyperlink ref="C63" r:id="rId62" xr:uid="{00000000-0004-0000-0000-00003D000000}"/>
    <hyperlink ref="C64" r:id="rId63" xr:uid="{00000000-0004-0000-0000-00003E000000}"/>
    <hyperlink ref="C65" r:id="rId64" xr:uid="{00000000-0004-0000-0000-00003F000000}"/>
    <hyperlink ref="C66" r:id="rId65" xr:uid="{00000000-0004-0000-0000-000040000000}"/>
    <hyperlink ref="C67" r:id="rId66" xr:uid="{00000000-0004-0000-0000-000041000000}"/>
    <hyperlink ref="C68" r:id="rId67" xr:uid="{00000000-0004-0000-0000-000042000000}"/>
    <hyperlink ref="C69" r:id="rId68" xr:uid="{00000000-0004-0000-0000-000043000000}"/>
    <hyperlink ref="C70" r:id="rId69" xr:uid="{00000000-0004-0000-0000-000044000000}"/>
    <hyperlink ref="C71" r:id="rId70" xr:uid="{00000000-0004-0000-0000-000045000000}"/>
    <hyperlink ref="C72" r:id="rId71" xr:uid="{00000000-0004-0000-0000-000046000000}"/>
    <hyperlink ref="C73" r:id="rId72" xr:uid="{00000000-0004-0000-0000-000047000000}"/>
    <hyperlink ref="C74" r:id="rId73" xr:uid="{00000000-0004-0000-0000-000048000000}"/>
    <hyperlink ref="C75" r:id="rId74" xr:uid="{00000000-0004-0000-0000-000049000000}"/>
    <hyperlink ref="C76" r:id="rId75" xr:uid="{00000000-0004-0000-0000-00004A000000}"/>
    <hyperlink ref="C77" r:id="rId76" xr:uid="{00000000-0004-0000-0000-00004B000000}"/>
    <hyperlink ref="C78" r:id="rId77" xr:uid="{00000000-0004-0000-0000-00004C000000}"/>
    <hyperlink ref="C79" r:id="rId78" xr:uid="{00000000-0004-0000-0000-00004D000000}"/>
    <hyperlink ref="C80" r:id="rId79" xr:uid="{00000000-0004-0000-0000-00004E000000}"/>
    <hyperlink ref="C81" r:id="rId80" xr:uid="{00000000-0004-0000-0000-00004F000000}"/>
    <hyperlink ref="C82" r:id="rId81" xr:uid="{00000000-0004-0000-0000-000050000000}"/>
    <hyperlink ref="C83" r:id="rId82" xr:uid="{00000000-0004-0000-0000-000051000000}"/>
    <hyperlink ref="C84" r:id="rId83" xr:uid="{00000000-0004-0000-0000-000052000000}"/>
    <hyperlink ref="C85" r:id="rId84" xr:uid="{00000000-0004-0000-0000-000053000000}"/>
    <hyperlink ref="C86" r:id="rId85" xr:uid="{00000000-0004-0000-0000-000054000000}"/>
    <hyperlink ref="C87" r:id="rId86" xr:uid="{00000000-0004-0000-0000-000055000000}"/>
    <hyperlink ref="C88" r:id="rId87" xr:uid="{00000000-0004-0000-0000-000056000000}"/>
    <hyperlink ref="C89" r:id="rId88" xr:uid="{00000000-0004-0000-0000-000057000000}"/>
    <hyperlink ref="C90" r:id="rId89" xr:uid="{00000000-0004-0000-0000-000058000000}"/>
    <hyperlink ref="C91" r:id="rId90" xr:uid="{00000000-0004-0000-0000-000059000000}"/>
    <hyperlink ref="C92" r:id="rId91" xr:uid="{00000000-0004-0000-0000-00005A000000}"/>
    <hyperlink ref="C93" r:id="rId92" xr:uid="{00000000-0004-0000-0000-00005B000000}"/>
    <hyperlink ref="C94" r:id="rId93" xr:uid="{00000000-0004-0000-0000-00005C000000}"/>
    <hyperlink ref="C95" r:id="rId94" xr:uid="{00000000-0004-0000-0000-00005D000000}"/>
    <hyperlink ref="C96" r:id="rId95" xr:uid="{00000000-0004-0000-0000-00005E000000}"/>
    <hyperlink ref="C97" r:id="rId96" xr:uid="{00000000-0004-0000-0000-00005F000000}"/>
    <hyperlink ref="C98" r:id="rId97" xr:uid="{00000000-0004-0000-0000-000060000000}"/>
    <hyperlink ref="C99" r:id="rId98" xr:uid="{00000000-0004-0000-0000-000061000000}"/>
    <hyperlink ref="C100" r:id="rId99" xr:uid="{00000000-0004-0000-0000-000062000000}"/>
    <hyperlink ref="C101" r:id="rId100" xr:uid="{00000000-0004-0000-0000-000063000000}"/>
    <hyperlink ref="C102" r:id="rId101" xr:uid="{00000000-0004-0000-0000-000064000000}"/>
    <hyperlink ref="C103" r:id="rId102" xr:uid="{00000000-0004-0000-0000-000065000000}"/>
    <hyperlink ref="C104" r:id="rId103" xr:uid="{00000000-0004-0000-0000-000066000000}"/>
    <hyperlink ref="C105" r:id="rId104" xr:uid="{00000000-0004-0000-0000-000067000000}"/>
    <hyperlink ref="C106" r:id="rId105" xr:uid="{00000000-0004-0000-0000-000068000000}"/>
    <hyperlink ref="C107" r:id="rId106" xr:uid="{00000000-0004-0000-0000-000069000000}"/>
    <hyperlink ref="C108" r:id="rId107" xr:uid="{00000000-0004-0000-0000-00006A000000}"/>
    <hyperlink ref="C109" r:id="rId108" xr:uid="{00000000-0004-0000-0000-00006B000000}"/>
    <hyperlink ref="C110" r:id="rId109" xr:uid="{00000000-0004-0000-0000-00006C000000}"/>
    <hyperlink ref="C111" r:id="rId110" xr:uid="{00000000-0004-0000-0000-00006D000000}"/>
    <hyperlink ref="C112" r:id="rId111" xr:uid="{00000000-0004-0000-0000-00006E000000}"/>
    <hyperlink ref="C113" r:id="rId112" xr:uid="{00000000-0004-0000-0000-00006F000000}"/>
    <hyperlink ref="C114" r:id="rId113" xr:uid="{00000000-0004-0000-0000-000070000000}"/>
    <hyperlink ref="C115" r:id="rId114" xr:uid="{00000000-0004-0000-0000-000071000000}"/>
    <hyperlink ref="C116" r:id="rId115" xr:uid="{00000000-0004-0000-0000-000072000000}"/>
    <hyperlink ref="C117" r:id="rId116" xr:uid="{00000000-0004-0000-0000-000073000000}"/>
    <hyperlink ref="C118" r:id="rId117" xr:uid="{00000000-0004-0000-0000-000074000000}"/>
    <hyperlink ref="C119" r:id="rId118" xr:uid="{00000000-0004-0000-0000-000075000000}"/>
    <hyperlink ref="C120" r:id="rId119" xr:uid="{00000000-0004-0000-0000-000076000000}"/>
    <hyperlink ref="C121" r:id="rId120" xr:uid="{00000000-0004-0000-0000-000077000000}"/>
    <hyperlink ref="C122" r:id="rId121" xr:uid="{00000000-0004-0000-0000-000078000000}"/>
    <hyperlink ref="C123" r:id="rId122" xr:uid="{00000000-0004-0000-0000-000079000000}"/>
    <hyperlink ref="C124" r:id="rId123" xr:uid="{00000000-0004-0000-0000-00007A000000}"/>
    <hyperlink ref="C125" r:id="rId124" xr:uid="{00000000-0004-0000-0000-00007B000000}"/>
    <hyperlink ref="C126" r:id="rId125" xr:uid="{00000000-0004-0000-0000-00007C000000}"/>
    <hyperlink ref="C127" r:id="rId126" xr:uid="{00000000-0004-0000-0000-00007D000000}"/>
    <hyperlink ref="C128" r:id="rId127" xr:uid="{00000000-0004-0000-0000-00007E000000}"/>
    <hyperlink ref="C129" r:id="rId128" xr:uid="{00000000-0004-0000-0000-00007F000000}"/>
    <hyperlink ref="C130" r:id="rId129" xr:uid="{00000000-0004-0000-0000-000080000000}"/>
    <hyperlink ref="C131" r:id="rId130" xr:uid="{00000000-0004-0000-0000-000081000000}"/>
    <hyperlink ref="C132" r:id="rId131" xr:uid="{00000000-0004-0000-0000-000082000000}"/>
    <hyperlink ref="C133" r:id="rId132" xr:uid="{00000000-0004-0000-0000-000083000000}"/>
    <hyperlink ref="C134" r:id="rId133" xr:uid="{00000000-0004-0000-0000-000084000000}"/>
    <hyperlink ref="C135" r:id="rId134" xr:uid="{00000000-0004-0000-0000-000085000000}"/>
    <hyperlink ref="C136" r:id="rId135" xr:uid="{00000000-0004-0000-0000-000086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15"/>
  <sheetViews>
    <sheetView workbookViewId="0"/>
  </sheetViews>
  <sheetFormatPr defaultColWidth="12.5703125" defaultRowHeight="15.75" customHeight="1" x14ac:dyDescent="0.2"/>
  <sheetData>
    <row r="1" spans="1:1" x14ac:dyDescent="0.2">
      <c r="A1" s="7" t="s">
        <v>3</v>
      </c>
    </row>
    <row r="2" spans="1:1" x14ac:dyDescent="0.2">
      <c r="A2" s="7" t="s">
        <v>4</v>
      </c>
    </row>
    <row r="3" spans="1:1" x14ac:dyDescent="0.2">
      <c r="A3" s="7" t="s">
        <v>5</v>
      </c>
    </row>
    <row r="4" spans="1:1" x14ac:dyDescent="0.2">
      <c r="A4" s="7" t="s">
        <v>6</v>
      </c>
    </row>
    <row r="5" spans="1:1" x14ac:dyDescent="0.2">
      <c r="A5" s="7" t="s">
        <v>7</v>
      </c>
    </row>
    <row r="6" spans="1:1" x14ac:dyDescent="0.2">
      <c r="A6" s="7" t="s">
        <v>8</v>
      </c>
    </row>
    <row r="7" spans="1:1" x14ac:dyDescent="0.2">
      <c r="A7" s="7" t="s">
        <v>9</v>
      </c>
    </row>
    <row r="8" spans="1:1" x14ac:dyDescent="0.2">
      <c r="A8" s="7" t="s">
        <v>10</v>
      </c>
    </row>
    <row r="9" spans="1:1" x14ac:dyDescent="0.2">
      <c r="A9" s="7" t="s">
        <v>11</v>
      </c>
    </row>
    <row r="10" spans="1:1" x14ac:dyDescent="0.2">
      <c r="A10" s="7" t="s">
        <v>12</v>
      </c>
    </row>
    <row r="11" spans="1:1" x14ac:dyDescent="0.2">
      <c r="A11" s="7" t="s">
        <v>13</v>
      </c>
    </row>
    <row r="12" spans="1:1" x14ac:dyDescent="0.2">
      <c r="A12" s="7" t="s">
        <v>14</v>
      </c>
    </row>
    <row r="13" spans="1:1" x14ac:dyDescent="0.2">
      <c r="A13" s="7" t="s">
        <v>15</v>
      </c>
    </row>
    <row r="14" spans="1:1" x14ac:dyDescent="0.2">
      <c r="A14" s="7" t="s">
        <v>16</v>
      </c>
    </row>
    <row r="15" spans="1:1" x14ac:dyDescent="0.2">
      <c r="A15" s="7"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998"/>
  <sheetViews>
    <sheetView workbookViewId="0"/>
  </sheetViews>
  <sheetFormatPr defaultColWidth="12.5703125" defaultRowHeight="15.75" customHeight="1" x14ac:dyDescent="0.2"/>
  <cols>
    <col min="2" max="3" width="29.7109375" customWidth="1"/>
    <col min="4" max="4" width="43.140625" customWidth="1"/>
    <col min="5" max="5" width="38" customWidth="1"/>
    <col min="6" max="8" width="47.5703125" customWidth="1"/>
  </cols>
  <sheetData>
    <row r="1" spans="1:29" ht="15.75" customHeight="1" x14ac:dyDescent="0.25">
      <c r="A1" s="8"/>
      <c r="B1" s="9"/>
      <c r="C1" s="20"/>
      <c r="D1" s="21"/>
      <c r="E1" s="21"/>
      <c r="F1" s="2"/>
      <c r="G1" s="2"/>
      <c r="H1" s="2"/>
      <c r="I1" s="2"/>
      <c r="J1" s="2"/>
      <c r="K1" s="2"/>
      <c r="L1" s="2"/>
      <c r="M1" s="2"/>
      <c r="N1" s="2"/>
      <c r="O1" s="2"/>
      <c r="P1" s="2"/>
      <c r="Q1" s="2"/>
      <c r="R1" s="2"/>
      <c r="S1" s="2"/>
      <c r="T1" s="2"/>
      <c r="U1" s="2"/>
      <c r="V1" s="2"/>
      <c r="W1" s="2"/>
      <c r="X1" s="2"/>
      <c r="Y1" s="2"/>
      <c r="Z1" s="2"/>
      <c r="AA1" s="2"/>
      <c r="AB1" s="2"/>
      <c r="AC1" s="2"/>
    </row>
    <row r="2" spans="1:29" ht="15.75" customHeight="1" x14ac:dyDescent="0.25">
      <c r="A2" s="8"/>
      <c r="B2" s="8"/>
      <c r="C2" s="8"/>
      <c r="D2" s="8"/>
      <c r="E2" s="8"/>
      <c r="F2" s="2"/>
      <c r="G2" s="2"/>
      <c r="H2" s="2"/>
      <c r="I2" s="2"/>
      <c r="J2" s="2"/>
      <c r="K2" s="2"/>
      <c r="L2" s="2"/>
      <c r="M2" s="2"/>
      <c r="N2" s="2"/>
      <c r="O2" s="2"/>
      <c r="P2" s="2"/>
      <c r="Q2" s="2"/>
      <c r="R2" s="2"/>
      <c r="S2" s="2"/>
      <c r="T2" s="2"/>
      <c r="U2" s="2"/>
      <c r="V2" s="2"/>
      <c r="W2" s="2"/>
      <c r="X2" s="2"/>
      <c r="Y2" s="2"/>
      <c r="Z2" s="2"/>
      <c r="AA2" s="2"/>
      <c r="AB2" s="2"/>
      <c r="AC2" s="2"/>
    </row>
    <row r="3" spans="1:29" ht="15.75" customHeight="1" x14ac:dyDescent="0.25">
      <c r="A3" s="8"/>
      <c r="B3" s="8"/>
      <c r="C3" s="8"/>
      <c r="D3" s="8"/>
      <c r="E3" s="8"/>
      <c r="F3" s="2"/>
      <c r="G3" s="2"/>
      <c r="H3" s="2"/>
      <c r="I3" s="2"/>
      <c r="J3" s="2"/>
      <c r="K3" s="2"/>
      <c r="L3" s="2"/>
      <c r="M3" s="2"/>
      <c r="N3" s="2"/>
      <c r="O3" s="2"/>
      <c r="P3" s="2"/>
      <c r="Q3" s="2"/>
      <c r="R3" s="2"/>
      <c r="S3" s="2"/>
      <c r="T3" s="2"/>
      <c r="U3" s="2"/>
      <c r="V3" s="2"/>
      <c r="W3" s="2"/>
      <c r="X3" s="2"/>
      <c r="Y3" s="2"/>
      <c r="Z3" s="2"/>
      <c r="AA3" s="2"/>
      <c r="AB3" s="2"/>
      <c r="AC3" s="2"/>
    </row>
    <row r="4" spans="1:29" ht="15.75" customHeight="1" x14ac:dyDescent="0.25">
      <c r="A4" s="10"/>
      <c r="B4" s="11" t="s">
        <v>421</v>
      </c>
      <c r="C4" s="11" t="s">
        <v>422</v>
      </c>
      <c r="D4" s="11" t="s">
        <v>423</v>
      </c>
      <c r="E4" s="11" t="s">
        <v>424</v>
      </c>
      <c r="F4" s="5" t="s">
        <v>425</v>
      </c>
      <c r="G4" s="5" t="s">
        <v>426</v>
      </c>
      <c r="H4" s="5" t="s">
        <v>427</v>
      </c>
      <c r="I4" s="2"/>
      <c r="J4" s="2"/>
      <c r="K4" s="2"/>
      <c r="L4" s="2"/>
      <c r="M4" s="2"/>
      <c r="N4" s="2"/>
      <c r="O4" s="2"/>
      <c r="P4" s="2"/>
      <c r="Q4" s="2"/>
      <c r="R4" s="2"/>
      <c r="S4" s="2"/>
      <c r="T4" s="2"/>
      <c r="U4" s="2"/>
      <c r="V4" s="2"/>
      <c r="W4" s="2"/>
      <c r="X4" s="2"/>
      <c r="Y4" s="2"/>
      <c r="Z4" s="2"/>
      <c r="AA4" s="2"/>
      <c r="AB4" s="2"/>
      <c r="AC4" s="2"/>
    </row>
    <row r="5" spans="1:29" ht="15.75" customHeight="1" x14ac:dyDescent="0.25">
      <c r="A5" s="8"/>
      <c r="B5" s="12" t="s">
        <v>428</v>
      </c>
      <c r="C5" s="9" t="s">
        <v>429</v>
      </c>
      <c r="D5" s="9" t="s">
        <v>430</v>
      </c>
      <c r="E5" s="9" t="s">
        <v>431</v>
      </c>
      <c r="F5" s="13">
        <f ca="1">IFERROR(__xludf.DUMMYFUNCTION("INDEX(SPLIT(E5,"", "",FALSE), 1)"),-26.1108935921947)</f>
        <v>-26.110893592194699</v>
      </c>
      <c r="G5" s="13">
        <f ca="1">IFERROR(__xludf.DUMMYFUNCTION("INDEX(SPLIT(E5,"", "",FALSE), 2)"),28.0598189604646)</f>
        <v>28.0598189604646</v>
      </c>
      <c r="H5" s="14" t="s">
        <v>432</v>
      </c>
      <c r="I5" s="2"/>
      <c r="J5" s="2"/>
      <c r="K5" s="2"/>
      <c r="L5" s="2"/>
      <c r="M5" s="2"/>
      <c r="N5" s="2"/>
      <c r="O5" s="2"/>
      <c r="P5" s="2"/>
      <c r="Q5" s="2"/>
      <c r="R5" s="2"/>
      <c r="S5" s="2"/>
      <c r="T5" s="2"/>
      <c r="U5" s="2"/>
      <c r="V5" s="2"/>
      <c r="W5" s="2"/>
      <c r="X5" s="2"/>
      <c r="Y5" s="2"/>
      <c r="Z5" s="2"/>
      <c r="AA5" s="2"/>
      <c r="AB5" s="2"/>
      <c r="AC5" s="2"/>
    </row>
    <row r="6" spans="1:29" ht="15.75" customHeight="1" x14ac:dyDescent="0.25">
      <c r="A6" s="8"/>
      <c r="B6" s="12" t="s">
        <v>428</v>
      </c>
      <c r="C6" s="9" t="s">
        <v>433</v>
      </c>
      <c r="D6" s="9" t="s">
        <v>434</v>
      </c>
      <c r="E6" s="9" t="s">
        <v>435</v>
      </c>
      <c r="F6" s="13">
        <f ca="1">IFERROR(__xludf.DUMMYFUNCTION("INDEX(SPLIT(E6,"", "",FALSE), 1)"),-28.5570660287348)</f>
        <v>-28.557066028734798</v>
      </c>
      <c r="G6" s="13">
        <f ca="1">IFERROR(__xludf.DUMMYFUNCTION("INDEX(SPLIT(E6,"", "",FALSE), 2)"),29.789071226063)</f>
        <v>29.789071226063001</v>
      </c>
      <c r="H6" s="14" t="s">
        <v>432</v>
      </c>
      <c r="I6" s="2"/>
      <c r="J6" s="2"/>
      <c r="K6" s="2"/>
      <c r="L6" s="2"/>
      <c r="M6" s="2"/>
      <c r="N6" s="2"/>
      <c r="O6" s="2"/>
      <c r="P6" s="2"/>
      <c r="Q6" s="2"/>
      <c r="R6" s="2"/>
      <c r="S6" s="2"/>
      <c r="T6" s="2"/>
      <c r="U6" s="2"/>
      <c r="V6" s="2"/>
      <c r="W6" s="2"/>
      <c r="X6" s="2"/>
      <c r="Y6" s="2"/>
      <c r="Z6" s="2"/>
      <c r="AA6" s="2"/>
      <c r="AB6" s="2"/>
      <c r="AC6" s="2"/>
    </row>
    <row r="7" spans="1:29" ht="15.75" customHeight="1" x14ac:dyDescent="0.25">
      <c r="A7" s="8"/>
      <c r="B7" s="12" t="s">
        <v>428</v>
      </c>
      <c r="C7" s="9" t="s">
        <v>436</v>
      </c>
      <c r="D7" s="9" t="s">
        <v>437</v>
      </c>
      <c r="E7" s="9" t="s">
        <v>438</v>
      </c>
      <c r="F7" s="13">
        <f ca="1">IFERROR(__xludf.DUMMYFUNCTION("INDEX(SPLIT(E7,"", "",FALSE), 1)"),-33.8733429159379)</f>
        <v>-33.873342915937897</v>
      </c>
      <c r="G7" s="13">
        <f ca="1">IFERROR(__xludf.DUMMYFUNCTION("INDEX(SPLIT(E7,"", "",FALSE), 2)"),18.5247643704043)</f>
        <v>18.524764370404299</v>
      </c>
      <c r="H7" s="14" t="s">
        <v>432</v>
      </c>
      <c r="I7" s="2"/>
      <c r="J7" s="2"/>
      <c r="K7" s="2"/>
      <c r="L7" s="2"/>
      <c r="M7" s="2"/>
      <c r="N7" s="2"/>
      <c r="O7" s="2"/>
      <c r="P7" s="2"/>
      <c r="Q7" s="2"/>
      <c r="R7" s="2"/>
      <c r="S7" s="2"/>
      <c r="T7" s="2"/>
      <c r="U7" s="2"/>
      <c r="V7" s="2"/>
      <c r="W7" s="2"/>
      <c r="X7" s="2"/>
      <c r="Y7" s="2"/>
      <c r="Z7" s="2"/>
      <c r="AA7" s="2"/>
      <c r="AB7" s="2"/>
      <c r="AC7" s="2"/>
    </row>
    <row r="8" spans="1:29" ht="15.75" customHeight="1" x14ac:dyDescent="0.25">
      <c r="A8" s="8"/>
      <c r="B8" s="12" t="s">
        <v>428</v>
      </c>
      <c r="C8" s="9" t="s">
        <v>439</v>
      </c>
      <c r="D8" s="9" t="s">
        <v>440</v>
      </c>
      <c r="E8" s="9" t="s">
        <v>441</v>
      </c>
      <c r="F8" s="13">
        <f ca="1">IFERROR(__xludf.DUMMYFUNCTION("INDEX(SPLIT(E8,"", "",FALSE), 1)"),-25.7248109536989)</f>
        <v>-25.724810953698899</v>
      </c>
      <c r="G8" s="13">
        <f ca="1">IFERROR(__xludf.DUMMYFUNCTION("INDEX(SPLIT(E8,"", "",FALSE), 2)"),28.3308759971492)</f>
        <v>28.330875997149199</v>
      </c>
      <c r="H8" s="14" t="s">
        <v>432</v>
      </c>
      <c r="I8" s="2"/>
      <c r="J8" s="2"/>
      <c r="K8" s="2"/>
      <c r="L8" s="2"/>
      <c r="M8" s="2"/>
      <c r="N8" s="2"/>
      <c r="O8" s="2"/>
      <c r="P8" s="2"/>
      <c r="Q8" s="2"/>
      <c r="R8" s="2"/>
      <c r="S8" s="2"/>
      <c r="T8" s="2"/>
      <c r="U8" s="2"/>
      <c r="V8" s="2"/>
      <c r="W8" s="2"/>
      <c r="X8" s="2"/>
      <c r="Y8" s="2"/>
      <c r="Z8" s="2"/>
      <c r="AA8" s="2"/>
      <c r="AB8" s="2"/>
      <c r="AC8" s="2"/>
    </row>
    <row r="9" spans="1:29" ht="15.75" customHeight="1" x14ac:dyDescent="0.25">
      <c r="A9" s="8"/>
      <c r="B9" s="12" t="s">
        <v>428</v>
      </c>
      <c r="C9" s="9" t="s">
        <v>442</v>
      </c>
      <c r="D9" s="9" t="s">
        <v>443</v>
      </c>
      <c r="E9" s="9" t="s">
        <v>444</v>
      </c>
      <c r="F9" s="13">
        <f ca="1">IFERROR(__xludf.DUMMYFUNCTION("INDEX(SPLIT(E9,"", "",FALSE), 1)"),-33.9456659726847)</f>
        <v>-33.945665972684701</v>
      </c>
      <c r="G9" s="13">
        <f ca="1">IFERROR(__xludf.DUMMYFUNCTION("INDEX(SPLIT(E9,"", "",FALSE), 2)"),25.608943797395)</f>
        <v>25.608943797395</v>
      </c>
      <c r="H9" s="14" t="s">
        <v>432</v>
      </c>
      <c r="I9" s="2"/>
      <c r="J9" s="2"/>
      <c r="K9" s="2"/>
      <c r="L9" s="2"/>
      <c r="M9" s="2"/>
      <c r="N9" s="2"/>
      <c r="O9" s="2"/>
      <c r="P9" s="2"/>
      <c r="Q9" s="2"/>
      <c r="R9" s="2"/>
      <c r="S9" s="2"/>
      <c r="T9" s="2"/>
      <c r="U9" s="2"/>
      <c r="V9" s="2"/>
      <c r="W9" s="2"/>
      <c r="X9" s="2"/>
      <c r="Y9" s="2"/>
      <c r="Z9" s="2"/>
      <c r="AA9" s="2"/>
      <c r="AB9" s="2"/>
      <c r="AC9" s="2"/>
    </row>
    <row r="10" spans="1:29" ht="15.75" customHeight="1" x14ac:dyDescent="0.25">
      <c r="A10" s="8"/>
      <c r="B10" s="12" t="s">
        <v>428</v>
      </c>
      <c r="C10" s="9" t="s">
        <v>445</v>
      </c>
      <c r="D10" s="9" t="s">
        <v>446</v>
      </c>
      <c r="E10" s="9" t="s">
        <v>447</v>
      </c>
      <c r="F10" s="13">
        <f ca="1">IFERROR(__xludf.DUMMYFUNCTION("INDEX(SPLIT(E10,"", "",FALSE), 1)"),-29.8818747200102)</f>
        <v>-29.881874720010199</v>
      </c>
      <c r="G10" s="13">
        <f ca="1">IFERROR(__xludf.DUMMYFUNCTION("INDEX(SPLIT(E10,"", "",FALSE), 2)"),30.9996528684316)</f>
        <v>30.9996528684316</v>
      </c>
      <c r="H10" s="14" t="s">
        <v>432</v>
      </c>
      <c r="I10" s="2"/>
      <c r="J10" s="2"/>
      <c r="K10" s="2"/>
      <c r="L10" s="2"/>
      <c r="M10" s="2"/>
      <c r="N10" s="2"/>
      <c r="O10" s="2"/>
      <c r="P10" s="2"/>
      <c r="Q10" s="2"/>
      <c r="R10" s="2"/>
      <c r="S10" s="2"/>
      <c r="T10" s="2"/>
      <c r="U10" s="2"/>
      <c r="V10" s="2"/>
      <c r="W10" s="2"/>
      <c r="X10" s="2"/>
      <c r="Y10" s="2"/>
      <c r="Z10" s="2"/>
      <c r="AA10" s="2"/>
      <c r="AB10" s="2"/>
      <c r="AC10" s="2"/>
    </row>
    <row r="11" spans="1:29" ht="15.75" customHeight="1" x14ac:dyDescent="0.25">
      <c r="A11" s="8"/>
      <c r="B11" s="12" t="s">
        <v>428</v>
      </c>
      <c r="C11" s="9" t="s">
        <v>448</v>
      </c>
      <c r="D11" s="9" t="s">
        <v>449</v>
      </c>
      <c r="E11" s="9" t="s">
        <v>450</v>
      </c>
      <c r="F11" s="13">
        <f ca="1">IFERROR(__xludf.DUMMYFUNCTION("INDEX(SPLIT(E11,"", "",FALSE), 1)"),-26.8578205738004)</f>
        <v>-26.857820573800399</v>
      </c>
      <c r="G11" s="13">
        <f ca="1">IFERROR(__xludf.DUMMYFUNCTION("INDEX(SPLIT(E11,"", "",FALSE), 2)"),26.6767032639609)</f>
        <v>26.676703263960899</v>
      </c>
      <c r="H11" s="14" t="s">
        <v>432</v>
      </c>
      <c r="I11" s="2"/>
      <c r="J11" s="2"/>
      <c r="K11" s="2"/>
      <c r="L11" s="2"/>
      <c r="M11" s="2"/>
      <c r="N11" s="2"/>
      <c r="O11" s="2"/>
      <c r="P11" s="2"/>
      <c r="Q11" s="2"/>
      <c r="R11" s="2"/>
      <c r="S11" s="2"/>
      <c r="T11" s="2"/>
      <c r="U11" s="2"/>
      <c r="V11" s="2"/>
      <c r="W11" s="2"/>
      <c r="X11" s="2"/>
      <c r="Y11" s="2"/>
      <c r="Z11" s="2"/>
      <c r="AA11" s="2"/>
      <c r="AB11" s="2"/>
      <c r="AC11" s="2"/>
    </row>
    <row r="12" spans="1:29" ht="15.75" customHeight="1" x14ac:dyDescent="0.25">
      <c r="A12" s="8"/>
      <c r="B12" s="12" t="s">
        <v>451</v>
      </c>
      <c r="C12" s="9" t="s">
        <v>452</v>
      </c>
      <c r="D12" s="9" t="s">
        <v>453</v>
      </c>
      <c r="E12" s="9" t="s">
        <v>454</v>
      </c>
      <c r="F12" s="13">
        <f ca="1">IFERROR(__xludf.DUMMYFUNCTION("INDEX(SPLIT(E12,"", "",FALSE), 1)"),-17.8231152148458)</f>
        <v>-17.823115214845799</v>
      </c>
      <c r="G12" s="13">
        <f ca="1">IFERROR(__xludf.DUMMYFUNCTION("INDEX(SPLIT(E12,"", "",FALSE), 2)"),31.0490786914059)</f>
        <v>31.049078691405899</v>
      </c>
      <c r="H12" s="14" t="s">
        <v>432</v>
      </c>
      <c r="I12" s="2"/>
      <c r="J12" s="2"/>
      <c r="K12" s="2"/>
      <c r="L12" s="2"/>
      <c r="M12" s="2"/>
      <c r="N12" s="2"/>
      <c r="O12" s="2"/>
      <c r="P12" s="2"/>
      <c r="Q12" s="2"/>
      <c r="R12" s="2"/>
      <c r="S12" s="2"/>
      <c r="T12" s="2"/>
      <c r="U12" s="2"/>
      <c r="V12" s="2"/>
      <c r="W12" s="2"/>
      <c r="X12" s="2"/>
      <c r="Y12" s="2"/>
      <c r="Z12" s="2"/>
      <c r="AA12" s="2"/>
      <c r="AB12" s="2"/>
      <c r="AC12" s="2"/>
    </row>
    <row r="13" spans="1:29" ht="15.75" customHeight="1" x14ac:dyDescent="0.25">
      <c r="A13" s="8"/>
      <c r="B13" s="12" t="s">
        <v>428</v>
      </c>
      <c r="C13" s="9" t="s">
        <v>455</v>
      </c>
      <c r="D13" s="9" t="s">
        <v>456</v>
      </c>
      <c r="E13" s="9" t="s">
        <v>457</v>
      </c>
      <c r="F13" s="13">
        <f ca="1">IFERROR(__xludf.DUMMYFUNCTION("INDEX(SPLIT(E13,"", "",FALSE), 1)"),-27.3750941706801)</f>
        <v>-27.3750941706801</v>
      </c>
      <c r="G13" s="13">
        <f ca="1">IFERROR(__xludf.DUMMYFUNCTION("INDEX(SPLIT(E13,"", "",FALSE), 2)"),26.6305495665119)</f>
        <v>26.630549566511899</v>
      </c>
      <c r="H13" s="14" t="s">
        <v>432</v>
      </c>
      <c r="I13" s="2"/>
      <c r="J13" s="2"/>
      <c r="K13" s="2"/>
      <c r="L13" s="2"/>
      <c r="M13" s="2"/>
      <c r="N13" s="2"/>
      <c r="O13" s="2"/>
      <c r="P13" s="2"/>
      <c r="Q13" s="2"/>
      <c r="R13" s="2"/>
      <c r="S13" s="2"/>
      <c r="T13" s="2"/>
      <c r="U13" s="2"/>
      <c r="V13" s="2"/>
      <c r="W13" s="2"/>
      <c r="X13" s="2"/>
      <c r="Y13" s="2"/>
      <c r="Z13" s="2"/>
      <c r="AA13" s="2"/>
      <c r="AB13" s="2"/>
      <c r="AC13" s="2"/>
    </row>
    <row r="14" spans="1:29" ht="15.75" customHeight="1" x14ac:dyDescent="0.25">
      <c r="A14" s="8"/>
      <c r="B14" s="12" t="s">
        <v>428</v>
      </c>
      <c r="C14" s="9" t="s">
        <v>458</v>
      </c>
      <c r="D14" s="9" t="s">
        <v>459</v>
      </c>
      <c r="E14" s="9" t="s">
        <v>460</v>
      </c>
      <c r="F14" s="13">
        <f ca="1">IFERROR(__xludf.DUMMYFUNCTION("INDEX(SPLIT(E14,"", "",FALSE), 1)"),-25.861138459081)</f>
        <v>-25.861138459081001</v>
      </c>
      <c r="G14" s="13">
        <f ca="1">IFERROR(__xludf.DUMMYFUNCTION("INDEX(SPLIT(E14,"", "",FALSE), 2)"),28.0814098682651)</f>
        <v>28.081409868265101</v>
      </c>
      <c r="H14" s="14" t="s">
        <v>432</v>
      </c>
      <c r="I14" s="2"/>
      <c r="J14" s="2"/>
      <c r="K14" s="2"/>
      <c r="L14" s="2"/>
      <c r="M14" s="2"/>
      <c r="N14" s="2"/>
      <c r="O14" s="2"/>
      <c r="P14" s="2"/>
      <c r="Q14" s="2"/>
      <c r="R14" s="2"/>
      <c r="S14" s="2"/>
      <c r="T14" s="2"/>
      <c r="U14" s="2"/>
      <c r="V14" s="2"/>
      <c r="W14" s="2"/>
      <c r="X14" s="2"/>
      <c r="Y14" s="2"/>
      <c r="Z14" s="2"/>
      <c r="AA14" s="2"/>
      <c r="AB14" s="2"/>
      <c r="AC14" s="2"/>
    </row>
    <row r="15" spans="1:29" ht="15.75" customHeight="1" x14ac:dyDescent="0.25">
      <c r="A15" s="8"/>
      <c r="B15" s="12" t="s">
        <v>428</v>
      </c>
      <c r="C15" s="9" t="s">
        <v>461</v>
      </c>
      <c r="D15" s="9" t="s">
        <v>462</v>
      </c>
      <c r="E15" s="9" t="s">
        <v>463</v>
      </c>
      <c r="F15" s="13">
        <f ca="1">IFERROR(__xludf.DUMMYFUNCTION("INDEX(SPLIT(E15,"", "",FALSE), 1)"),-29.6279533614832)</f>
        <v>-29.6279533614832</v>
      </c>
      <c r="G15" s="13">
        <f ca="1">IFERROR(__xludf.DUMMYFUNCTION("INDEX(SPLIT(E15,"", "",FALSE), 2)"),30.9803225042764)</f>
        <v>30.980322504276401</v>
      </c>
      <c r="H15" s="14" t="s">
        <v>432</v>
      </c>
      <c r="I15" s="2"/>
      <c r="J15" s="2"/>
      <c r="K15" s="2"/>
      <c r="L15" s="2"/>
      <c r="M15" s="2"/>
      <c r="N15" s="2"/>
      <c r="O15" s="2"/>
      <c r="P15" s="2"/>
      <c r="Q15" s="2"/>
      <c r="R15" s="2"/>
      <c r="S15" s="2"/>
      <c r="T15" s="2"/>
      <c r="U15" s="2"/>
      <c r="V15" s="2"/>
      <c r="W15" s="2"/>
      <c r="X15" s="2"/>
      <c r="Y15" s="2"/>
      <c r="Z15" s="2"/>
      <c r="AA15" s="2"/>
      <c r="AB15" s="2"/>
      <c r="AC15" s="2"/>
    </row>
    <row r="16" spans="1:29" ht="15.75" customHeight="1" x14ac:dyDescent="0.25">
      <c r="A16" s="8"/>
      <c r="B16" s="12" t="s">
        <v>464</v>
      </c>
      <c r="C16" s="9" t="s">
        <v>465</v>
      </c>
      <c r="D16" s="9" t="s">
        <v>466</v>
      </c>
      <c r="E16" s="9" t="s">
        <v>467</v>
      </c>
      <c r="F16" s="13">
        <f ca="1">IFERROR(__xludf.DUMMYFUNCTION("INDEX(SPLIT(E16,"", "",FALSE), 1)"),-25.7423076742257)</f>
        <v>-25.7423076742257</v>
      </c>
      <c r="G16" s="13">
        <f ca="1">IFERROR(__xludf.DUMMYFUNCTION("INDEX(SPLIT(E16,"", "",FALSE), 2)"),28.237754241326)</f>
        <v>28.237754241326002</v>
      </c>
      <c r="H16" s="14" t="s">
        <v>432</v>
      </c>
      <c r="I16" s="2"/>
      <c r="J16" s="2"/>
      <c r="K16" s="2"/>
      <c r="L16" s="2"/>
      <c r="M16" s="2"/>
      <c r="N16" s="2"/>
      <c r="O16" s="2"/>
      <c r="P16" s="2"/>
      <c r="Q16" s="2"/>
      <c r="R16" s="2"/>
      <c r="S16" s="2"/>
      <c r="T16" s="2"/>
      <c r="U16" s="2"/>
      <c r="V16" s="2"/>
      <c r="W16" s="2"/>
      <c r="X16" s="2"/>
      <c r="Y16" s="2"/>
      <c r="Z16" s="2"/>
      <c r="AA16" s="2"/>
      <c r="AB16" s="2"/>
      <c r="AC16" s="2"/>
    </row>
    <row r="17" spans="1:29" ht="15.75" customHeight="1" x14ac:dyDescent="0.25">
      <c r="A17" s="8"/>
      <c r="B17" s="12" t="s">
        <v>428</v>
      </c>
      <c r="C17" s="9" t="s">
        <v>468</v>
      </c>
      <c r="D17" s="9" t="s">
        <v>469</v>
      </c>
      <c r="E17" s="9" t="s">
        <v>470</v>
      </c>
      <c r="F17" s="13">
        <f ca="1">IFERROR(__xludf.DUMMYFUNCTION("INDEX(SPLIT(E17,"", "",FALSE), 1)"),-26.1401919539967)</f>
        <v>-26.140191953996698</v>
      </c>
      <c r="G17" s="13">
        <f ca="1">IFERROR(__xludf.DUMMYFUNCTION("INDEX(SPLIT(E17,"", "",FALSE), 2)"),28.0441197818191)</f>
        <v>28.044119781819099</v>
      </c>
      <c r="H17" s="14" t="s">
        <v>432</v>
      </c>
      <c r="I17" s="2"/>
      <c r="J17" s="2"/>
      <c r="K17" s="2"/>
      <c r="L17" s="2"/>
      <c r="M17" s="2"/>
      <c r="N17" s="2"/>
      <c r="O17" s="2"/>
      <c r="P17" s="2"/>
      <c r="Q17" s="2"/>
      <c r="R17" s="2"/>
      <c r="S17" s="2"/>
      <c r="T17" s="2"/>
      <c r="U17" s="2"/>
      <c r="V17" s="2"/>
      <c r="W17" s="2"/>
      <c r="X17" s="2"/>
      <c r="Y17" s="2"/>
      <c r="Z17" s="2"/>
      <c r="AA17" s="2"/>
      <c r="AB17" s="2"/>
      <c r="AC17" s="2"/>
    </row>
    <row r="18" spans="1:29" ht="15.75" customHeight="1" x14ac:dyDescent="0.25">
      <c r="A18" s="8"/>
      <c r="B18" s="12" t="s">
        <v>428</v>
      </c>
      <c r="C18" s="9" t="s">
        <v>471</v>
      </c>
      <c r="D18" s="9" t="s">
        <v>472</v>
      </c>
      <c r="E18" s="9" t="s">
        <v>473</v>
      </c>
      <c r="F18" s="13">
        <f ca="1">IFERROR(__xludf.DUMMYFUNCTION("INDEX(SPLIT(E18,"", "",FALSE), 1)"),-26.1161477718498)</f>
        <v>-26.1161477718498</v>
      </c>
      <c r="G18" s="13">
        <f ca="1">IFERROR(__xludf.DUMMYFUNCTION("INDEX(SPLIT(E18,"", "",FALSE), 2)"),27.990480383005)</f>
        <v>27.990480383005</v>
      </c>
      <c r="H18" s="14" t="s">
        <v>432</v>
      </c>
      <c r="I18" s="2"/>
      <c r="J18" s="2"/>
      <c r="K18" s="2"/>
      <c r="L18" s="2"/>
      <c r="M18" s="2"/>
      <c r="N18" s="2"/>
      <c r="O18" s="2"/>
      <c r="P18" s="2"/>
      <c r="Q18" s="2"/>
      <c r="R18" s="2"/>
      <c r="S18" s="2"/>
      <c r="T18" s="2"/>
      <c r="U18" s="2"/>
      <c r="V18" s="2"/>
      <c r="W18" s="2"/>
      <c r="X18" s="2"/>
      <c r="Y18" s="2"/>
      <c r="Z18" s="2"/>
      <c r="AA18" s="2"/>
      <c r="AB18" s="2"/>
      <c r="AC18" s="2"/>
    </row>
    <row r="19" spans="1:29" ht="15.75" customHeight="1" x14ac:dyDescent="0.25">
      <c r="A19" s="8"/>
      <c r="B19" s="12" t="s">
        <v>428</v>
      </c>
      <c r="C19" s="9" t="s">
        <v>474</v>
      </c>
      <c r="D19" s="9" t="s">
        <v>475</v>
      </c>
      <c r="E19" s="9" t="s">
        <v>476</v>
      </c>
      <c r="F19" s="13">
        <f ca="1">IFERROR(__xludf.DUMMYFUNCTION("INDEX(SPLIT(E19,"", "",FALSE), 1)"),-29.8076518011791)</f>
        <v>-29.807651801179102</v>
      </c>
      <c r="G19" s="13">
        <f ca="1">IFERROR(__xludf.DUMMYFUNCTION("INDEX(SPLIT(E19,"", "",FALSE), 2)"),31.0074167082964)</f>
        <v>31.0074167082964</v>
      </c>
      <c r="H19" s="14" t="s">
        <v>432</v>
      </c>
      <c r="I19" s="2"/>
      <c r="J19" s="2"/>
      <c r="K19" s="2"/>
      <c r="L19" s="2"/>
      <c r="M19" s="2"/>
      <c r="N19" s="2"/>
      <c r="O19" s="2"/>
      <c r="P19" s="2"/>
      <c r="Q19" s="2"/>
      <c r="R19" s="2"/>
      <c r="S19" s="2"/>
      <c r="T19" s="2"/>
      <c r="U19" s="2"/>
      <c r="V19" s="2"/>
      <c r="W19" s="2"/>
      <c r="X19" s="2"/>
      <c r="Y19" s="2"/>
      <c r="Z19" s="2"/>
      <c r="AA19" s="2"/>
      <c r="AB19" s="2"/>
      <c r="AC19" s="2"/>
    </row>
    <row r="20" spans="1:29" ht="15.75" customHeight="1" x14ac:dyDescent="0.25">
      <c r="A20" s="8"/>
      <c r="B20" s="12" t="s">
        <v>428</v>
      </c>
      <c r="C20" s="9" t="s">
        <v>477</v>
      </c>
      <c r="D20" s="9" t="s">
        <v>478</v>
      </c>
      <c r="E20" s="9" t="s">
        <v>479</v>
      </c>
      <c r="F20" s="13">
        <f ca="1">IFERROR(__xludf.DUMMYFUNCTION("INDEX(SPLIT(E20,"", "",FALSE), 1)"),-26.8325217089425)</f>
        <v>-26.832521708942501</v>
      </c>
      <c r="G20" s="13">
        <f ca="1">IFERROR(__xludf.DUMMYFUNCTION("INDEX(SPLIT(E20,"", "",FALSE), 2)"),26.6621041912889)</f>
        <v>26.662104191288901</v>
      </c>
      <c r="H20" s="14" t="s">
        <v>432</v>
      </c>
      <c r="I20" s="2"/>
      <c r="J20" s="2"/>
      <c r="K20" s="2"/>
      <c r="L20" s="2"/>
      <c r="M20" s="2"/>
      <c r="N20" s="2"/>
      <c r="O20" s="2"/>
      <c r="P20" s="2"/>
      <c r="Q20" s="2"/>
      <c r="R20" s="2"/>
      <c r="S20" s="2"/>
      <c r="T20" s="2"/>
      <c r="U20" s="2"/>
      <c r="V20" s="2"/>
      <c r="W20" s="2"/>
      <c r="X20" s="2"/>
      <c r="Y20" s="2"/>
      <c r="Z20" s="2"/>
      <c r="AA20" s="2"/>
      <c r="AB20" s="2"/>
      <c r="AC20" s="2"/>
    </row>
    <row r="21" spans="1:29" ht="15.75" customHeight="1" x14ac:dyDescent="0.25">
      <c r="A21" s="8"/>
      <c r="B21" s="12" t="s">
        <v>428</v>
      </c>
      <c r="C21" s="9" t="s">
        <v>480</v>
      </c>
      <c r="D21" s="9" t="s">
        <v>481</v>
      </c>
      <c r="E21" s="9" t="s">
        <v>482</v>
      </c>
      <c r="F21" s="13">
        <f ca="1">IFERROR(__xludf.DUMMYFUNCTION("INDEX(SPLIT(E21,"", "",FALSE), 1)"),-26.1249807961971)</f>
        <v>-26.1249807961971</v>
      </c>
      <c r="G21" s="13">
        <f ca="1">IFERROR(__xludf.DUMMYFUNCTION("INDEX(SPLIT(E21,"", "",FALSE), 2)"),28.5953657106539)</f>
        <v>28.595365710653901</v>
      </c>
      <c r="H21" s="14" t="s">
        <v>432</v>
      </c>
      <c r="I21" s="2"/>
      <c r="J21" s="2"/>
      <c r="K21" s="2"/>
      <c r="L21" s="2"/>
      <c r="M21" s="2"/>
      <c r="N21" s="2"/>
      <c r="O21" s="2"/>
      <c r="P21" s="2"/>
      <c r="Q21" s="2"/>
      <c r="R21" s="2"/>
      <c r="S21" s="2"/>
      <c r="T21" s="2"/>
      <c r="U21" s="2"/>
      <c r="V21" s="2"/>
      <c r="W21" s="2"/>
      <c r="X21" s="2"/>
      <c r="Y21" s="2"/>
      <c r="Z21" s="2"/>
      <c r="AA21" s="2"/>
      <c r="AB21" s="2"/>
      <c r="AC21" s="2"/>
    </row>
    <row r="22" spans="1:29" ht="15.75" customHeight="1" x14ac:dyDescent="0.25">
      <c r="A22" s="8"/>
      <c r="B22" s="12" t="s">
        <v>428</v>
      </c>
      <c r="C22" s="9" t="s">
        <v>483</v>
      </c>
      <c r="D22" s="9" t="s">
        <v>484</v>
      </c>
      <c r="E22" s="9" t="s">
        <v>485</v>
      </c>
      <c r="F22" s="13">
        <f ca="1">IFERROR(__xludf.DUMMYFUNCTION("INDEX(SPLIT(E22,"", "",FALSE), 1)"),-25.9403344067126)</f>
        <v>-25.940334406712601</v>
      </c>
      <c r="G22" s="13">
        <f ca="1">IFERROR(__xludf.DUMMYFUNCTION("INDEX(SPLIT(E22,"", "",FALSE), 2)"),28.0269636568011)</f>
        <v>28.026963656801101</v>
      </c>
      <c r="H22" s="14" t="s">
        <v>432</v>
      </c>
      <c r="I22" s="2"/>
      <c r="J22" s="2"/>
      <c r="K22" s="2"/>
      <c r="L22" s="2"/>
      <c r="M22" s="2"/>
      <c r="N22" s="2"/>
      <c r="O22" s="2"/>
      <c r="P22" s="2"/>
      <c r="Q22" s="2"/>
      <c r="R22" s="2"/>
      <c r="S22" s="2"/>
      <c r="T22" s="2"/>
      <c r="U22" s="2"/>
      <c r="V22" s="2"/>
      <c r="W22" s="2"/>
      <c r="X22" s="2"/>
      <c r="Y22" s="2"/>
      <c r="Z22" s="2"/>
      <c r="AA22" s="2"/>
      <c r="AB22" s="2"/>
      <c r="AC22" s="2"/>
    </row>
    <row r="23" spans="1:29" ht="15.75" customHeight="1" x14ac:dyDescent="0.25">
      <c r="A23" s="9"/>
      <c r="B23" s="12" t="s">
        <v>428</v>
      </c>
      <c r="C23" s="9" t="s">
        <v>486</v>
      </c>
      <c r="D23" s="9" t="s">
        <v>487</v>
      </c>
      <c r="E23" s="9" t="s">
        <v>488</v>
      </c>
      <c r="F23" s="13">
        <f ca="1">IFERROR(__xludf.DUMMYFUNCTION("INDEX(SPLIT(E23,"", "",FALSE), 1)"),-33.964989510034)</f>
        <v>-33.964989510034002</v>
      </c>
      <c r="G23" s="13">
        <f ca="1">IFERROR(__xludf.DUMMYFUNCTION("INDEX(SPLIT(E23,"", "",FALSE), 2)"),18.8370083262309)</f>
        <v>18.837008326230901</v>
      </c>
      <c r="H23" s="14" t="s">
        <v>432</v>
      </c>
      <c r="I23" s="2"/>
      <c r="J23" s="2"/>
      <c r="K23" s="2"/>
      <c r="L23" s="2"/>
      <c r="M23" s="2"/>
      <c r="N23" s="2"/>
      <c r="O23" s="2"/>
      <c r="P23" s="2"/>
      <c r="Q23" s="2"/>
      <c r="R23" s="2"/>
      <c r="S23" s="2"/>
      <c r="T23" s="2"/>
      <c r="U23" s="2"/>
      <c r="V23" s="2"/>
      <c r="W23" s="2"/>
      <c r="X23" s="2"/>
      <c r="Y23" s="2"/>
      <c r="Z23" s="2"/>
      <c r="AA23" s="2"/>
      <c r="AB23" s="2"/>
      <c r="AC23" s="2"/>
    </row>
    <row r="24" spans="1:29" ht="15.75" customHeight="1" x14ac:dyDescent="0.25">
      <c r="A24" s="8"/>
      <c r="B24" s="12" t="s">
        <v>428</v>
      </c>
      <c r="C24" s="9" t="s">
        <v>489</v>
      </c>
      <c r="D24" s="9" t="s">
        <v>490</v>
      </c>
      <c r="E24" s="9" t="s">
        <v>491</v>
      </c>
      <c r="F24" s="13">
        <f ca="1">IFERROR(__xludf.DUMMYFUNCTION("INDEX(SPLIT(E24,"", "",FALSE), 1)"),-22.1675705028937)</f>
        <v>-22.1675705028937</v>
      </c>
      <c r="G24" s="13">
        <f ca="1">IFERROR(__xludf.DUMMYFUNCTION("INDEX(SPLIT(E24,"", "",FALSE), 2)"),27.4514783565147)</f>
        <v>27.451478356514698</v>
      </c>
      <c r="H24" s="5" t="s">
        <v>492</v>
      </c>
      <c r="I24" s="2"/>
      <c r="J24" s="2"/>
      <c r="K24" s="2"/>
      <c r="L24" s="2"/>
      <c r="M24" s="2"/>
      <c r="N24" s="2"/>
      <c r="O24" s="2"/>
      <c r="P24" s="2"/>
      <c r="Q24" s="2"/>
      <c r="R24" s="2"/>
      <c r="S24" s="2"/>
      <c r="T24" s="2"/>
      <c r="U24" s="2"/>
      <c r="V24" s="2"/>
      <c r="W24" s="2"/>
      <c r="X24" s="2"/>
      <c r="Y24" s="2"/>
      <c r="Z24" s="2"/>
      <c r="AA24" s="2"/>
      <c r="AB24" s="2"/>
      <c r="AC24" s="2"/>
    </row>
    <row r="25" spans="1:29" ht="15.75" customHeight="1" x14ac:dyDescent="0.25">
      <c r="A25" s="8"/>
      <c r="B25" s="12" t="s">
        <v>493</v>
      </c>
      <c r="C25" s="3" t="s">
        <v>494</v>
      </c>
      <c r="D25" s="5" t="s">
        <v>495</v>
      </c>
      <c r="E25" s="15" t="s">
        <v>496</v>
      </c>
      <c r="F25" s="13">
        <f ca="1">IFERROR(__xludf.DUMMYFUNCTION("INDEX(SPLIT(E25,"", "",FALSE), 1)"),-3.40302184667825)</f>
        <v>-3.40302184667825</v>
      </c>
      <c r="G25" s="13">
        <f ca="1">IFERROR(__xludf.DUMMYFUNCTION("INDEX(SPLIT(E25,"", "",FALSE), 2)"),36.7104716169182)</f>
        <v>36.710471616918198</v>
      </c>
      <c r="H25" s="5" t="s">
        <v>492</v>
      </c>
      <c r="I25" s="2"/>
      <c r="J25" s="2"/>
      <c r="K25" s="2"/>
      <c r="L25" s="2"/>
      <c r="M25" s="2"/>
      <c r="N25" s="2"/>
      <c r="O25" s="2"/>
      <c r="P25" s="2"/>
      <c r="Q25" s="2"/>
      <c r="R25" s="2"/>
      <c r="S25" s="2"/>
      <c r="T25" s="2"/>
      <c r="U25" s="2"/>
      <c r="V25" s="2"/>
      <c r="W25" s="2"/>
      <c r="X25" s="2"/>
      <c r="Y25" s="2"/>
      <c r="Z25" s="2"/>
      <c r="AA25" s="2"/>
      <c r="AB25" s="2"/>
      <c r="AC25" s="2"/>
    </row>
    <row r="26" spans="1:29" ht="15.75" customHeight="1" x14ac:dyDescent="0.25">
      <c r="A26" s="8"/>
      <c r="B26" s="12" t="s">
        <v>493</v>
      </c>
      <c r="C26" s="5" t="s">
        <v>497</v>
      </c>
      <c r="D26" s="5" t="s">
        <v>498</v>
      </c>
      <c r="E26" s="15" t="s">
        <v>499</v>
      </c>
      <c r="F26" s="13">
        <f ca="1">IFERROR(__xludf.DUMMYFUNCTION("INDEX(SPLIT(E26,"", "",FALSE), 1)"),-6.03939479349876)</f>
        <v>-6.0393947934987597</v>
      </c>
      <c r="G26" s="13">
        <f ca="1">IFERROR(__xludf.DUMMYFUNCTION("INDEX(SPLIT(E26,"", "",FALSE), 2)"),39.1912116468432)</f>
        <v>39.1912116468432</v>
      </c>
      <c r="H26" s="5" t="s">
        <v>492</v>
      </c>
      <c r="I26" s="2"/>
      <c r="J26" s="2"/>
      <c r="K26" s="2"/>
      <c r="L26" s="2"/>
      <c r="M26" s="2"/>
      <c r="N26" s="2"/>
      <c r="O26" s="2"/>
      <c r="P26" s="2"/>
      <c r="Q26" s="2"/>
      <c r="R26" s="2"/>
      <c r="S26" s="2"/>
      <c r="T26" s="2"/>
      <c r="U26" s="2"/>
      <c r="V26" s="2"/>
      <c r="W26" s="2"/>
      <c r="X26" s="2"/>
      <c r="Y26" s="2"/>
      <c r="Z26" s="2"/>
      <c r="AA26" s="2"/>
      <c r="AB26" s="2"/>
      <c r="AC26" s="2"/>
    </row>
    <row r="27" spans="1:29" ht="15.75" customHeight="1" x14ac:dyDescent="0.25">
      <c r="A27" s="8"/>
      <c r="B27" s="12" t="s">
        <v>493</v>
      </c>
      <c r="C27" s="5" t="s">
        <v>500</v>
      </c>
      <c r="D27" s="5" t="s">
        <v>501</v>
      </c>
      <c r="E27" s="15" t="s">
        <v>502</v>
      </c>
      <c r="F27" s="13">
        <f ca="1">IFERROR(__xludf.DUMMYFUNCTION("INDEX(SPLIT(E27,"", "",FALSE), 1)"),-6.83851933402385)</f>
        <v>-6.8385193340238501</v>
      </c>
      <c r="G27" s="13">
        <f ca="1">IFERROR(__xludf.DUMMYFUNCTION("INDEX(SPLIT(E27,"", "",FALSE), 2)"),39.2891228749668)</f>
        <v>39.2891228749668</v>
      </c>
      <c r="H27" s="5" t="s">
        <v>492</v>
      </c>
      <c r="I27" s="2"/>
      <c r="J27" s="2"/>
      <c r="K27" s="2"/>
      <c r="L27" s="2"/>
      <c r="M27" s="2"/>
      <c r="N27" s="2"/>
      <c r="O27" s="2"/>
      <c r="P27" s="2"/>
      <c r="Q27" s="2"/>
      <c r="R27" s="2"/>
      <c r="S27" s="2"/>
      <c r="T27" s="2"/>
      <c r="U27" s="2"/>
      <c r="V27" s="2"/>
      <c r="W27" s="2"/>
      <c r="X27" s="2"/>
      <c r="Y27" s="2"/>
      <c r="Z27" s="2"/>
      <c r="AA27" s="2"/>
      <c r="AB27" s="2"/>
      <c r="AC27" s="2"/>
    </row>
    <row r="28" spans="1:29" ht="15.75" customHeight="1" x14ac:dyDescent="0.25">
      <c r="A28" s="8"/>
      <c r="B28" s="12" t="s">
        <v>493</v>
      </c>
      <c r="C28" s="5" t="s">
        <v>503</v>
      </c>
      <c r="D28" s="5" t="s">
        <v>504</v>
      </c>
      <c r="E28" s="15" t="s">
        <v>505</v>
      </c>
      <c r="F28" s="13">
        <f ca="1">IFERROR(__xludf.DUMMYFUNCTION("INDEX(SPLIT(E28,"", "",FALSE), 1)"),-6.76845437870566)</f>
        <v>-6.7684543787056599</v>
      </c>
      <c r="G28" s="13">
        <f ca="1">IFERROR(__xludf.DUMMYFUNCTION("INDEX(SPLIT(E28,"", "",FALSE), 2)"),39.2807732326869)</f>
        <v>39.280773232686897</v>
      </c>
      <c r="H28" s="5" t="s">
        <v>492</v>
      </c>
      <c r="I28" s="2"/>
      <c r="J28" s="2"/>
      <c r="K28" s="2"/>
      <c r="L28" s="2"/>
      <c r="M28" s="2"/>
      <c r="N28" s="2"/>
      <c r="O28" s="2"/>
      <c r="P28" s="2"/>
      <c r="Q28" s="2"/>
      <c r="R28" s="2"/>
      <c r="S28" s="2"/>
      <c r="T28" s="2"/>
      <c r="U28" s="2"/>
      <c r="V28" s="2"/>
      <c r="W28" s="2"/>
      <c r="X28" s="2"/>
      <c r="Y28" s="2"/>
      <c r="Z28" s="2"/>
      <c r="AA28" s="2"/>
      <c r="AB28" s="2"/>
      <c r="AC28" s="2"/>
    </row>
    <row r="29" spans="1:29" ht="15.75" customHeight="1" x14ac:dyDescent="0.25">
      <c r="A29" s="8"/>
      <c r="B29" s="12" t="s">
        <v>506</v>
      </c>
      <c r="C29" s="5" t="s">
        <v>507</v>
      </c>
      <c r="D29" s="5" t="s">
        <v>508</v>
      </c>
      <c r="E29" s="15" t="s">
        <v>509</v>
      </c>
      <c r="F29" s="13">
        <f ca="1">IFERROR(__xludf.DUMMYFUNCTION("INDEX(SPLIT(E29,"", "",FALSE), 1)"),-1.28243956121388)</f>
        <v>-1.2824395612138799</v>
      </c>
      <c r="G29" s="13">
        <f ca="1">IFERROR(__xludf.DUMMYFUNCTION("INDEX(SPLIT(E29,"", "",FALSE), 2)"),36.8181464474172)</f>
        <v>36.818146447417199</v>
      </c>
      <c r="H29" s="5" t="s">
        <v>492</v>
      </c>
      <c r="I29" s="2"/>
      <c r="J29" s="2"/>
      <c r="K29" s="2"/>
      <c r="L29" s="2"/>
      <c r="M29" s="2"/>
      <c r="N29" s="2"/>
      <c r="O29" s="2"/>
      <c r="P29" s="2"/>
      <c r="Q29" s="2"/>
      <c r="R29" s="2"/>
      <c r="S29" s="2"/>
      <c r="T29" s="2"/>
      <c r="U29" s="2"/>
      <c r="V29" s="2"/>
      <c r="W29" s="2"/>
      <c r="X29" s="2"/>
      <c r="Y29" s="2"/>
      <c r="Z29" s="2"/>
      <c r="AA29" s="2"/>
      <c r="AB29" s="2"/>
      <c r="AC29" s="2"/>
    </row>
    <row r="30" spans="1:29" ht="15.75" customHeight="1" x14ac:dyDescent="0.25">
      <c r="A30" s="8"/>
      <c r="B30" s="12" t="s">
        <v>506</v>
      </c>
      <c r="C30" s="5" t="s">
        <v>510</v>
      </c>
      <c r="D30" s="5" t="s">
        <v>511</v>
      </c>
      <c r="E30" s="15" t="s">
        <v>512</v>
      </c>
      <c r="F30" s="13">
        <f ca="1">IFERROR(__xludf.DUMMYFUNCTION("INDEX(SPLIT(E30,"", "",FALSE), 1)"),-1.29943057733878)</f>
        <v>-1.29943057733878</v>
      </c>
      <c r="G30" s="13">
        <f ca="1">IFERROR(__xludf.DUMMYFUNCTION("INDEX(SPLIT(E30,"", "",FALSE), 2)"),36.8149348632918)</f>
        <v>36.814934863291803</v>
      </c>
      <c r="H30" s="5" t="s">
        <v>492</v>
      </c>
      <c r="I30" s="2"/>
      <c r="J30" s="2"/>
      <c r="K30" s="2"/>
      <c r="L30" s="2"/>
      <c r="M30" s="2"/>
      <c r="N30" s="2"/>
      <c r="O30" s="2"/>
      <c r="P30" s="2"/>
      <c r="Q30" s="2"/>
      <c r="R30" s="2"/>
      <c r="S30" s="2"/>
      <c r="T30" s="2"/>
      <c r="U30" s="2"/>
      <c r="V30" s="2"/>
      <c r="W30" s="2"/>
      <c r="X30" s="2"/>
      <c r="Y30" s="2"/>
      <c r="Z30" s="2"/>
      <c r="AA30" s="2"/>
      <c r="AB30" s="2"/>
      <c r="AC30" s="2"/>
    </row>
    <row r="31" spans="1:29" ht="15.75" customHeight="1" x14ac:dyDescent="0.25">
      <c r="A31" s="8"/>
      <c r="B31" s="12" t="s">
        <v>506</v>
      </c>
      <c r="C31" s="5" t="s">
        <v>513</v>
      </c>
      <c r="D31" s="5" t="s">
        <v>514</v>
      </c>
      <c r="E31" s="15" t="s">
        <v>515</v>
      </c>
      <c r="F31" s="13">
        <f ca="1">IFERROR(__xludf.DUMMYFUNCTION("INDEX(SPLIT(E31,"", "",FALSE), 1)"),-0.885248875758718)</f>
        <v>-0.88524887575871802</v>
      </c>
      <c r="G31" s="13">
        <f ca="1">IFERROR(__xludf.DUMMYFUNCTION("INDEX(SPLIT(E31,"", "",FALSE), 2)"),36.7845235915924)</f>
        <v>36.784523591592396</v>
      </c>
      <c r="H31" s="14" t="s">
        <v>516</v>
      </c>
      <c r="I31" s="2"/>
      <c r="J31" s="2"/>
      <c r="K31" s="2"/>
      <c r="L31" s="2"/>
      <c r="M31" s="2"/>
      <c r="N31" s="2"/>
      <c r="O31" s="2"/>
      <c r="P31" s="2"/>
      <c r="Q31" s="2"/>
      <c r="R31" s="2"/>
      <c r="S31" s="2"/>
      <c r="T31" s="2"/>
      <c r="U31" s="2"/>
      <c r="V31" s="2"/>
      <c r="W31" s="2"/>
      <c r="X31" s="2"/>
      <c r="Y31" s="2"/>
      <c r="Z31" s="2"/>
      <c r="AA31" s="2"/>
      <c r="AB31" s="2"/>
      <c r="AC31" s="2"/>
    </row>
    <row r="32" spans="1:29" ht="15.75" customHeight="1" x14ac:dyDescent="0.25">
      <c r="A32" s="8"/>
      <c r="B32" s="12" t="s">
        <v>506</v>
      </c>
      <c r="C32" s="5" t="s">
        <v>517</v>
      </c>
      <c r="D32" s="5" t="s">
        <v>518</v>
      </c>
      <c r="E32" s="15" t="s">
        <v>519</v>
      </c>
      <c r="F32" s="13">
        <f ca="1">IFERROR(__xludf.DUMMYFUNCTION("INDEX(SPLIT(E32,"", "",FALSE), 1)"),1.6063155479753)</f>
        <v>1.6063155479753</v>
      </c>
      <c r="G32" s="13">
        <f ca="1">IFERROR(__xludf.DUMMYFUNCTION("INDEX(SPLIT(E32,"", "",FALSE), 2)"),38.1176868732255)</f>
        <v>38.117686873225502</v>
      </c>
      <c r="H32" s="14" t="s">
        <v>516</v>
      </c>
      <c r="I32" s="2"/>
      <c r="J32" s="2"/>
      <c r="K32" s="2"/>
      <c r="L32" s="2"/>
      <c r="M32" s="2"/>
      <c r="N32" s="2"/>
      <c r="O32" s="2"/>
      <c r="P32" s="2"/>
      <c r="Q32" s="2"/>
      <c r="R32" s="2"/>
      <c r="S32" s="2"/>
      <c r="T32" s="2"/>
      <c r="U32" s="2"/>
      <c r="V32" s="2"/>
      <c r="W32" s="2"/>
      <c r="X32" s="2"/>
      <c r="Y32" s="2"/>
      <c r="Z32" s="2"/>
      <c r="AA32" s="2"/>
      <c r="AB32" s="2"/>
      <c r="AC32" s="2"/>
    </row>
    <row r="33" spans="1:29" ht="15.75" customHeight="1" x14ac:dyDescent="0.25">
      <c r="A33" s="8"/>
      <c r="B33" s="12" t="s">
        <v>506</v>
      </c>
      <c r="C33" s="5" t="s">
        <v>520</v>
      </c>
      <c r="D33" s="5" t="s">
        <v>521</v>
      </c>
      <c r="E33" s="15" t="s">
        <v>522</v>
      </c>
      <c r="F33" s="13">
        <f ca="1">IFERROR(__xludf.DUMMYFUNCTION("INDEX(SPLIT(E33,"", "",FALSE), 1)"),-1.33206870218528)</f>
        <v>-1.33206870218528</v>
      </c>
      <c r="G33" s="13">
        <f ca="1">IFERROR(__xludf.DUMMYFUNCTION("INDEX(SPLIT(E33,"", "",FALSE), 2)"),36.8654302707015)</f>
        <v>36.865430270701502</v>
      </c>
      <c r="H33" s="14" t="s">
        <v>516</v>
      </c>
      <c r="I33" s="2"/>
      <c r="J33" s="2"/>
      <c r="K33" s="2"/>
      <c r="L33" s="2"/>
      <c r="M33" s="2"/>
      <c r="N33" s="2"/>
      <c r="O33" s="2"/>
      <c r="P33" s="2"/>
      <c r="Q33" s="2"/>
      <c r="R33" s="2"/>
      <c r="S33" s="2"/>
      <c r="T33" s="2"/>
      <c r="U33" s="2"/>
      <c r="V33" s="2"/>
      <c r="W33" s="2"/>
      <c r="X33" s="2"/>
      <c r="Y33" s="2"/>
      <c r="Z33" s="2"/>
      <c r="AA33" s="2"/>
      <c r="AB33" s="2"/>
      <c r="AC33" s="2"/>
    </row>
    <row r="34" spans="1:29" ht="15.75" customHeight="1" x14ac:dyDescent="0.25">
      <c r="A34" s="8"/>
      <c r="B34" s="12" t="s">
        <v>506</v>
      </c>
      <c r="C34" s="5" t="s">
        <v>523</v>
      </c>
      <c r="D34" s="5" t="s">
        <v>524</v>
      </c>
      <c r="E34" s="15" t="s">
        <v>525</v>
      </c>
      <c r="F34" s="13">
        <f ca="1">IFERROR(__xludf.DUMMYFUNCTION("INDEX(SPLIT(E34,"", "",FALSE), 1)"),-1.30771528492175)</f>
        <v>-1.3077152849217499</v>
      </c>
      <c r="G34" s="13">
        <f ca="1">IFERROR(__xludf.DUMMYFUNCTION("INDEX(SPLIT(E34,"", "",FALSE), 2)"),36.8721720400119)</f>
        <v>36.872172040011897</v>
      </c>
      <c r="H34" s="14" t="s">
        <v>516</v>
      </c>
      <c r="I34" s="2"/>
      <c r="J34" s="2"/>
      <c r="K34" s="2"/>
      <c r="L34" s="2"/>
      <c r="M34" s="2"/>
      <c r="N34" s="2"/>
      <c r="O34" s="2"/>
      <c r="P34" s="2"/>
      <c r="Q34" s="2"/>
      <c r="R34" s="2"/>
      <c r="S34" s="2"/>
      <c r="T34" s="2"/>
      <c r="U34" s="2"/>
      <c r="V34" s="2"/>
      <c r="W34" s="2"/>
      <c r="X34" s="2"/>
      <c r="Y34" s="2"/>
      <c r="Z34" s="2"/>
      <c r="AA34" s="2"/>
      <c r="AB34" s="2"/>
      <c r="AC34" s="2"/>
    </row>
    <row r="35" spans="1:29" ht="15.75" customHeight="1" x14ac:dyDescent="0.25">
      <c r="A35" s="8"/>
      <c r="B35" s="12" t="s">
        <v>506</v>
      </c>
      <c r="C35" s="5" t="s">
        <v>526</v>
      </c>
      <c r="D35" s="5" t="s">
        <v>527</v>
      </c>
      <c r="E35" s="15" t="s">
        <v>528</v>
      </c>
      <c r="F35" s="13">
        <f ca="1">IFERROR(__xludf.DUMMYFUNCTION("INDEX(SPLIT(E35,"", "",FALSE), 1)"),-1.24336717035489)</f>
        <v>-1.2433671703548901</v>
      </c>
      <c r="G35" s="13">
        <f ca="1">IFERROR(__xludf.DUMMYFUNCTION("INDEX(SPLIT(E35,"", "",FALSE), 2)"),36.8848697706949)</f>
        <v>36.884869770694898</v>
      </c>
      <c r="H35" s="14" t="s">
        <v>516</v>
      </c>
      <c r="I35" s="2"/>
      <c r="J35" s="2"/>
      <c r="K35" s="2"/>
      <c r="L35" s="2"/>
      <c r="M35" s="2"/>
      <c r="N35" s="2"/>
      <c r="O35" s="2"/>
      <c r="P35" s="2"/>
      <c r="Q35" s="2"/>
      <c r="R35" s="2"/>
      <c r="S35" s="2"/>
      <c r="T35" s="2"/>
      <c r="U35" s="2"/>
      <c r="V35" s="2"/>
      <c r="W35" s="2"/>
      <c r="X35" s="2"/>
      <c r="Y35" s="2"/>
      <c r="Z35" s="2"/>
      <c r="AA35" s="2"/>
      <c r="AB35" s="2"/>
      <c r="AC35" s="2"/>
    </row>
    <row r="36" spans="1:29" ht="15.75" customHeight="1" x14ac:dyDescent="0.25">
      <c r="A36" s="8"/>
      <c r="B36" s="12" t="s">
        <v>506</v>
      </c>
      <c r="C36" s="5" t="s">
        <v>529</v>
      </c>
      <c r="D36" s="5" t="s">
        <v>530</v>
      </c>
      <c r="E36" s="15" t="s">
        <v>531</v>
      </c>
      <c r="F36" s="13">
        <f ca="1">IFERROR(__xludf.DUMMYFUNCTION("INDEX(SPLIT(E36,"", "",FALSE), 1)"),-1.19385365357098)</f>
        <v>-1.1938536535709801</v>
      </c>
      <c r="G36" s="13">
        <f ca="1">IFERROR(__xludf.DUMMYFUNCTION("INDEX(SPLIT(E36,"", "",FALSE), 2)"),36.8424659780985)</f>
        <v>36.842465978098502</v>
      </c>
      <c r="H36" s="14" t="s">
        <v>516</v>
      </c>
      <c r="I36" s="2"/>
      <c r="J36" s="2"/>
      <c r="K36" s="2"/>
      <c r="L36" s="2"/>
      <c r="M36" s="2"/>
      <c r="N36" s="2"/>
      <c r="O36" s="2"/>
      <c r="P36" s="2"/>
      <c r="Q36" s="2"/>
      <c r="R36" s="2"/>
      <c r="S36" s="2"/>
      <c r="T36" s="2"/>
      <c r="U36" s="2"/>
      <c r="V36" s="2"/>
      <c r="W36" s="2"/>
      <c r="X36" s="2"/>
      <c r="Y36" s="2"/>
      <c r="Z36" s="2"/>
      <c r="AA36" s="2"/>
      <c r="AB36" s="2"/>
      <c r="AC36" s="2"/>
    </row>
    <row r="37" spans="1:29" ht="15.75" customHeight="1" x14ac:dyDescent="0.25">
      <c r="A37" s="8"/>
      <c r="B37" s="12" t="s">
        <v>532</v>
      </c>
      <c r="C37" s="5" t="s">
        <v>533</v>
      </c>
      <c r="D37" s="5" t="s">
        <v>534</v>
      </c>
      <c r="E37" s="15" t="s">
        <v>535</v>
      </c>
      <c r="F37" s="13">
        <f ca="1">IFERROR(__xludf.DUMMYFUNCTION("INDEX(SPLIT(E37,"", "",FALSE), 1)"),0.318757690038285)</f>
        <v>0.31875769003828502</v>
      </c>
      <c r="G37" s="13">
        <f ca="1">IFERROR(__xludf.DUMMYFUNCTION("INDEX(SPLIT(E37,"", "",FALSE), 2)"),32.6138424938764)</f>
        <v>32.613842493876398</v>
      </c>
      <c r="H37" s="5" t="s">
        <v>492</v>
      </c>
      <c r="I37" s="2"/>
      <c r="J37" s="2"/>
      <c r="K37" s="2"/>
      <c r="L37" s="2"/>
      <c r="M37" s="2"/>
      <c r="N37" s="2"/>
      <c r="O37" s="2"/>
      <c r="P37" s="2"/>
      <c r="Q37" s="2"/>
      <c r="R37" s="2"/>
      <c r="S37" s="2"/>
      <c r="T37" s="2"/>
      <c r="U37" s="2"/>
      <c r="V37" s="2"/>
      <c r="W37" s="2"/>
      <c r="X37" s="2"/>
      <c r="Y37" s="2"/>
      <c r="Z37" s="2"/>
      <c r="AA37" s="2"/>
      <c r="AB37" s="2"/>
      <c r="AC37" s="2"/>
    </row>
    <row r="38" spans="1:29" ht="15.75" customHeight="1" x14ac:dyDescent="0.25">
      <c r="A38" s="8"/>
      <c r="B38" s="12" t="s">
        <v>532</v>
      </c>
      <c r="C38" s="5" t="s">
        <v>536</v>
      </c>
      <c r="D38" s="5" t="s">
        <v>537</v>
      </c>
      <c r="E38" s="15" t="s">
        <v>538</v>
      </c>
      <c r="F38" s="13">
        <f ca="1">IFERROR(__xludf.DUMMYFUNCTION("INDEX(SPLIT(E38,"", "",FALSE), 1)"),0.317933104803259)</f>
        <v>0.31793310480325898</v>
      </c>
      <c r="G38" s="13">
        <f ca="1">IFERROR(__xludf.DUMMYFUNCTION("INDEX(SPLIT(E38,"", "",FALSE), 2)"),32.6174391166275)</f>
        <v>32.617439116627502</v>
      </c>
      <c r="H38" s="14" t="s">
        <v>539</v>
      </c>
      <c r="I38" s="2"/>
      <c r="J38" s="2"/>
      <c r="K38" s="2"/>
      <c r="L38" s="2"/>
      <c r="M38" s="2"/>
      <c r="N38" s="2"/>
      <c r="O38" s="2"/>
      <c r="P38" s="2"/>
      <c r="Q38" s="2"/>
      <c r="R38" s="2"/>
      <c r="S38" s="2"/>
      <c r="T38" s="2"/>
      <c r="U38" s="2"/>
      <c r="V38" s="2"/>
      <c r="W38" s="2"/>
      <c r="X38" s="2"/>
      <c r="Y38" s="2"/>
      <c r="Z38" s="2"/>
      <c r="AA38" s="2"/>
      <c r="AB38" s="2"/>
      <c r="AC38" s="2"/>
    </row>
    <row r="39" spans="1:29" ht="15.75" customHeight="1" x14ac:dyDescent="0.25">
      <c r="A39" s="8"/>
      <c r="B39" s="12" t="s">
        <v>532</v>
      </c>
      <c r="C39" s="5" t="s">
        <v>540</v>
      </c>
      <c r="D39" s="5" t="s">
        <v>541</v>
      </c>
      <c r="E39" s="15" t="s">
        <v>542</v>
      </c>
      <c r="F39" s="13">
        <f ca="1">IFERROR(__xludf.DUMMYFUNCTION("INDEX(SPLIT(E39,"", "",FALSE), 1)"),2.24354582845873)</f>
        <v>2.2435458284587302</v>
      </c>
      <c r="G39" s="13">
        <f ca="1">IFERROR(__xludf.DUMMYFUNCTION("INDEX(SPLIT(E39,"", "",FALSE), 2)"),32.9028668705196)</f>
        <v>32.902866870519603</v>
      </c>
      <c r="H39" s="14" t="s">
        <v>539</v>
      </c>
      <c r="I39" s="2"/>
      <c r="J39" s="2"/>
      <c r="K39" s="2"/>
      <c r="L39" s="2"/>
      <c r="M39" s="2"/>
      <c r="N39" s="2"/>
      <c r="O39" s="2"/>
      <c r="P39" s="2"/>
      <c r="Q39" s="2"/>
      <c r="R39" s="2"/>
      <c r="S39" s="2"/>
      <c r="T39" s="2"/>
      <c r="U39" s="2"/>
      <c r="V39" s="2"/>
      <c r="W39" s="2"/>
      <c r="X39" s="2"/>
      <c r="Y39" s="2"/>
      <c r="Z39" s="2"/>
      <c r="AA39" s="2"/>
      <c r="AB39" s="2"/>
      <c r="AC39" s="2"/>
    </row>
    <row r="40" spans="1:29" ht="15.75" customHeight="1" x14ac:dyDescent="0.25">
      <c r="A40" s="8"/>
      <c r="B40" s="12" t="s">
        <v>543</v>
      </c>
      <c r="C40" s="5" t="s">
        <v>544</v>
      </c>
      <c r="D40" s="5" t="s">
        <v>545</v>
      </c>
      <c r="E40" s="15" t="s">
        <v>546</v>
      </c>
      <c r="F40" s="13">
        <f ca="1">IFERROR(__xludf.DUMMYFUNCTION("INDEX(SPLIT(E40,"", "",FALSE), 1)"),-8.06098740126826)</f>
        <v>-8.0609874012682603</v>
      </c>
      <c r="G40" s="13">
        <f ca="1">IFERROR(__xludf.DUMMYFUNCTION("INDEX(SPLIT(E40,"", "",FALSE), 2)"),13.4067213811058)</f>
        <v>13.4067213811058</v>
      </c>
      <c r="H40" s="5" t="s">
        <v>492</v>
      </c>
      <c r="I40" s="2"/>
      <c r="J40" s="2"/>
      <c r="K40" s="2"/>
      <c r="L40" s="2"/>
      <c r="M40" s="2"/>
      <c r="N40" s="2"/>
      <c r="O40" s="2"/>
      <c r="P40" s="2"/>
      <c r="Q40" s="2"/>
      <c r="R40" s="2"/>
      <c r="S40" s="2"/>
      <c r="T40" s="2"/>
      <c r="U40" s="2"/>
      <c r="V40" s="2"/>
      <c r="W40" s="2"/>
      <c r="X40" s="2"/>
      <c r="Y40" s="2"/>
      <c r="Z40" s="2"/>
      <c r="AA40" s="2"/>
      <c r="AB40" s="2"/>
      <c r="AC40" s="2"/>
    </row>
    <row r="41" spans="1:29" ht="15.75" customHeight="1" x14ac:dyDescent="0.25">
      <c r="A41" s="8"/>
      <c r="B41" s="12" t="s">
        <v>543</v>
      </c>
      <c r="C41" s="5" t="s">
        <v>547</v>
      </c>
      <c r="D41" s="5" t="s">
        <v>548</v>
      </c>
      <c r="E41" s="15" t="s">
        <v>549</v>
      </c>
      <c r="F41" s="13">
        <f ca="1">IFERROR(__xludf.DUMMYFUNCTION("INDEX(SPLIT(E41,"", "",FALSE), 1)"),-11.6109323277532)</f>
        <v>-11.610932327753201</v>
      </c>
      <c r="G41" s="13">
        <f ca="1">IFERROR(__xludf.DUMMYFUNCTION("INDEX(SPLIT(E41,"", "",FALSE), 2)"),13.5385573175357)</f>
        <v>13.5385573175357</v>
      </c>
      <c r="H41" s="5" t="s">
        <v>492</v>
      </c>
      <c r="I41" s="2"/>
      <c r="J41" s="2"/>
      <c r="K41" s="2"/>
      <c r="L41" s="2"/>
      <c r="M41" s="2"/>
      <c r="N41" s="2"/>
      <c r="O41" s="2"/>
      <c r="P41" s="2"/>
      <c r="Q41" s="2"/>
      <c r="R41" s="2"/>
      <c r="S41" s="2"/>
      <c r="T41" s="2"/>
      <c r="U41" s="2"/>
      <c r="V41" s="2"/>
      <c r="W41" s="2"/>
      <c r="X41" s="2"/>
      <c r="Y41" s="2"/>
      <c r="Z41" s="2"/>
      <c r="AA41" s="2"/>
      <c r="AB41" s="2"/>
      <c r="AC41" s="2"/>
    </row>
    <row r="42" spans="1:29" ht="15.75" customHeight="1" x14ac:dyDescent="0.25">
      <c r="A42" s="8"/>
      <c r="B42" s="12" t="s">
        <v>543</v>
      </c>
      <c r="C42" s="5" t="s">
        <v>550</v>
      </c>
      <c r="D42" s="5" t="s">
        <v>551</v>
      </c>
      <c r="E42" s="15" t="s">
        <v>552</v>
      </c>
      <c r="F42" s="13">
        <f ca="1">IFERROR(__xludf.DUMMYFUNCTION("INDEX(SPLIT(E42,"", "",FALSE), 1)"),-7.82482410612163)</f>
        <v>-7.8248241061216302</v>
      </c>
      <c r="G42" s="13">
        <f ca="1">IFERROR(__xludf.DUMMYFUNCTION("INDEX(SPLIT(E42,"", "",FALSE), 2)"),13.1815218797409)</f>
        <v>13.181521879740901</v>
      </c>
      <c r="H42" s="5" t="s">
        <v>492</v>
      </c>
      <c r="I42" s="2"/>
      <c r="J42" s="2"/>
      <c r="K42" s="2"/>
      <c r="L42" s="2"/>
      <c r="M42" s="2"/>
      <c r="N42" s="2"/>
      <c r="O42" s="2"/>
      <c r="P42" s="2"/>
      <c r="Q42" s="2"/>
      <c r="R42" s="2"/>
      <c r="S42" s="2"/>
      <c r="T42" s="2"/>
      <c r="U42" s="2"/>
      <c r="V42" s="2"/>
      <c r="W42" s="2"/>
      <c r="X42" s="2"/>
      <c r="Y42" s="2"/>
      <c r="Z42" s="2"/>
      <c r="AA42" s="2"/>
      <c r="AB42" s="2"/>
      <c r="AC42" s="2"/>
    </row>
    <row r="43" spans="1:29" ht="15.75" customHeight="1" x14ac:dyDescent="0.25">
      <c r="A43" s="8"/>
      <c r="B43" s="12" t="s">
        <v>543</v>
      </c>
      <c r="C43" s="5" t="s">
        <v>553</v>
      </c>
      <c r="D43" s="5" t="s">
        <v>554</v>
      </c>
      <c r="E43" s="15" t="s">
        <v>555</v>
      </c>
      <c r="F43" s="13">
        <f ca="1">IFERROR(__xludf.DUMMYFUNCTION("INDEX(SPLIT(E43,"", "",FALSE), 1)"),-8.12946425932)</f>
        <v>-8.1294642593200006</v>
      </c>
      <c r="G43" s="13">
        <f ca="1">IFERROR(__xludf.DUMMYFUNCTION("INDEX(SPLIT(E43,"", "",FALSE), 2)"),13.7528109376037)</f>
        <v>13.7528109376037</v>
      </c>
      <c r="H43" s="5" t="s">
        <v>492</v>
      </c>
      <c r="I43" s="2"/>
      <c r="J43" s="2"/>
      <c r="K43" s="2"/>
      <c r="L43" s="2"/>
      <c r="M43" s="2"/>
      <c r="N43" s="2"/>
      <c r="O43" s="2"/>
      <c r="P43" s="2"/>
      <c r="Q43" s="2"/>
      <c r="R43" s="2"/>
      <c r="S43" s="2"/>
      <c r="T43" s="2"/>
      <c r="U43" s="2"/>
      <c r="V43" s="2"/>
      <c r="W43" s="2"/>
      <c r="X43" s="2"/>
      <c r="Y43" s="2"/>
      <c r="Z43" s="2"/>
      <c r="AA43" s="2"/>
      <c r="AB43" s="2"/>
      <c r="AC43" s="2"/>
    </row>
    <row r="44" spans="1:29" ht="15.75" customHeight="1" x14ac:dyDescent="0.25">
      <c r="A44" s="8"/>
      <c r="B44" s="12" t="s">
        <v>543</v>
      </c>
      <c r="C44" s="5" t="s">
        <v>556</v>
      </c>
      <c r="D44" s="5" t="s">
        <v>557</v>
      </c>
      <c r="E44" s="15" t="s">
        <v>558</v>
      </c>
      <c r="F44" s="13">
        <f ca="1">IFERROR(__xludf.DUMMYFUNCTION("INDEX(SPLIT(E44,"", "",FALSE), 1)"),-9.86557728240072)</f>
        <v>-9.8655772824007197</v>
      </c>
      <c r="G44" s="13">
        <f ca="1">IFERROR(__xludf.DUMMYFUNCTION("INDEX(SPLIT(E44,"", "",FALSE), 2)"),15.0711703019025)</f>
        <v>15.0711703019025</v>
      </c>
      <c r="H44" s="5" t="s">
        <v>492</v>
      </c>
      <c r="I44" s="2"/>
      <c r="J44" s="2"/>
      <c r="K44" s="2"/>
      <c r="L44" s="2"/>
      <c r="M44" s="2"/>
      <c r="N44" s="2"/>
      <c r="O44" s="2"/>
      <c r="P44" s="2"/>
      <c r="Q44" s="2"/>
      <c r="R44" s="2"/>
      <c r="S44" s="2"/>
      <c r="T44" s="2"/>
      <c r="U44" s="2"/>
      <c r="V44" s="2"/>
      <c r="W44" s="2"/>
      <c r="X44" s="2"/>
      <c r="Y44" s="2"/>
      <c r="Z44" s="2"/>
      <c r="AA44" s="2"/>
      <c r="AB44" s="2"/>
      <c r="AC44" s="2"/>
    </row>
    <row r="45" spans="1:29" ht="15.75" customHeight="1" x14ac:dyDescent="0.25">
      <c r="A45" s="8"/>
      <c r="B45" s="12" t="s">
        <v>543</v>
      </c>
      <c r="C45" s="5" t="s">
        <v>559</v>
      </c>
      <c r="D45" s="5" t="s">
        <v>560</v>
      </c>
      <c r="E45" s="15" t="s">
        <v>561</v>
      </c>
      <c r="F45" s="13">
        <f ca="1">IFERROR(__xludf.DUMMYFUNCTION("INDEX(SPLIT(E45,"", "",FALSE), 1)"),-7.56352635736139)</f>
        <v>-7.5635263573613898</v>
      </c>
      <c r="G45" s="13">
        <f ca="1">IFERROR(__xludf.DUMMYFUNCTION("INDEX(SPLIT(E45,"", "",FALSE), 2)"),13.5330843768872)</f>
        <v>13.533084376887199</v>
      </c>
      <c r="H45" s="5" t="s">
        <v>492</v>
      </c>
      <c r="I45" s="2"/>
      <c r="J45" s="2"/>
      <c r="K45" s="2"/>
      <c r="L45" s="2"/>
      <c r="M45" s="2"/>
      <c r="N45" s="2"/>
      <c r="O45" s="2"/>
      <c r="P45" s="2"/>
      <c r="Q45" s="2"/>
      <c r="R45" s="2"/>
      <c r="S45" s="2"/>
      <c r="T45" s="2"/>
      <c r="U45" s="2"/>
      <c r="V45" s="2"/>
      <c r="W45" s="2"/>
      <c r="X45" s="2"/>
      <c r="Y45" s="2"/>
      <c r="Z45" s="2"/>
      <c r="AA45" s="2"/>
      <c r="AB45" s="2"/>
      <c r="AC45" s="2"/>
    </row>
    <row r="46" spans="1:29" ht="26.25" x14ac:dyDescent="0.25">
      <c r="A46" s="8"/>
      <c r="B46" s="12" t="s">
        <v>543</v>
      </c>
      <c r="C46" s="5" t="s">
        <v>562</v>
      </c>
      <c r="D46" s="5" t="s">
        <v>563</v>
      </c>
      <c r="E46" s="15" t="s">
        <v>564</v>
      </c>
      <c r="F46" s="13">
        <f ca="1">IFERROR(__xludf.DUMMYFUNCTION("INDEX(SPLIT(E46,"", "",FALSE), 1)"),-7.73774277773046)</f>
        <v>-7.7377427777304604</v>
      </c>
      <c r="G46" s="13">
        <f ca="1">IFERROR(__xludf.DUMMYFUNCTION("INDEX(SPLIT(E46,"", "",FALSE), 2)"),13.4012484404573)</f>
        <v>13.4012484404573</v>
      </c>
      <c r="H46" s="5" t="s">
        <v>492</v>
      </c>
      <c r="I46" s="2"/>
      <c r="J46" s="2"/>
      <c r="K46" s="2"/>
      <c r="L46" s="2"/>
      <c r="M46" s="2"/>
      <c r="N46" s="2"/>
      <c r="O46" s="2"/>
      <c r="P46" s="2"/>
      <c r="Q46" s="2"/>
      <c r="R46" s="2"/>
      <c r="S46" s="2"/>
      <c r="T46" s="2"/>
      <c r="U46" s="2"/>
      <c r="V46" s="2"/>
      <c r="W46" s="2"/>
      <c r="X46" s="2"/>
      <c r="Y46" s="2"/>
      <c r="Z46" s="2"/>
      <c r="AA46" s="2"/>
      <c r="AB46" s="2"/>
      <c r="AC46" s="2"/>
    </row>
    <row r="47" spans="1:29" x14ac:dyDescent="0.25">
      <c r="A47" s="8"/>
      <c r="B47" s="12" t="s">
        <v>543</v>
      </c>
      <c r="C47" s="5" t="s">
        <v>565</v>
      </c>
      <c r="D47" s="5" t="s">
        <v>566</v>
      </c>
      <c r="E47" s="15" t="s">
        <v>567</v>
      </c>
      <c r="F47" s="13">
        <f ca="1">IFERROR(__xludf.DUMMYFUNCTION("INDEX(SPLIT(E47,"", "",FALSE), 1)"),-8.17296560423492)</f>
        <v>-8.1729656042349195</v>
      </c>
      <c r="G47" s="13">
        <f ca="1">IFERROR(__xludf.DUMMYFUNCTION("INDEX(SPLIT(E47,"", "",FALSE), 2)"),13.2694125040275)</f>
        <v>13.2694125040275</v>
      </c>
      <c r="H47" s="5" t="s">
        <v>492</v>
      </c>
      <c r="I47" s="2"/>
      <c r="J47" s="2"/>
      <c r="K47" s="2"/>
      <c r="L47" s="2"/>
      <c r="M47" s="2"/>
      <c r="N47" s="2"/>
      <c r="O47" s="2"/>
      <c r="P47" s="2"/>
      <c r="Q47" s="2"/>
      <c r="R47" s="2"/>
      <c r="S47" s="2"/>
      <c r="T47" s="2"/>
      <c r="U47" s="2"/>
      <c r="V47" s="2"/>
      <c r="W47" s="2"/>
      <c r="X47" s="2"/>
      <c r="Y47" s="2"/>
      <c r="Z47" s="2"/>
      <c r="AA47" s="2"/>
      <c r="AB47" s="2"/>
      <c r="AC47" s="2"/>
    </row>
    <row r="48" spans="1:29" x14ac:dyDescent="0.25">
      <c r="A48" s="8"/>
      <c r="B48" s="12" t="s">
        <v>568</v>
      </c>
      <c r="C48" s="5" t="s">
        <v>569</v>
      </c>
      <c r="D48" s="5" t="s">
        <v>570</v>
      </c>
      <c r="E48" s="15" t="s">
        <v>571</v>
      </c>
      <c r="F48" s="13">
        <f ca="1">IFERROR(__xludf.DUMMYFUNCTION("INDEX(SPLIT(E48,"", "",FALSE), 1)"),-22.391865253276)</f>
        <v>-22.391865253275999</v>
      </c>
      <c r="G48" s="13">
        <f ca="1">IFERROR(__xludf.DUMMYFUNCTION("INDEX(SPLIT(E48,"", "",FALSE), 2)"),31.8456497459095)</f>
        <v>31.845649745909501</v>
      </c>
      <c r="H48" s="5" t="s">
        <v>492</v>
      </c>
      <c r="I48" s="2"/>
      <c r="J48" s="2"/>
      <c r="K48" s="2"/>
      <c r="L48" s="2"/>
      <c r="M48" s="2"/>
      <c r="N48" s="2"/>
      <c r="O48" s="2"/>
      <c r="P48" s="2"/>
      <c r="Q48" s="2"/>
      <c r="R48" s="2"/>
      <c r="S48" s="2"/>
      <c r="T48" s="2"/>
      <c r="U48" s="2"/>
      <c r="V48" s="2"/>
      <c r="W48" s="2"/>
      <c r="X48" s="2"/>
      <c r="Y48" s="2"/>
      <c r="Z48" s="2"/>
      <c r="AA48" s="2"/>
      <c r="AB48" s="2"/>
      <c r="AC48" s="2"/>
    </row>
    <row r="49" spans="1:29" ht="26.25" x14ac:dyDescent="0.25">
      <c r="A49" s="8"/>
      <c r="B49" s="12" t="s">
        <v>568</v>
      </c>
      <c r="C49" s="5" t="s">
        <v>572</v>
      </c>
      <c r="D49" s="5" t="s">
        <v>573</v>
      </c>
      <c r="E49" s="15" t="s">
        <v>574</v>
      </c>
      <c r="F49" s="13">
        <f ca="1">IFERROR(__xludf.DUMMYFUNCTION("INDEX(SPLIT(E49,"", "",FALSE), 1)"),-24.1679381328187)</f>
        <v>-24.167938132818701</v>
      </c>
      <c r="G49" s="13">
        <f ca="1">IFERROR(__xludf.DUMMYFUNCTION("INDEX(SPLIT(E49,"", "",FALSE), 2)"),32.9003372373485)</f>
        <v>32.900337237348502</v>
      </c>
      <c r="H49" s="5" t="s">
        <v>492</v>
      </c>
      <c r="I49" s="2"/>
      <c r="J49" s="2"/>
      <c r="K49" s="2"/>
      <c r="L49" s="2"/>
      <c r="M49" s="2"/>
      <c r="N49" s="2"/>
      <c r="O49" s="2"/>
      <c r="P49" s="2"/>
      <c r="Q49" s="2"/>
      <c r="R49" s="2"/>
      <c r="S49" s="2"/>
      <c r="T49" s="2"/>
      <c r="U49" s="2"/>
      <c r="V49" s="2"/>
      <c r="W49" s="2"/>
      <c r="X49" s="2"/>
      <c r="Y49" s="2"/>
      <c r="Z49" s="2"/>
      <c r="AA49" s="2"/>
      <c r="AB49" s="2"/>
      <c r="AC49" s="2"/>
    </row>
    <row r="50" spans="1:29" x14ac:dyDescent="0.25">
      <c r="A50" s="8"/>
      <c r="B50" s="12" t="s">
        <v>568</v>
      </c>
      <c r="C50" s="5" t="s">
        <v>575</v>
      </c>
      <c r="D50" s="5" t="s">
        <v>576</v>
      </c>
      <c r="E50" s="15" t="s">
        <v>577</v>
      </c>
      <c r="F50" s="13">
        <f ca="1">IFERROR(__xludf.DUMMYFUNCTION("INDEX(SPLIT(E50,"", "",FALSE), 1)"),-10.791364184482)</f>
        <v>-10.791364184481999</v>
      </c>
      <c r="G50" s="13">
        <f ca="1">IFERROR(__xludf.DUMMYFUNCTION("INDEX(SPLIT(E50,"", "",FALSE), 2)"),39.2284621859827)</f>
        <v>39.2284621859827</v>
      </c>
      <c r="H50" s="5" t="s">
        <v>492</v>
      </c>
      <c r="I50" s="2"/>
      <c r="J50" s="2"/>
      <c r="K50" s="2"/>
      <c r="L50" s="2"/>
      <c r="M50" s="2"/>
      <c r="N50" s="2"/>
      <c r="O50" s="2"/>
      <c r="P50" s="2"/>
      <c r="Q50" s="2"/>
      <c r="R50" s="2"/>
      <c r="S50" s="2"/>
      <c r="T50" s="2"/>
      <c r="U50" s="2"/>
      <c r="V50" s="2"/>
      <c r="W50" s="2"/>
      <c r="X50" s="2"/>
      <c r="Y50" s="2"/>
      <c r="Z50" s="2"/>
      <c r="AA50" s="2"/>
      <c r="AB50" s="2"/>
      <c r="AC50" s="2"/>
    </row>
    <row r="51" spans="1:29" x14ac:dyDescent="0.25">
      <c r="A51" s="8"/>
      <c r="B51" s="12" t="s">
        <v>568</v>
      </c>
      <c r="C51" s="5" t="s">
        <v>578</v>
      </c>
      <c r="D51" s="5" t="s">
        <v>579</v>
      </c>
      <c r="E51" s="15" t="s">
        <v>580</v>
      </c>
      <c r="F51" s="13">
        <f ca="1">IFERROR(__xludf.DUMMYFUNCTION("INDEX(SPLIT(E51,"", "",FALSE), 1)"),-23.5248417690923)</f>
        <v>-23.524841769092301</v>
      </c>
      <c r="G51" s="13">
        <f ca="1">IFERROR(__xludf.DUMMYFUNCTION("INDEX(SPLIT(E51,"", "",FALSE), 2)"),32.9003372373485)</f>
        <v>32.900337237348502</v>
      </c>
      <c r="H51" s="5" t="s">
        <v>492</v>
      </c>
      <c r="I51" s="2"/>
      <c r="J51" s="2"/>
      <c r="K51" s="2"/>
      <c r="L51" s="2"/>
      <c r="M51" s="2"/>
      <c r="N51" s="2"/>
      <c r="O51" s="2"/>
      <c r="P51" s="2"/>
      <c r="Q51" s="2"/>
      <c r="R51" s="2"/>
      <c r="S51" s="2"/>
      <c r="T51" s="2"/>
      <c r="U51" s="2"/>
      <c r="V51" s="2"/>
      <c r="W51" s="2"/>
      <c r="X51" s="2"/>
      <c r="Y51" s="2"/>
      <c r="Z51" s="2"/>
      <c r="AA51" s="2"/>
      <c r="AB51" s="2"/>
      <c r="AC51" s="2"/>
    </row>
    <row r="52" spans="1:29" ht="26.25" x14ac:dyDescent="0.25">
      <c r="A52" s="8"/>
      <c r="B52" s="12" t="s">
        <v>568</v>
      </c>
      <c r="C52" s="5" t="s">
        <v>581</v>
      </c>
      <c r="D52" s="5" t="s">
        <v>582</v>
      </c>
      <c r="E52" s="15" t="s">
        <v>583</v>
      </c>
      <c r="F52" s="13">
        <f ca="1">IFERROR(__xludf.DUMMYFUNCTION("INDEX(SPLIT(E52,"", "",FALSE), 1)"),-16.4267420224503)</f>
        <v>-16.426742022450298</v>
      </c>
      <c r="G52" s="13">
        <f ca="1">IFERROR(__xludf.DUMMYFUNCTION("INDEX(SPLIT(E52,"", "",FALSE), 2)"),36.2401809602388)</f>
        <v>36.240180960238803</v>
      </c>
      <c r="H52" s="5" t="s">
        <v>492</v>
      </c>
      <c r="I52" s="2"/>
      <c r="J52" s="2"/>
      <c r="K52" s="2"/>
      <c r="L52" s="2"/>
      <c r="M52" s="2"/>
      <c r="N52" s="2"/>
      <c r="O52" s="2"/>
      <c r="P52" s="2"/>
      <c r="Q52" s="2"/>
      <c r="R52" s="2"/>
      <c r="S52" s="2"/>
      <c r="T52" s="2"/>
      <c r="U52" s="2"/>
      <c r="V52" s="2"/>
      <c r="W52" s="2"/>
      <c r="X52" s="2"/>
      <c r="Y52" s="2"/>
      <c r="Z52" s="2"/>
      <c r="AA52" s="2"/>
      <c r="AB52" s="2"/>
      <c r="AC52" s="2"/>
    </row>
    <row r="53" spans="1:29" ht="26.25" x14ac:dyDescent="0.25">
      <c r="A53" s="8"/>
      <c r="B53" s="12" t="s">
        <v>568</v>
      </c>
      <c r="C53" s="5" t="s">
        <v>584</v>
      </c>
      <c r="D53" s="5" t="s">
        <v>585</v>
      </c>
      <c r="E53" s="15" t="s">
        <v>586</v>
      </c>
      <c r="F53" s="13">
        <f ca="1">IFERROR(__xludf.DUMMYFUNCTION("INDEX(SPLIT(E53,"", "",FALSE), 1)"),-23.2021053060494)</f>
        <v>-23.2021053060494</v>
      </c>
      <c r="G53" s="13">
        <f ca="1">IFERROR(__xludf.DUMMYFUNCTION("INDEX(SPLIT(E53,"", "",FALSE), 2)"),33.2518997344949)</f>
        <v>33.251899734494899</v>
      </c>
      <c r="H53" s="5" t="s">
        <v>492</v>
      </c>
      <c r="I53" s="2"/>
      <c r="J53" s="2"/>
      <c r="K53" s="2"/>
      <c r="L53" s="2"/>
      <c r="M53" s="2"/>
      <c r="N53" s="2"/>
      <c r="O53" s="2"/>
      <c r="P53" s="2"/>
      <c r="Q53" s="2"/>
      <c r="R53" s="2"/>
      <c r="S53" s="2"/>
      <c r="T53" s="2"/>
      <c r="U53" s="2"/>
      <c r="V53" s="2"/>
      <c r="W53" s="2"/>
      <c r="X53" s="2"/>
      <c r="Y53" s="2"/>
      <c r="Z53" s="2"/>
      <c r="AA53" s="2"/>
      <c r="AB53" s="2"/>
      <c r="AC53" s="2"/>
    </row>
    <row r="54" spans="1:29" x14ac:dyDescent="0.25">
      <c r="A54" s="8"/>
      <c r="B54" s="12" t="s">
        <v>568</v>
      </c>
      <c r="C54" s="5" t="s">
        <v>587</v>
      </c>
      <c r="D54" s="5" t="s">
        <v>588</v>
      </c>
      <c r="E54" s="15" t="s">
        <v>589</v>
      </c>
      <c r="F54" s="13">
        <f ca="1">IFERROR(__xludf.DUMMYFUNCTION("INDEX(SPLIT(E54,"", "",FALSE), 1)"),-16.4267420224503)</f>
        <v>-16.426742022450298</v>
      </c>
      <c r="G54" s="13">
        <f ca="1">IFERROR(__xludf.DUMMYFUNCTION("INDEX(SPLIT(E54,"", "",FALSE), 2)"),33.0761184859217)</f>
        <v>33.076118485921697</v>
      </c>
      <c r="H54" s="5" t="s">
        <v>492</v>
      </c>
      <c r="I54" s="2"/>
      <c r="J54" s="2"/>
      <c r="K54" s="2"/>
      <c r="L54" s="2"/>
      <c r="M54" s="2"/>
      <c r="N54" s="2"/>
      <c r="O54" s="2"/>
      <c r="P54" s="2"/>
      <c r="Q54" s="2"/>
      <c r="R54" s="2"/>
      <c r="S54" s="2"/>
      <c r="T54" s="2"/>
      <c r="U54" s="2"/>
      <c r="V54" s="2"/>
      <c r="W54" s="2"/>
      <c r="X54" s="2"/>
      <c r="Y54" s="2"/>
      <c r="Z54" s="2"/>
      <c r="AA54" s="2"/>
      <c r="AB54" s="2"/>
      <c r="AC54" s="2"/>
    </row>
    <row r="55" spans="1:29" x14ac:dyDescent="0.25">
      <c r="A55" s="8"/>
      <c r="B55" s="12" t="s">
        <v>590</v>
      </c>
      <c r="C55" s="5" t="s">
        <v>591</v>
      </c>
      <c r="D55" s="5" t="s">
        <v>592</v>
      </c>
      <c r="E55" s="15" t="s">
        <v>593</v>
      </c>
      <c r="F55" s="13">
        <f ca="1">IFERROR(__xludf.DUMMYFUNCTION("INDEX(SPLIT(E55,"", "",FALSE), 1)"),5.67032071694938)</f>
        <v>5.6703207169493801</v>
      </c>
      <c r="G55" s="13">
        <f ca="1">IFERROR(__xludf.DUMMYFUNCTION("INDEX(SPLIT(E55,"", "",FALSE), 2)"),-0.206731857808205)</f>
        <v>-0.20673185780820499</v>
      </c>
      <c r="H55" s="5" t="s">
        <v>492</v>
      </c>
      <c r="I55" s="2"/>
      <c r="J55" s="2"/>
      <c r="K55" s="2"/>
      <c r="L55" s="2"/>
      <c r="M55" s="2"/>
      <c r="N55" s="2"/>
      <c r="O55" s="2"/>
      <c r="P55" s="2"/>
      <c r="Q55" s="2"/>
      <c r="R55" s="2"/>
      <c r="S55" s="2"/>
      <c r="T55" s="2"/>
      <c r="U55" s="2"/>
      <c r="V55" s="2"/>
      <c r="W55" s="2"/>
      <c r="X55" s="2"/>
      <c r="Y55" s="2"/>
      <c r="Z55" s="2"/>
      <c r="AA55" s="2"/>
      <c r="AB55" s="2"/>
      <c r="AC55" s="2"/>
    </row>
    <row r="56" spans="1:29" ht="26.25" x14ac:dyDescent="0.25">
      <c r="A56" s="8"/>
      <c r="B56" s="12" t="s">
        <v>590</v>
      </c>
      <c r="C56" s="5" t="s">
        <v>594</v>
      </c>
      <c r="D56" s="5" t="s">
        <v>595</v>
      </c>
      <c r="E56" s="15" t="s">
        <v>596</v>
      </c>
      <c r="F56" s="13">
        <f ca="1">IFERROR(__xludf.DUMMYFUNCTION("INDEX(SPLIT(E56,"", "",FALSE), 1)"),5.79602003488508)</f>
        <v>5.7960200348850801</v>
      </c>
      <c r="G56" s="13">
        <f ca="1">IFERROR(__xludf.DUMMYFUNCTION("INDEX(SPLIT(E56,"", "",FALSE), 2)"),-0.18176200280627)</f>
        <v>-0.18176200280627</v>
      </c>
      <c r="H56" s="5" t="s">
        <v>492</v>
      </c>
      <c r="I56" s="2"/>
      <c r="J56" s="2"/>
      <c r="K56" s="2"/>
      <c r="L56" s="2"/>
      <c r="M56" s="2"/>
      <c r="N56" s="2"/>
      <c r="O56" s="2"/>
      <c r="P56" s="2"/>
      <c r="Q56" s="2"/>
      <c r="R56" s="2"/>
      <c r="S56" s="2"/>
      <c r="T56" s="2"/>
      <c r="U56" s="2"/>
      <c r="V56" s="2"/>
      <c r="W56" s="2"/>
      <c r="X56" s="2"/>
      <c r="Y56" s="2"/>
      <c r="Z56" s="2"/>
      <c r="AA56" s="2"/>
      <c r="AB56" s="2"/>
      <c r="AC56" s="2"/>
    </row>
    <row r="57" spans="1:29" x14ac:dyDescent="0.25">
      <c r="A57" s="8"/>
      <c r="B57" s="12" t="s">
        <v>590</v>
      </c>
      <c r="C57" s="5" t="s">
        <v>597</v>
      </c>
      <c r="D57" s="5" t="s">
        <v>598</v>
      </c>
      <c r="E57" s="15" t="s">
        <v>599</v>
      </c>
      <c r="F57" s="13">
        <f ca="1">IFERROR(__xludf.DUMMYFUNCTION("INDEX(SPLIT(E57,"", "",FALSE), 1)"),5.7195037323525)</f>
        <v>5.7195037323525</v>
      </c>
      <c r="G57" s="13">
        <f ca="1">IFERROR(__xludf.DUMMYFUNCTION("INDEX(SPLIT(E57,"", "",FALSE), 2)"),-0.214720986913739)</f>
        <v>-0.214720986913739</v>
      </c>
      <c r="H57" s="5" t="s">
        <v>492</v>
      </c>
      <c r="I57" s="2"/>
      <c r="J57" s="2"/>
      <c r="K57" s="2"/>
      <c r="L57" s="2"/>
      <c r="M57" s="2"/>
      <c r="N57" s="2"/>
      <c r="O57" s="2"/>
      <c r="P57" s="2"/>
      <c r="Q57" s="2"/>
      <c r="R57" s="2"/>
      <c r="S57" s="2"/>
      <c r="T57" s="2"/>
      <c r="U57" s="2"/>
      <c r="V57" s="2"/>
      <c r="W57" s="2"/>
      <c r="X57" s="2"/>
      <c r="Y57" s="2"/>
      <c r="Z57" s="2"/>
      <c r="AA57" s="2"/>
      <c r="AB57" s="2"/>
      <c r="AC57" s="2"/>
    </row>
    <row r="58" spans="1:29" ht="39" x14ac:dyDescent="0.25">
      <c r="A58" s="8"/>
      <c r="B58" s="12" t="s">
        <v>590</v>
      </c>
      <c r="C58" s="5" t="s">
        <v>600</v>
      </c>
      <c r="D58" s="5" t="s">
        <v>601</v>
      </c>
      <c r="E58" s="15" t="s">
        <v>602</v>
      </c>
      <c r="F58" s="13">
        <f ca="1">IFERROR(__xludf.DUMMYFUNCTION("INDEX(SPLIT(E58,"", "",FALSE), 1)"),6.85519037220343)</f>
        <v>6.8551903722034302</v>
      </c>
      <c r="G58" s="13">
        <f ca="1">IFERROR(__xludf.DUMMYFUNCTION("INDEX(SPLIT(E58,"", "",FALSE), 2)"),-1.6209709754991)</f>
        <v>-1.6209709754991</v>
      </c>
      <c r="H58" s="5" t="s">
        <v>492</v>
      </c>
      <c r="I58" s="2"/>
      <c r="J58" s="2"/>
      <c r="K58" s="2"/>
      <c r="L58" s="2"/>
      <c r="M58" s="2"/>
      <c r="N58" s="2"/>
      <c r="O58" s="2"/>
      <c r="P58" s="2"/>
      <c r="Q58" s="2"/>
      <c r="R58" s="2"/>
      <c r="S58" s="2"/>
      <c r="T58" s="2"/>
      <c r="U58" s="2"/>
      <c r="V58" s="2"/>
      <c r="W58" s="2"/>
      <c r="X58" s="2"/>
      <c r="Y58" s="2"/>
      <c r="Z58" s="2"/>
      <c r="AA58" s="2"/>
      <c r="AB58" s="2"/>
      <c r="AC58" s="2"/>
    </row>
    <row r="59" spans="1:29" ht="26.25" x14ac:dyDescent="0.25">
      <c r="A59" s="8"/>
      <c r="B59" s="12" t="s">
        <v>590</v>
      </c>
      <c r="C59" s="5" t="s">
        <v>603</v>
      </c>
      <c r="D59" s="5" t="s">
        <v>604</v>
      </c>
      <c r="E59" s="15" t="s">
        <v>605</v>
      </c>
      <c r="F59" s="13">
        <f ca="1">IFERROR(__xludf.DUMMYFUNCTION("INDEX(SPLIT(E59,"", "",FALSE), 1)"),5.78508976633002)</f>
        <v>5.78508976633002</v>
      </c>
      <c r="G59" s="13">
        <f ca="1">IFERROR(__xludf.DUMMYFUNCTION("INDEX(SPLIT(E59,"", "",FALSE), 2)"),-0.203734658877915)</f>
        <v>-0.203734658877915</v>
      </c>
      <c r="H59" s="5" t="s">
        <v>492</v>
      </c>
      <c r="I59" s="2"/>
      <c r="J59" s="2"/>
      <c r="K59" s="2"/>
      <c r="L59" s="2"/>
      <c r="M59" s="2"/>
      <c r="N59" s="2"/>
      <c r="O59" s="2"/>
      <c r="P59" s="2"/>
      <c r="Q59" s="2"/>
      <c r="R59" s="2"/>
      <c r="S59" s="2"/>
      <c r="T59" s="2"/>
      <c r="U59" s="2"/>
      <c r="V59" s="2"/>
      <c r="W59" s="2"/>
      <c r="X59" s="2"/>
      <c r="Y59" s="2"/>
      <c r="Z59" s="2"/>
      <c r="AA59" s="2"/>
      <c r="AB59" s="2"/>
      <c r="AC59" s="2"/>
    </row>
    <row r="60" spans="1:29" ht="26.25" x14ac:dyDescent="0.25">
      <c r="A60" s="8"/>
      <c r="B60" s="12" t="s">
        <v>590</v>
      </c>
      <c r="C60" s="5" t="s">
        <v>606</v>
      </c>
      <c r="D60" s="5" t="s">
        <v>607</v>
      </c>
      <c r="E60" s="15" t="s">
        <v>608</v>
      </c>
      <c r="F60" s="13">
        <f ca="1">IFERROR(__xludf.DUMMYFUNCTION("INDEX(SPLIT(E60,"", "",FALSE), 1)"),5.86159718774219)</f>
        <v>5.8615971877421904</v>
      </c>
      <c r="G60" s="13">
        <f ca="1">IFERROR(__xludf.DUMMYFUNCTION("INDEX(SPLIT(E60,"", "",FALSE), 2)"),-0.170775674770446)</f>
        <v>-0.170775674770446</v>
      </c>
      <c r="H60" s="5" t="s">
        <v>492</v>
      </c>
      <c r="I60" s="2"/>
      <c r="J60" s="2"/>
      <c r="K60" s="2"/>
      <c r="L60" s="2"/>
      <c r="M60" s="2"/>
      <c r="N60" s="2"/>
      <c r="O60" s="2"/>
      <c r="P60" s="2"/>
      <c r="Q60" s="2"/>
      <c r="R60" s="2"/>
      <c r="S60" s="2"/>
      <c r="T60" s="2"/>
      <c r="U60" s="2"/>
      <c r="V60" s="2"/>
      <c r="W60" s="2"/>
      <c r="X60" s="2"/>
      <c r="Y60" s="2"/>
      <c r="Z60" s="2"/>
      <c r="AA60" s="2"/>
      <c r="AB60" s="2"/>
      <c r="AC60" s="2"/>
    </row>
    <row r="61" spans="1:29" ht="26.25" x14ac:dyDescent="0.25">
      <c r="A61" s="8"/>
      <c r="B61" s="12" t="s">
        <v>590</v>
      </c>
      <c r="C61" s="5" t="s">
        <v>609</v>
      </c>
      <c r="D61" s="5" t="s">
        <v>610</v>
      </c>
      <c r="E61" s="15" t="s">
        <v>611</v>
      </c>
      <c r="F61" s="13">
        <f ca="1">IFERROR(__xludf.DUMMYFUNCTION("INDEX(SPLIT(E61,"", "",FALSE), 1)"),6.88791260681256)</f>
        <v>6.8879126068125602</v>
      </c>
      <c r="G61" s="13">
        <f ca="1">IFERROR(__xludf.DUMMYFUNCTION("INDEX(SPLIT(E61,"", "",FALSE), 2)"),-1.58801199139163)</f>
        <v>-1.58801199139163</v>
      </c>
      <c r="H61" s="5" t="s">
        <v>492</v>
      </c>
      <c r="I61" s="2"/>
      <c r="J61" s="2"/>
      <c r="K61" s="2"/>
      <c r="L61" s="2"/>
      <c r="M61" s="2"/>
      <c r="N61" s="2"/>
      <c r="O61" s="2"/>
      <c r="P61" s="2"/>
      <c r="Q61" s="2"/>
      <c r="R61" s="2"/>
      <c r="S61" s="2"/>
      <c r="T61" s="2"/>
      <c r="U61" s="2"/>
      <c r="V61" s="2"/>
      <c r="W61" s="2"/>
      <c r="X61" s="2"/>
      <c r="Y61" s="2"/>
      <c r="Z61" s="2"/>
      <c r="AA61" s="2"/>
      <c r="AB61" s="2"/>
      <c r="AC61" s="2"/>
    </row>
    <row r="62" spans="1:29" ht="26.25" x14ac:dyDescent="0.25">
      <c r="A62" s="8"/>
      <c r="B62" s="12" t="s">
        <v>612</v>
      </c>
      <c r="C62" s="5" t="s">
        <v>613</v>
      </c>
      <c r="D62" s="5" t="s">
        <v>614</v>
      </c>
      <c r="E62" s="15" t="s">
        <v>615</v>
      </c>
      <c r="F62" s="13">
        <f ca="1">IFERROR(__xludf.DUMMYFUNCTION("INDEX(SPLIT(E62,"", "",FALSE), 1)"),-18.6781042302623)</f>
        <v>-18.678104230262299</v>
      </c>
      <c r="G62" s="13">
        <f ca="1">IFERROR(__xludf.DUMMYFUNCTION("INDEX(SPLIT(E62,"", "",FALSE), 2)"),47.4860714459478)</f>
        <v>47.4860714459478</v>
      </c>
      <c r="H62" s="5" t="s">
        <v>492</v>
      </c>
      <c r="I62" s="2"/>
      <c r="J62" s="2"/>
      <c r="K62" s="2"/>
      <c r="L62" s="2"/>
      <c r="M62" s="2"/>
      <c r="N62" s="2"/>
      <c r="O62" s="2"/>
      <c r="P62" s="2"/>
      <c r="Q62" s="2"/>
      <c r="R62" s="2"/>
      <c r="S62" s="2"/>
      <c r="T62" s="2"/>
      <c r="U62" s="2"/>
      <c r="V62" s="2"/>
      <c r="W62" s="2"/>
      <c r="X62" s="2"/>
      <c r="Y62" s="2"/>
      <c r="Z62" s="2"/>
      <c r="AA62" s="2"/>
      <c r="AB62" s="2"/>
      <c r="AC62" s="2"/>
    </row>
    <row r="63" spans="1:29" x14ac:dyDescent="0.25">
      <c r="A63" s="8"/>
      <c r="B63" s="12" t="s">
        <v>616</v>
      </c>
      <c r="C63" s="5" t="s">
        <v>617</v>
      </c>
      <c r="D63" s="5" t="s">
        <v>618</v>
      </c>
      <c r="E63" s="15" t="s">
        <v>619</v>
      </c>
      <c r="F63" s="13">
        <f ca="1">IFERROR(__xludf.DUMMYFUNCTION("INDEX(SPLIT(E63,"", "",FALSE), 1)"),4.06646546019712)</f>
        <v>4.0664654601971204</v>
      </c>
      <c r="G63" s="13">
        <f ca="1">IFERROR(__xludf.DUMMYFUNCTION("INDEX(SPLIT(E63,"", "",FALSE), 2)"),11.4932659458258)</f>
        <v>11.493265945825801</v>
      </c>
      <c r="H63" s="5" t="s">
        <v>492</v>
      </c>
      <c r="I63" s="2"/>
      <c r="J63" s="2"/>
      <c r="K63" s="2"/>
      <c r="L63" s="2"/>
      <c r="M63" s="2"/>
      <c r="N63" s="2"/>
      <c r="O63" s="2"/>
      <c r="P63" s="2"/>
      <c r="Q63" s="2"/>
      <c r="R63" s="2"/>
      <c r="S63" s="2"/>
      <c r="T63" s="2"/>
      <c r="U63" s="2"/>
      <c r="V63" s="2"/>
      <c r="W63" s="2"/>
      <c r="X63" s="2"/>
      <c r="Y63" s="2"/>
      <c r="Z63" s="2"/>
      <c r="AA63" s="2"/>
      <c r="AB63" s="2"/>
      <c r="AC63" s="2"/>
    </row>
    <row r="64" spans="1:29" x14ac:dyDescent="0.25">
      <c r="A64" s="8"/>
      <c r="B64" s="12" t="s">
        <v>616</v>
      </c>
      <c r="C64" s="5" t="s">
        <v>620</v>
      </c>
      <c r="D64" s="5" t="s">
        <v>621</v>
      </c>
      <c r="E64" s="15" t="s">
        <v>622</v>
      </c>
      <c r="F64" s="13">
        <f ca="1">IFERROR(__xludf.DUMMYFUNCTION("INDEX(SPLIT(E64,"", "",FALSE), 1)"),4.28276730993687)</f>
        <v>4.2827673099368697</v>
      </c>
      <c r="G64" s="13">
        <f ca="1">IFERROR(__xludf.DUMMYFUNCTION("INDEX(SPLIT(E64,"", "",FALSE), 2)"),9.72456731993985)</f>
        <v>9.7245673199398492</v>
      </c>
      <c r="H64" s="5" t="s">
        <v>492</v>
      </c>
      <c r="I64" s="2"/>
      <c r="J64" s="2"/>
      <c r="K64" s="2"/>
      <c r="L64" s="2"/>
      <c r="M64" s="2"/>
      <c r="N64" s="2"/>
      <c r="O64" s="2"/>
      <c r="P64" s="2"/>
      <c r="Q64" s="2"/>
      <c r="R64" s="2"/>
      <c r="S64" s="2"/>
      <c r="T64" s="2"/>
      <c r="U64" s="2"/>
      <c r="V64" s="2"/>
      <c r="W64" s="2"/>
      <c r="X64" s="2"/>
      <c r="Y64" s="2"/>
      <c r="Z64" s="2"/>
      <c r="AA64" s="2"/>
      <c r="AB64" s="2"/>
      <c r="AC64" s="2"/>
    </row>
    <row r="65" spans="1:29" ht="26.25" x14ac:dyDescent="0.25">
      <c r="A65" s="8"/>
      <c r="B65" s="12" t="s">
        <v>616</v>
      </c>
      <c r="C65" s="5" t="s">
        <v>623</v>
      </c>
      <c r="D65" s="5" t="s">
        <v>624</v>
      </c>
      <c r="E65" s="15" t="s">
        <v>625</v>
      </c>
      <c r="F65" s="13">
        <f ca="1">IFERROR(__xludf.DUMMYFUNCTION("INDEX(SPLIT(E65,"", "",FALSE), 1)"),4.23894345865607)</f>
        <v>4.2389434586560704</v>
      </c>
      <c r="G65" s="13">
        <f ca="1">IFERROR(__xludf.DUMMYFUNCTION("INDEX(SPLIT(E65,"", "",FALSE), 2)"),9.7025946638682)</f>
        <v>9.7025946638682008</v>
      </c>
      <c r="H65" s="5" t="s">
        <v>492</v>
      </c>
      <c r="I65" s="2"/>
      <c r="J65" s="2"/>
      <c r="K65" s="2"/>
      <c r="L65" s="2"/>
      <c r="M65" s="2"/>
      <c r="N65" s="2"/>
      <c r="O65" s="2"/>
      <c r="P65" s="2"/>
      <c r="Q65" s="2"/>
      <c r="R65" s="2"/>
      <c r="S65" s="2"/>
      <c r="T65" s="2"/>
      <c r="U65" s="2"/>
      <c r="V65" s="2"/>
      <c r="W65" s="2"/>
      <c r="X65" s="2"/>
      <c r="Y65" s="2"/>
      <c r="Z65" s="2"/>
      <c r="AA65" s="2"/>
      <c r="AB65" s="2"/>
      <c r="AC65" s="2"/>
    </row>
    <row r="66" spans="1:29" x14ac:dyDescent="0.25">
      <c r="A66" s="8"/>
      <c r="B66" s="12" t="s">
        <v>616</v>
      </c>
      <c r="C66" s="5" t="s">
        <v>626</v>
      </c>
      <c r="D66" s="5" t="s">
        <v>627</v>
      </c>
      <c r="E66" s="15" t="s">
        <v>628</v>
      </c>
      <c r="F66" s="13">
        <f ca="1">IFERROR(__xludf.DUMMYFUNCTION("INDEX(SPLIT(E66,"", "",FALSE), 1)"),4.26085569646151)</f>
        <v>4.2608556964615101</v>
      </c>
      <c r="G66" s="13">
        <f ca="1">IFERROR(__xludf.DUMMYFUNCTION("INDEX(SPLIT(E66,"", "",FALSE), 2)"),9.7025946638682)</f>
        <v>9.7025946638682008</v>
      </c>
      <c r="H66" s="5" t="s">
        <v>492</v>
      </c>
      <c r="I66" s="2"/>
      <c r="J66" s="2"/>
      <c r="K66" s="2"/>
      <c r="L66" s="2"/>
      <c r="M66" s="2"/>
      <c r="N66" s="2"/>
      <c r="O66" s="2"/>
      <c r="P66" s="2"/>
      <c r="Q66" s="2"/>
      <c r="R66" s="2"/>
      <c r="S66" s="2"/>
      <c r="T66" s="2"/>
      <c r="U66" s="2"/>
      <c r="V66" s="2"/>
      <c r="W66" s="2"/>
      <c r="X66" s="2"/>
      <c r="Y66" s="2"/>
      <c r="Z66" s="2"/>
      <c r="AA66" s="2"/>
      <c r="AB66" s="2"/>
      <c r="AC66" s="2"/>
    </row>
    <row r="67" spans="1:29" x14ac:dyDescent="0.25">
      <c r="A67" s="8"/>
      <c r="B67" s="12" t="s">
        <v>616</v>
      </c>
      <c r="C67" s="5" t="s">
        <v>629</v>
      </c>
      <c r="D67" s="5" t="s">
        <v>630</v>
      </c>
      <c r="E67" s="15" t="s">
        <v>631</v>
      </c>
      <c r="F67" s="13">
        <f ca="1">IFERROR(__xludf.DUMMYFUNCTION("INDEX(SPLIT(E67,"", "",FALSE), 1)"),5.75795752634183)</f>
        <v>5.7579575263418299</v>
      </c>
      <c r="G67" s="13">
        <f ca="1">IFERROR(__xludf.DUMMYFUNCTION("INDEX(SPLIT(E67,"", "",FALSE), 2)"),10.2611531689507)</f>
        <v>10.261153168950701</v>
      </c>
      <c r="H67" s="5" t="s">
        <v>492</v>
      </c>
      <c r="I67" s="2"/>
      <c r="J67" s="2"/>
      <c r="K67" s="2"/>
      <c r="L67" s="2"/>
      <c r="M67" s="2"/>
      <c r="N67" s="2"/>
      <c r="O67" s="2"/>
      <c r="P67" s="2"/>
      <c r="Q67" s="2"/>
      <c r="R67" s="2"/>
      <c r="S67" s="2"/>
      <c r="T67" s="2"/>
      <c r="U67" s="2"/>
      <c r="V67" s="2"/>
      <c r="W67" s="2"/>
      <c r="X67" s="2"/>
      <c r="Y67" s="2"/>
      <c r="Z67" s="2"/>
      <c r="AA67" s="2"/>
      <c r="AB67" s="2"/>
      <c r="AC67" s="2"/>
    </row>
    <row r="68" spans="1:29" x14ac:dyDescent="0.25">
      <c r="A68" s="8"/>
      <c r="B68" s="12" t="s">
        <v>451</v>
      </c>
      <c r="C68" s="5" t="s">
        <v>632</v>
      </c>
      <c r="D68" s="5" t="s">
        <v>633</v>
      </c>
      <c r="E68" s="15" t="s">
        <v>634</v>
      </c>
      <c r="F68" s="13">
        <f ca="1">IFERROR(__xludf.DUMMYFUNCTION("INDEX(SPLIT(E68,"", "",FALSE), 1)"),-16.2368978159838)</f>
        <v>-16.236897815983799</v>
      </c>
      <c r="G68" s="13">
        <f ca="1">IFERROR(__xludf.DUMMYFUNCTION("INDEX(SPLIT(E68,"", "",FALSE), 2)"),30.9082799423201)</f>
        <v>30.9082799423201</v>
      </c>
      <c r="H68" s="5" t="s">
        <v>492</v>
      </c>
      <c r="I68" s="2"/>
      <c r="J68" s="2"/>
      <c r="K68" s="2"/>
      <c r="L68" s="2"/>
      <c r="M68" s="2"/>
      <c r="N68" s="2"/>
      <c r="O68" s="2"/>
      <c r="P68" s="2"/>
      <c r="Q68" s="2"/>
      <c r="R68" s="2"/>
      <c r="S68" s="2"/>
      <c r="T68" s="2"/>
      <c r="U68" s="2"/>
      <c r="V68" s="2"/>
      <c r="W68" s="2"/>
      <c r="X68" s="2"/>
      <c r="Y68" s="2"/>
      <c r="Z68" s="2"/>
      <c r="AA68" s="2"/>
      <c r="AB68" s="2"/>
      <c r="AC68" s="2"/>
    </row>
    <row r="69" spans="1:29" ht="26.25" x14ac:dyDescent="0.25">
      <c r="A69" s="8"/>
      <c r="B69" s="12" t="s">
        <v>451</v>
      </c>
      <c r="C69" s="5" t="s">
        <v>635</v>
      </c>
      <c r="D69" s="5" t="s">
        <v>636</v>
      </c>
      <c r="E69" s="15" t="s">
        <v>637</v>
      </c>
      <c r="F69" s="13">
        <f ca="1">IFERROR(__xludf.DUMMYFUNCTION("INDEX(SPLIT(E69,"", "",FALSE), 1)"),-16.3768246648479)</f>
        <v>-16.376824664847899</v>
      </c>
      <c r="G69" s="13">
        <f ca="1">IFERROR(__xludf.DUMMYFUNCTION("INDEX(SPLIT(E69,"", "",FALSE), 2)"),31.3279239394664)</f>
        <v>31.327923939466402</v>
      </c>
      <c r="H69" s="5" t="s">
        <v>492</v>
      </c>
      <c r="I69" s="2"/>
      <c r="J69" s="2"/>
      <c r="K69" s="2"/>
      <c r="L69" s="2"/>
      <c r="M69" s="2"/>
      <c r="N69" s="2"/>
      <c r="O69" s="2"/>
      <c r="P69" s="2"/>
      <c r="Q69" s="2"/>
      <c r="R69" s="2"/>
      <c r="S69" s="2"/>
      <c r="T69" s="2"/>
      <c r="U69" s="2"/>
      <c r="V69" s="2"/>
      <c r="W69" s="2"/>
      <c r="X69" s="2"/>
      <c r="Y69" s="2"/>
      <c r="Z69" s="2"/>
      <c r="AA69" s="2"/>
      <c r="AB69" s="2"/>
      <c r="AC69" s="2"/>
    </row>
    <row r="70" spans="1:29" ht="26.25" x14ac:dyDescent="0.25">
      <c r="A70" s="8"/>
      <c r="B70" s="12" t="s">
        <v>638</v>
      </c>
      <c r="C70" s="5" t="s">
        <v>639</v>
      </c>
      <c r="D70" s="5" t="s">
        <v>640</v>
      </c>
      <c r="E70" s="15" t="s">
        <v>641</v>
      </c>
      <c r="F70" s="13">
        <f ca="1">IFERROR(__xludf.DUMMYFUNCTION("INDEX(SPLIT(E70,"", "",FALSE), 1)"),8.28229786354805)</f>
        <v>8.2822978635480506</v>
      </c>
      <c r="G70" s="13">
        <f ca="1">IFERROR(__xludf.DUMMYFUNCTION("INDEX(SPLIT(E70,"", "",FALSE), 2)"),2.96017783653663)</f>
        <v>2.96017783653663</v>
      </c>
      <c r="H70" s="5" t="s">
        <v>492</v>
      </c>
      <c r="I70" s="2"/>
      <c r="J70" s="2"/>
      <c r="K70" s="2"/>
      <c r="L70" s="2"/>
      <c r="M70" s="2"/>
      <c r="N70" s="2"/>
      <c r="O70" s="2"/>
      <c r="P70" s="2"/>
      <c r="Q70" s="2"/>
      <c r="R70" s="2"/>
      <c r="S70" s="2"/>
      <c r="T70" s="2"/>
      <c r="U70" s="2"/>
      <c r="V70" s="2"/>
      <c r="W70" s="2"/>
      <c r="X70" s="2"/>
      <c r="Y70" s="2"/>
      <c r="Z70" s="2"/>
      <c r="AA70" s="2"/>
      <c r="AB70" s="2"/>
      <c r="AC70" s="2"/>
    </row>
    <row r="71" spans="1:29" ht="64.5" x14ac:dyDescent="0.25">
      <c r="A71" s="8"/>
      <c r="B71" s="12" t="s">
        <v>638</v>
      </c>
      <c r="C71" s="5" t="s">
        <v>642</v>
      </c>
      <c r="D71" s="5" t="s">
        <v>643</v>
      </c>
      <c r="E71" s="15" t="s">
        <v>644</v>
      </c>
      <c r="F71" s="13">
        <f ca="1">IFERROR(__xludf.DUMMYFUNCTION("INDEX(SPLIT(E71,"", "",FALSE), 1)"),8.02129040041536)</f>
        <v>8.02129040041536</v>
      </c>
      <c r="G71" s="13">
        <f ca="1">IFERROR(__xludf.DUMMYFUNCTION("INDEX(SPLIT(E71,"", "",FALSE), 2)"),3.66330283082932)</f>
        <v>3.6633028308293198</v>
      </c>
      <c r="H71" s="5" t="s">
        <v>492</v>
      </c>
      <c r="I71" s="2"/>
      <c r="J71" s="2"/>
      <c r="K71" s="2"/>
      <c r="L71" s="2"/>
      <c r="M71" s="2"/>
      <c r="N71" s="2"/>
      <c r="O71" s="2"/>
      <c r="P71" s="2"/>
      <c r="Q71" s="2"/>
      <c r="R71" s="2"/>
      <c r="S71" s="2"/>
      <c r="T71" s="2"/>
      <c r="U71" s="2"/>
      <c r="V71" s="2"/>
      <c r="W71" s="2"/>
      <c r="X71" s="2"/>
      <c r="Y71" s="2"/>
      <c r="Z71" s="2"/>
      <c r="AA71" s="2"/>
      <c r="AB71" s="2"/>
      <c r="AC71" s="2"/>
    </row>
    <row r="72" spans="1:29" x14ac:dyDescent="0.25">
      <c r="A72" s="8"/>
      <c r="B72" s="12" t="s">
        <v>638</v>
      </c>
      <c r="C72" s="5" t="s">
        <v>645</v>
      </c>
      <c r="D72" s="5" t="s">
        <v>646</v>
      </c>
      <c r="E72" s="15" t="s">
        <v>647</v>
      </c>
      <c r="F72" s="13">
        <f ca="1">IFERROR(__xludf.DUMMYFUNCTION("INDEX(SPLIT(E72,"", "",FALSE), 1)"),8.45620707309629)</f>
        <v>8.4562070730962908</v>
      </c>
      <c r="G72" s="13">
        <f ca="1">IFERROR(__xludf.DUMMYFUNCTION("INDEX(SPLIT(E72,"", "",FALSE), 2)"),3.39963095796956)</f>
        <v>3.3996309579695598</v>
      </c>
      <c r="H72" s="5" t="s">
        <v>492</v>
      </c>
      <c r="I72" s="2"/>
      <c r="J72" s="2"/>
      <c r="K72" s="2"/>
      <c r="L72" s="2"/>
      <c r="M72" s="2"/>
      <c r="N72" s="2"/>
      <c r="O72" s="2"/>
      <c r="P72" s="2"/>
      <c r="Q72" s="2"/>
      <c r="R72" s="2"/>
      <c r="S72" s="2"/>
      <c r="T72" s="2"/>
      <c r="U72" s="2"/>
      <c r="V72" s="2"/>
      <c r="W72" s="2"/>
      <c r="X72" s="2"/>
      <c r="Y72" s="2"/>
      <c r="Z72" s="2"/>
      <c r="AA72" s="2"/>
      <c r="AB72" s="2"/>
      <c r="AC72" s="2"/>
    </row>
    <row r="73" spans="1:29" ht="26.25" x14ac:dyDescent="0.25">
      <c r="A73" s="8"/>
      <c r="B73" s="12" t="s">
        <v>638</v>
      </c>
      <c r="C73" s="5" t="s">
        <v>648</v>
      </c>
      <c r="D73" s="5" t="s">
        <v>649</v>
      </c>
      <c r="E73" s="15" t="s">
        <v>650</v>
      </c>
      <c r="F73" s="13">
        <f ca="1">IFERROR(__xludf.DUMMYFUNCTION("INDEX(SPLIT(E73,"", "",FALSE), 1)"),11.3132277550272)</f>
        <v>11.313227755027199</v>
      </c>
      <c r="G73" s="13">
        <f ca="1">IFERROR(__xludf.DUMMYFUNCTION("INDEX(SPLIT(E73,"", "",FALSE), 2)"),7.44259967515248)</f>
        <v>7.4425996751524801</v>
      </c>
      <c r="H73" s="5" t="s">
        <v>492</v>
      </c>
      <c r="I73" s="2"/>
      <c r="J73" s="2"/>
      <c r="K73" s="2"/>
      <c r="L73" s="2"/>
      <c r="M73" s="2"/>
      <c r="N73" s="2"/>
      <c r="O73" s="2"/>
      <c r="P73" s="2"/>
      <c r="Q73" s="2"/>
      <c r="R73" s="2"/>
      <c r="S73" s="2"/>
      <c r="T73" s="2"/>
      <c r="U73" s="2"/>
      <c r="V73" s="2"/>
      <c r="W73" s="2"/>
      <c r="X73" s="2"/>
      <c r="Y73" s="2"/>
      <c r="Z73" s="2"/>
      <c r="AA73" s="2"/>
      <c r="AB73" s="2"/>
      <c r="AC73" s="2"/>
    </row>
    <row r="74" spans="1:29" ht="26.25" x14ac:dyDescent="0.25">
      <c r="A74" s="8"/>
      <c r="B74" s="12" t="s">
        <v>638</v>
      </c>
      <c r="C74" s="5" t="s">
        <v>651</v>
      </c>
      <c r="D74" s="5" t="s">
        <v>652</v>
      </c>
      <c r="E74" s="15" t="s">
        <v>653</v>
      </c>
      <c r="F74" s="13">
        <f ca="1">IFERROR(__xludf.DUMMYFUNCTION("INDEX(SPLIT(E74,"", "",FALSE), 1)"),13.6301042946572)</f>
        <v>13.630104294657199</v>
      </c>
      <c r="G74" s="13">
        <f ca="1">IFERROR(__xludf.DUMMYFUNCTION("INDEX(SPLIT(E74,"", "",FALSE), 2)"),8.14572466944516)</f>
        <v>8.1457246694451602</v>
      </c>
      <c r="H74" s="5" t="s">
        <v>492</v>
      </c>
      <c r="I74" s="2"/>
      <c r="J74" s="2"/>
      <c r="K74" s="2"/>
      <c r="L74" s="2"/>
      <c r="M74" s="2"/>
      <c r="N74" s="2"/>
      <c r="O74" s="2"/>
      <c r="P74" s="2"/>
      <c r="Q74" s="2"/>
      <c r="R74" s="2"/>
      <c r="S74" s="2"/>
      <c r="T74" s="2"/>
      <c r="U74" s="2"/>
      <c r="V74" s="2"/>
      <c r="W74" s="2"/>
      <c r="X74" s="2"/>
      <c r="Y74" s="2"/>
      <c r="Z74" s="2"/>
      <c r="AA74" s="2"/>
      <c r="AB74" s="2"/>
      <c r="AC74" s="2"/>
    </row>
    <row r="75" spans="1:29" ht="39" x14ac:dyDescent="0.25">
      <c r="A75" s="8"/>
      <c r="B75" s="12" t="s">
        <v>638</v>
      </c>
      <c r="C75" s="5" t="s">
        <v>654</v>
      </c>
      <c r="D75" s="5" t="s">
        <v>655</v>
      </c>
      <c r="E75" s="15" t="s">
        <v>656</v>
      </c>
      <c r="F75" s="13">
        <f ca="1">IFERROR(__xludf.DUMMYFUNCTION("INDEX(SPLIT(E75,"", "",FALSE), 1)"),11.4855413470745)</f>
        <v>11.4855413470745</v>
      </c>
      <c r="G75" s="13">
        <f ca="1">IFERROR(__xludf.DUMMYFUNCTION("INDEX(SPLIT(E75,"", "",FALSE), 2)"),9.20041216088419)</f>
        <v>9.2004121608841896</v>
      </c>
      <c r="H75" s="5" t="s">
        <v>492</v>
      </c>
      <c r="I75" s="2"/>
      <c r="J75" s="2"/>
      <c r="K75" s="2"/>
      <c r="L75" s="2"/>
      <c r="M75" s="2"/>
      <c r="N75" s="2"/>
      <c r="O75" s="2"/>
      <c r="P75" s="2"/>
      <c r="Q75" s="2"/>
      <c r="R75" s="2"/>
      <c r="S75" s="2"/>
      <c r="T75" s="2"/>
      <c r="U75" s="2"/>
      <c r="V75" s="2"/>
      <c r="W75" s="2"/>
      <c r="X75" s="2"/>
      <c r="Y75" s="2"/>
      <c r="Z75" s="2"/>
      <c r="AA75" s="2"/>
      <c r="AB75" s="2"/>
      <c r="AC75" s="2"/>
    </row>
    <row r="76" spans="1:29" x14ac:dyDescent="0.25">
      <c r="A76" s="8"/>
      <c r="B76" s="12" t="s">
        <v>638</v>
      </c>
      <c r="C76" s="5" t="s">
        <v>657</v>
      </c>
      <c r="D76" s="5" t="s">
        <v>658</v>
      </c>
      <c r="E76" s="15" t="s">
        <v>659</v>
      </c>
      <c r="F76" s="13">
        <f ca="1">IFERROR(__xludf.DUMMYFUNCTION("INDEX(SPLIT(E76,"", "",FALSE), 1)"),15.077559125336)</f>
        <v>15.077559125336</v>
      </c>
      <c r="G76" s="13">
        <f ca="1">IFERROR(__xludf.DUMMYFUNCTION("INDEX(SPLIT(E76,"", "",FALSE), 2)"),5.06955281941468)</f>
        <v>5.0695528194146799</v>
      </c>
      <c r="H76" s="5" t="s">
        <v>492</v>
      </c>
      <c r="I76" s="2"/>
      <c r="J76" s="2"/>
      <c r="K76" s="2"/>
      <c r="L76" s="2"/>
      <c r="M76" s="2"/>
      <c r="N76" s="2"/>
      <c r="O76" s="2"/>
      <c r="P76" s="2"/>
      <c r="Q76" s="2"/>
      <c r="R76" s="2"/>
      <c r="S76" s="2"/>
      <c r="T76" s="2"/>
      <c r="U76" s="2"/>
      <c r="V76" s="2"/>
      <c r="W76" s="2"/>
      <c r="X76" s="2"/>
      <c r="Y76" s="2"/>
      <c r="Z76" s="2"/>
      <c r="AA76" s="2"/>
      <c r="AB76" s="2"/>
      <c r="AC76" s="2"/>
    </row>
    <row r="77" spans="1:29" x14ac:dyDescent="0.25">
      <c r="A77" s="8"/>
      <c r="B77" s="12" t="s">
        <v>638</v>
      </c>
      <c r="C77" s="5" t="s">
        <v>660</v>
      </c>
      <c r="D77" s="5" t="s">
        <v>661</v>
      </c>
      <c r="E77" s="15" t="s">
        <v>662</v>
      </c>
      <c r="F77" s="13">
        <f ca="1">IFERROR(__xludf.DUMMYFUNCTION("INDEX(SPLIT(E77,"", "",FALSE), 1)"),8.89063349307008)</f>
        <v>8.8906334930700801</v>
      </c>
      <c r="G77" s="13">
        <f ca="1">IFERROR(__xludf.DUMMYFUNCTION("INDEX(SPLIT(E77,"", "",FALSE), 2)"),6.73947468085981)</f>
        <v>6.7394746808598098</v>
      </c>
      <c r="H77" s="5" t="s">
        <v>492</v>
      </c>
      <c r="I77" s="2"/>
      <c r="J77" s="2"/>
      <c r="K77" s="2"/>
      <c r="L77" s="2"/>
      <c r="M77" s="2"/>
      <c r="N77" s="2"/>
      <c r="O77" s="2"/>
      <c r="P77" s="2"/>
      <c r="Q77" s="2"/>
      <c r="R77" s="2"/>
      <c r="S77" s="2"/>
      <c r="T77" s="2"/>
      <c r="U77" s="2"/>
      <c r="V77" s="2"/>
      <c r="W77" s="2"/>
      <c r="X77" s="2"/>
      <c r="Y77" s="2"/>
      <c r="Z77" s="2"/>
      <c r="AA77" s="2"/>
      <c r="AB77" s="2"/>
      <c r="AC77" s="2"/>
    </row>
    <row r="78" spans="1:29" ht="26.25" x14ac:dyDescent="0.25">
      <c r="A78" s="8"/>
      <c r="B78" s="12" t="s">
        <v>638</v>
      </c>
      <c r="C78" s="5" t="s">
        <v>663</v>
      </c>
      <c r="D78" s="5" t="s">
        <v>664</v>
      </c>
      <c r="E78" s="15" t="s">
        <v>665</v>
      </c>
      <c r="F78" s="13">
        <f ca="1">IFERROR(__xludf.DUMMYFUNCTION("INDEX(SPLIT(E78,"", "",FALSE), 1)"),12.9458084481017)</f>
        <v>12.945808448101699</v>
      </c>
      <c r="G78" s="13">
        <f ca="1">IFERROR(__xludf.DUMMYFUNCTION("INDEX(SPLIT(E78,"", "",FALSE), 2)"),4.27853720083541)</f>
        <v>4.2785372008354097</v>
      </c>
      <c r="H78" s="5" t="s">
        <v>492</v>
      </c>
      <c r="I78" s="2"/>
      <c r="J78" s="2"/>
      <c r="K78" s="2"/>
      <c r="L78" s="2"/>
      <c r="M78" s="2"/>
      <c r="N78" s="2"/>
      <c r="O78" s="2"/>
      <c r="P78" s="2"/>
      <c r="Q78" s="2"/>
      <c r="R78" s="2"/>
      <c r="S78" s="2"/>
      <c r="T78" s="2"/>
      <c r="U78" s="2"/>
      <c r="V78" s="2"/>
      <c r="W78" s="2"/>
      <c r="X78" s="2"/>
      <c r="Y78" s="2"/>
      <c r="Z78" s="2"/>
      <c r="AA78" s="2"/>
      <c r="AB78" s="2"/>
      <c r="AC78" s="2"/>
    </row>
    <row r="79" spans="1:29" ht="26.25" x14ac:dyDescent="0.25">
      <c r="A79" s="8"/>
      <c r="B79" s="12" t="s">
        <v>638</v>
      </c>
      <c r="C79" s="15" t="s">
        <v>666</v>
      </c>
      <c r="D79" s="5" t="s">
        <v>667</v>
      </c>
      <c r="E79" s="15" t="s">
        <v>668</v>
      </c>
      <c r="F79" s="13">
        <f ca="1">IFERROR(__xludf.DUMMYFUNCTION("INDEX(SPLIT(E79,"", "",FALSE), 1)"),8.10831177952951)</f>
        <v>8.1083117795295099</v>
      </c>
      <c r="G79" s="13">
        <f ca="1">IFERROR(__xludf.DUMMYFUNCTION("INDEX(SPLIT(E79,"", "",FALSE), 2)"),3.48752158225615)</f>
        <v>3.4875215822561501</v>
      </c>
      <c r="H79" s="5" t="s">
        <v>492</v>
      </c>
      <c r="I79" s="2"/>
      <c r="J79" s="2"/>
      <c r="K79" s="2"/>
      <c r="L79" s="2"/>
      <c r="M79" s="2"/>
      <c r="N79" s="2"/>
      <c r="O79" s="2"/>
      <c r="P79" s="2"/>
      <c r="Q79" s="2"/>
      <c r="R79" s="2"/>
      <c r="S79" s="2"/>
      <c r="T79" s="2"/>
      <c r="U79" s="2"/>
      <c r="V79" s="2"/>
      <c r="W79" s="2"/>
      <c r="X79" s="2"/>
      <c r="Y79" s="2"/>
      <c r="Z79" s="2"/>
      <c r="AA79" s="2"/>
      <c r="AB79" s="2"/>
      <c r="AC79" s="2"/>
    </row>
    <row r="80" spans="1:29" x14ac:dyDescent="0.25">
      <c r="A80" s="8"/>
      <c r="B80" s="12" t="s">
        <v>638</v>
      </c>
      <c r="C80" s="5" t="s">
        <v>669</v>
      </c>
      <c r="D80" s="5" t="s">
        <v>670</v>
      </c>
      <c r="E80" s="15" t="s">
        <v>671</v>
      </c>
      <c r="F80" s="13">
        <f ca="1">IFERROR(__xludf.DUMMYFUNCTION("INDEX(SPLIT(E80,"", "",FALSE), 1)"),12.6029482781542)</f>
        <v>12.6029482781542</v>
      </c>
      <c r="G80" s="13">
        <f ca="1">IFERROR(__xludf.DUMMYFUNCTION("INDEX(SPLIT(E80,"", "",FALSE), 2)"),7.79416217229883)</f>
        <v>7.7941621722988303</v>
      </c>
      <c r="H80" s="5" t="s">
        <v>492</v>
      </c>
      <c r="I80" s="2"/>
      <c r="J80" s="2"/>
      <c r="K80" s="2"/>
      <c r="L80" s="2"/>
      <c r="M80" s="2"/>
      <c r="N80" s="2"/>
      <c r="O80" s="2"/>
      <c r="P80" s="2"/>
      <c r="Q80" s="2"/>
      <c r="R80" s="2"/>
      <c r="S80" s="2"/>
      <c r="T80" s="2"/>
      <c r="U80" s="2"/>
      <c r="V80" s="2"/>
      <c r="W80" s="2"/>
      <c r="X80" s="2"/>
      <c r="Y80" s="2"/>
      <c r="Z80" s="2"/>
      <c r="AA80" s="2"/>
      <c r="AB80" s="2"/>
      <c r="AC80" s="2"/>
    </row>
    <row r="81" spans="1:29" x14ac:dyDescent="0.25">
      <c r="A81" s="8"/>
      <c r="B81" s="12" t="s">
        <v>638</v>
      </c>
      <c r="C81" s="5" t="s">
        <v>672</v>
      </c>
      <c r="D81" s="5" t="s">
        <v>673</v>
      </c>
      <c r="E81" s="15" t="s">
        <v>674</v>
      </c>
      <c r="F81" s="13">
        <f ca="1">IFERROR(__xludf.DUMMYFUNCTION("INDEX(SPLIT(E81,"", "",FALSE), 1)"),13.8862107103104)</f>
        <v>13.886210710310401</v>
      </c>
      <c r="G81" s="13">
        <f ca="1">IFERROR(__xludf.DUMMYFUNCTION("INDEX(SPLIT(E81,"", "",FALSE), 2)"),8.84884966373785)</f>
        <v>8.84884966373785</v>
      </c>
      <c r="H81" s="5" t="s">
        <v>492</v>
      </c>
      <c r="I81" s="2"/>
      <c r="J81" s="2"/>
      <c r="K81" s="2"/>
      <c r="L81" s="2"/>
      <c r="M81" s="2"/>
      <c r="N81" s="2"/>
      <c r="O81" s="2"/>
      <c r="P81" s="2"/>
      <c r="Q81" s="2"/>
      <c r="R81" s="2"/>
      <c r="S81" s="2"/>
      <c r="T81" s="2"/>
      <c r="U81" s="2"/>
      <c r="V81" s="2"/>
      <c r="W81" s="2"/>
      <c r="X81" s="2"/>
      <c r="Y81" s="2"/>
      <c r="Z81" s="2"/>
      <c r="AA81" s="2"/>
      <c r="AB81" s="2"/>
      <c r="AC81" s="2"/>
    </row>
    <row r="82" spans="1:29" ht="26.25" x14ac:dyDescent="0.25">
      <c r="A82" s="8"/>
      <c r="B82" s="12" t="s">
        <v>638</v>
      </c>
      <c r="C82" s="5" t="s">
        <v>675</v>
      </c>
      <c r="D82" s="5" t="s">
        <v>676</v>
      </c>
      <c r="E82" s="15" t="s">
        <v>677</v>
      </c>
      <c r="F82" s="13">
        <f ca="1">IFERROR(__xludf.DUMMYFUNCTION("INDEX(SPLIT(E82,"", "",FALSE), 1)"),7.67302056227735)</f>
        <v>7.6730205622773502</v>
      </c>
      <c r="G82" s="13">
        <f ca="1">IFERROR(__xludf.DUMMYFUNCTION("INDEX(SPLIT(E82,"", "",FALSE), 2)"),7.17892780229273)</f>
        <v>7.1789278022927299</v>
      </c>
      <c r="H82" s="5" t="s">
        <v>492</v>
      </c>
      <c r="I82" s="2"/>
      <c r="J82" s="2"/>
      <c r="K82" s="2"/>
      <c r="L82" s="2"/>
      <c r="M82" s="2"/>
      <c r="N82" s="2"/>
      <c r="O82" s="2"/>
      <c r="P82" s="2"/>
      <c r="Q82" s="2"/>
      <c r="R82" s="2"/>
      <c r="S82" s="2"/>
      <c r="T82" s="2"/>
      <c r="U82" s="2"/>
      <c r="V82" s="2"/>
      <c r="W82" s="2"/>
      <c r="X82" s="2"/>
      <c r="Y82" s="2"/>
      <c r="Z82" s="2"/>
      <c r="AA82" s="2"/>
      <c r="AB82" s="2"/>
      <c r="AC82" s="2"/>
    </row>
    <row r="83" spans="1:29" ht="26.25" x14ac:dyDescent="0.25">
      <c r="A83" s="8"/>
      <c r="B83" s="12" t="s">
        <v>678</v>
      </c>
      <c r="C83" s="5" t="s">
        <v>679</v>
      </c>
      <c r="D83" s="5" t="s">
        <v>680</v>
      </c>
      <c r="E83" s="15" t="s">
        <v>681</v>
      </c>
      <c r="F83" s="13">
        <f ca="1">IFERROR(__xludf.DUMMYFUNCTION("INDEX(SPLIT(E83,"", "",FALSE), 1)"),-14.8648380337722)</f>
        <v>-14.8648380337722</v>
      </c>
      <c r="G83" s="13">
        <f ca="1">IFERROR(__xludf.DUMMYFUNCTION("INDEX(SPLIT(E83,"", "",FALSE), 2)"),35.2120916091616)</f>
        <v>35.212091609161597</v>
      </c>
      <c r="H83" s="5" t="s">
        <v>492</v>
      </c>
      <c r="I83" s="2"/>
      <c r="J83" s="2"/>
      <c r="K83" s="2"/>
      <c r="L83" s="2"/>
      <c r="M83" s="2"/>
      <c r="N83" s="2"/>
      <c r="O83" s="2"/>
      <c r="P83" s="2"/>
      <c r="Q83" s="2"/>
      <c r="R83" s="2"/>
      <c r="S83" s="2"/>
      <c r="T83" s="2"/>
      <c r="U83" s="2"/>
      <c r="V83" s="2"/>
      <c r="W83" s="2"/>
      <c r="X83" s="2"/>
      <c r="Y83" s="2"/>
      <c r="Z83" s="2"/>
      <c r="AA83" s="2"/>
      <c r="AB83" s="2"/>
      <c r="AC83" s="2"/>
    </row>
    <row r="84" spans="1:29" ht="26.25" x14ac:dyDescent="0.25">
      <c r="A84" s="8"/>
      <c r="B84" s="12" t="s">
        <v>678</v>
      </c>
      <c r="C84" s="5" t="s">
        <v>682</v>
      </c>
      <c r="D84" s="5" t="s">
        <v>683</v>
      </c>
      <c r="E84" s="15" t="s">
        <v>684</v>
      </c>
      <c r="F84" s="13">
        <f ca="1">IFERROR(__xludf.DUMMYFUNCTION("INDEX(SPLIT(E84,"", "",FALSE), 1)"),-13.1279076333755)</f>
        <v>-13.1279076333755</v>
      </c>
      <c r="G84" s="13">
        <f ca="1">IFERROR(__xludf.DUMMYFUNCTION("INDEX(SPLIT(E84,"", "",FALSE), 2)"),33.2255442655528)</f>
        <v>33.225544265552799</v>
      </c>
      <c r="H84" s="5" t="s">
        <v>492</v>
      </c>
      <c r="I84" s="2"/>
      <c r="J84" s="2"/>
      <c r="K84" s="2"/>
      <c r="L84" s="2"/>
      <c r="M84" s="2"/>
      <c r="N84" s="2"/>
      <c r="O84" s="2"/>
      <c r="P84" s="2"/>
      <c r="Q84" s="2"/>
      <c r="R84" s="2"/>
      <c r="S84" s="2"/>
      <c r="T84" s="2"/>
      <c r="U84" s="2"/>
      <c r="V84" s="2"/>
      <c r="W84" s="2"/>
      <c r="X84" s="2"/>
      <c r="Y84" s="2"/>
      <c r="Z84" s="2"/>
      <c r="AA84" s="2"/>
      <c r="AB84" s="2"/>
      <c r="AC84" s="2"/>
    </row>
    <row r="85" spans="1:29" x14ac:dyDescent="0.25">
      <c r="A85" s="8"/>
      <c r="B85" s="12" t="s">
        <v>678</v>
      </c>
      <c r="C85" s="5" t="s">
        <v>685</v>
      </c>
      <c r="D85" s="5" t="s">
        <v>686</v>
      </c>
      <c r="E85" s="15" t="s">
        <v>687</v>
      </c>
      <c r="F85" s="13">
        <f ca="1">IFERROR(__xludf.DUMMYFUNCTION("INDEX(SPLIT(E85,"", "",FALSE), 1)"),-13.3097265025066)</f>
        <v>-13.309726502506599</v>
      </c>
      <c r="G85" s="13">
        <f ca="1">IFERROR(__xludf.DUMMYFUNCTION("INDEX(SPLIT(E85,"", "",FALSE), 2)"),33.1376536412663)</f>
        <v>33.137653641266297</v>
      </c>
      <c r="H85" s="5" t="s">
        <v>492</v>
      </c>
      <c r="I85" s="2"/>
      <c r="J85" s="2"/>
      <c r="K85" s="2"/>
      <c r="L85" s="2"/>
      <c r="M85" s="2"/>
      <c r="N85" s="2"/>
      <c r="O85" s="2"/>
      <c r="P85" s="2"/>
      <c r="Q85" s="2"/>
      <c r="R85" s="2"/>
      <c r="S85" s="2"/>
      <c r="T85" s="2"/>
      <c r="U85" s="2"/>
      <c r="V85" s="2"/>
      <c r="W85" s="2"/>
      <c r="X85" s="2"/>
      <c r="Y85" s="2"/>
      <c r="Z85" s="2"/>
      <c r="AA85" s="2"/>
      <c r="AB85" s="2"/>
      <c r="AC85" s="2"/>
    </row>
    <row r="86" spans="1:29" x14ac:dyDescent="0.25">
      <c r="A86" s="8"/>
      <c r="B86" s="12" t="s">
        <v>678</v>
      </c>
      <c r="C86" s="5" t="s">
        <v>688</v>
      </c>
      <c r="D86" s="5" t="s">
        <v>689</v>
      </c>
      <c r="E86" s="15" t="s">
        <v>690</v>
      </c>
      <c r="F86" s="13">
        <f ca="1">IFERROR(__xludf.DUMMYFUNCTION("INDEX(SPLIT(E86,"", "",FALSE), 1)"),-13.6836280855091)</f>
        <v>-13.683628085509101</v>
      </c>
      <c r="G86" s="13">
        <f ca="1">IFERROR(__xludf.DUMMYFUNCTION("INDEX(SPLIT(E86,"", "",FALSE), 2)"),33.2585032496603)</f>
        <v>33.258503249660301</v>
      </c>
      <c r="H86" s="5" t="s">
        <v>492</v>
      </c>
      <c r="I86" s="2"/>
      <c r="J86" s="2"/>
      <c r="K86" s="2"/>
      <c r="L86" s="2"/>
      <c r="M86" s="2"/>
      <c r="N86" s="2"/>
      <c r="O86" s="2"/>
      <c r="P86" s="2"/>
      <c r="Q86" s="2"/>
      <c r="R86" s="2"/>
      <c r="S86" s="2"/>
      <c r="T86" s="2"/>
      <c r="U86" s="2"/>
      <c r="V86" s="2"/>
      <c r="W86" s="2"/>
      <c r="X86" s="2"/>
      <c r="Y86" s="2"/>
      <c r="Z86" s="2"/>
      <c r="AA86" s="2"/>
      <c r="AB86" s="2"/>
      <c r="AC86" s="2"/>
    </row>
    <row r="87" spans="1:29" ht="26.25" x14ac:dyDescent="0.25">
      <c r="A87" s="8"/>
      <c r="B87" s="12" t="s">
        <v>678</v>
      </c>
      <c r="C87" s="5" t="s">
        <v>691</v>
      </c>
      <c r="D87" s="5" t="s">
        <v>692</v>
      </c>
      <c r="E87" s="15" t="s">
        <v>693</v>
      </c>
      <c r="F87" s="13">
        <f ca="1">IFERROR(__xludf.DUMMYFUNCTION("INDEX(SPLIT(E87,"", "",FALSE), 1)"),-15.6814958793618)</f>
        <v>-15.681495879361799</v>
      </c>
      <c r="G87" s="13">
        <f ca="1">IFERROR(__xludf.DUMMYFUNCTION("INDEX(SPLIT(E87,"", "",FALSE), 2)"),35.4008372166458)</f>
        <v>35.400837216645797</v>
      </c>
      <c r="H87" s="5" t="s">
        <v>492</v>
      </c>
      <c r="I87" s="2"/>
      <c r="J87" s="2"/>
      <c r="K87" s="2"/>
      <c r="L87" s="2"/>
      <c r="M87" s="2"/>
      <c r="N87" s="2"/>
      <c r="O87" s="2"/>
      <c r="P87" s="2"/>
      <c r="Q87" s="2"/>
      <c r="R87" s="2"/>
      <c r="S87" s="2"/>
      <c r="T87" s="2"/>
      <c r="U87" s="2"/>
      <c r="V87" s="2"/>
      <c r="W87" s="2"/>
      <c r="X87" s="2"/>
      <c r="Y87" s="2"/>
      <c r="Z87" s="2"/>
      <c r="AA87" s="2"/>
      <c r="AB87" s="2"/>
      <c r="AC87" s="2"/>
    </row>
    <row r="88" spans="1:29" x14ac:dyDescent="0.25">
      <c r="A88" s="8"/>
      <c r="B88" s="12" t="s">
        <v>678</v>
      </c>
      <c r="C88" s="5" t="s">
        <v>694</v>
      </c>
      <c r="D88" s="5" t="s">
        <v>695</v>
      </c>
      <c r="E88" s="15" t="s">
        <v>696</v>
      </c>
      <c r="F88" s="13">
        <f ca="1">IFERROR(__xludf.DUMMYFUNCTION("INDEX(SPLIT(E88,"", "",FALSE), 1)"),-13.5771325215961)</f>
        <v>-13.5771325215961</v>
      </c>
      <c r="G88" s="13">
        <f ca="1">IFERROR(__xludf.DUMMYFUNCTION("INDEX(SPLIT(E88,"", "",FALSE), 2)"),33.8514547585692)</f>
        <v>33.851454758569197</v>
      </c>
      <c r="H88" s="5" t="s">
        <v>492</v>
      </c>
      <c r="I88" s="2"/>
      <c r="J88" s="2"/>
      <c r="K88" s="2"/>
      <c r="L88" s="2"/>
      <c r="M88" s="2"/>
      <c r="N88" s="2"/>
      <c r="O88" s="2"/>
      <c r="P88" s="2"/>
      <c r="Q88" s="2"/>
      <c r="R88" s="2"/>
      <c r="S88" s="2"/>
      <c r="T88" s="2"/>
      <c r="U88" s="2"/>
      <c r="V88" s="2"/>
      <c r="W88" s="2"/>
      <c r="X88" s="2"/>
      <c r="Y88" s="2"/>
      <c r="Z88" s="2"/>
      <c r="AA88" s="2"/>
      <c r="AB88" s="2"/>
      <c r="AC88" s="2"/>
    </row>
    <row r="89" spans="1:29" x14ac:dyDescent="0.25">
      <c r="A89" s="8"/>
      <c r="B89" s="12" t="s">
        <v>678</v>
      </c>
      <c r="C89" s="5" t="s">
        <v>697</v>
      </c>
      <c r="D89" s="5" t="s">
        <v>698</v>
      </c>
      <c r="E89" s="15" t="s">
        <v>699</v>
      </c>
      <c r="F89" s="13">
        <f ca="1">IFERROR(__xludf.DUMMYFUNCTION("INDEX(SPLIT(E89,"", "",FALSE), 1)"),-13.6625516086882)</f>
        <v>-13.662551608688201</v>
      </c>
      <c r="G89" s="13">
        <f ca="1">IFERROR(__xludf.DUMMYFUNCTION("INDEX(SPLIT(E89,"", "",FALSE), 2)"),33.0274801558825)</f>
        <v>33.0274801558825</v>
      </c>
      <c r="H89" s="5" t="s">
        <v>492</v>
      </c>
      <c r="I89" s="2"/>
      <c r="J89" s="2"/>
      <c r="K89" s="2"/>
      <c r="L89" s="2"/>
      <c r="M89" s="2"/>
      <c r="N89" s="2"/>
      <c r="O89" s="2"/>
      <c r="P89" s="2"/>
      <c r="Q89" s="2"/>
      <c r="R89" s="2"/>
      <c r="S89" s="2"/>
      <c r="T89" s="2"/>
      <c r="U89" s="2"/>
      <c r="V89" s="2"/>
      <c r="W89" s="2"/>
      <c r="X89" s="2"/>
      <c r="Y89" s="2"/>
      <c r="Z89" s="2"/>
      <c r="AA89" s="2"/>
      <c r="AB89" s="2"/>
      <c r="AC89" s="2"/>
    </row>
    <row r="90" spans="1:29" x14ac:dyDescent="0.25">
      <c r="A90" s="8"/>
      <c r="B90" s="12" t="s">
        <v>678</v>
      </c>
      <c r="C90" s="5" t="s">
        <v>700</v>
      </c>
      <c r="D90" s="5" t="s">
        <v>701</v>
      </c>
      <c r="E90" s="15" t="s">
        <v>702</v>
      </c>
      <c r="F90" s="13">
        <f ca="1">IFERROR(__xludf.DUMMYFUNCTION("INDEX(SPLIT(E90,"", "",FALSE), 1)"),-13.7906221628984)</f>
        <v>-13.7906221628984</v>
      </c>
      <c r="G90" s="13">
        <f ca="1">IFERROR(__xludf.DUMMYFUNCTION("INDEX(SPLIT(E90,"", "",FALSE), 2)"),33.4889059333871)</f>
        <v>33.488905933387102</v>
      </c>
      <c r="H90" s="5" t="s">
        <v>492</v>
      </c>
      <c r="I90" s="2"/>
      <c r="J90" s="2"/>
      <c r="K90" s="2"/>
      <c r="L90" s="2"/>
      <c r="M90" s="2"/>
      <c r="N90" s="2"/>
      <c r="O90" s="2"/>
      <c r="P90" s="2"/>
      <c r="Q90" s="2"/>
      <c r="R90" s="2"/>
      <c r="S90" s="2"/>
      <c r="T90" s="2"/>
      <c r="U90" s="2"/>
      <c r="V90" s="2"/>
      <c r="W90" s="2"/>
      <c r="X90" s="2"/>
      <c r="Y90" s="2"/>
      <c r="Z90" s="2"/>
      <c r="AA90" s="2"/>
      <c r="AB90" s="2"/>
      <c r="AC90" s="2"/>
    </row>
    <row r="91" spans="1:29" x14ac:dyDescent="0.25">
      <c r="A91" s="8"/>
      <c r="B91" s="12" t="s">
        <v>678</v>
      </c>
      <c r="C91" s="5" t="s">
        <v>703</v>
      </c>
      <c r="D91" s="5" t="s">
        <v>704</v>
      </c>
      <c r="E91" s="15" t="s">
        <v>705</v>
      </c>
      <c r="F91" s="13">
        <f ca="1">IFERROR(__xludf.DUMMYFUNCTION("INDEX(SPLIT(E91,"", "",FALSE), 1)"),-13.7586110845995)</f>
        <v>-13.758611084599501</v>
      </c>
      <c r="G91" s="13">
        <f ca="1">IFERROR(__xludf.DUMMYFUNCTION("INDEX(SPLIT(E91,"", "",FALSE), 2)"),33.8404684305334)</f>
        <v>33.840468430533399</v>
      </c>
      <c r="H91" s="5" t="s">
        <v>492</v>
      </c>
      <c r="I91" s="2"/>
      <c r="J91" s="2"/>
      <c r="K91" s="2"/>
      <c r="L91" s="2"/>
      <c r="M91" s="2"/>
      <c r="N91" s="2"/>
      <c r="O91" s="2"/>
      <c r="P91" s="2"/>
      <c r="Q91" s="2"/>
      <c r="R91" s="2"/>
      <c r="S91" s="2"/>
      <c r="T91" s="2"/>
      <c r="U91" s="2"/>
      <c r="V91" s="2"/>
      <c r="W91" s="2"/>
      <c r="X91" s="2"/>
      <c r="Y91" s="2"/>
      <c r="Z91" s="2"/>
      <c r="AA91" s="2"/>
      <c r="AB91" s="2"/>
      <c r="AC91" s="2"/>
    </row>
    <row r="92" spans="1:29" ht="26.25" x14ac:dyDescent="0.25">
      <c r="A92" s="8"/>
      <c r="B92" s="12" t="s">
        <v>706</v>
      </c>
      <c r="C92" s="5" t="s">
        <v>707</v>
      </c>
      <c r="D92" s="5" t="s">
        <v>708</v>
      </c>
      <c r="E92" s="15" t="s">
        <v>709</v>
      </c>
      <c r="F92" s="13">
        <f ca="1">IFERROR(__xludf.DUMMYFUNCTION("INDEX(SPLIT(E92,"", "",FALSE), 1)"),-14.5147276957523)</f>
        <v>-14.514727695752301</v>
      </c>
      <c r="G92" s="13">
        <f ca="1">IFERROR(__xludf.DUMMYFUNCTION("INDEX(SPLIT(E92,"", "",FALSE), 2)"),28.2308723934214)</f>
        <v>28.2308723934214</v>
      </c>
      <c r="H92" s="5" t="s">
        <v>492</v>
      </c>
      <c r="I92" s="2"/>
      <c r="J92" s="2"/>
      <c r="K92" s="2"/>
      <c r="L92" s="2"/>
      <c r="M92" s="2"/>
      <c r="N92" s="2"/>
      <c r="O92" s="2"/>
      <c r="P92" s="2"/>
      <c r="Q92" s="2"/>
      <c r="R92" s="2"/>
      <c r="S92" s="2"/>
      <c r="T92" s="2"/>
      <c r="U92" s="2"/>
      <c r="V92" s="2"/>
      <c r="W92" s="2"/>
      <c r="X92" s="2"/>
      <c r="Y92" s="2"/>
      <c r="Z92" s="2"/>
      <c r="AA92" s="2"/>
      <c r="AB92" s="2"/>
      <c r="AC92" s="2"/>
    </row>
    <row r="93" spans="1:29" ht="26.25" x14ac:dyDescent="0.25">
      <c r="A93" s="8"/>
      <c r="B93" s="12" t="s">
        <v>706</v>
      </c>
      <c r="C93" s="5" t="s">
        <v>710</v>
      </c>
      <c r="D93" s="5" t="s">
        <v>711</v>
      </c>
      <c r="E93" s="15" t="s">
        <v>712</v>
      </c>
      <c r="F93" s="13">
        <f ca="1">IFERROR(__xludf.DUMMYFUNCTION("INDEX(SPLIT(E93,"", "",FALSE), 1)"),-14.5997967507772)</f>
        <v>-14.5997967507772</v>
      </c>
      <c r="G93" s="13">
        <f ca="1">IFERROR(__xludf.DUMMYFUNCTION("INDEX(SPLIT(E93,"", "",FALSE), 2)"),28.4066536419945)</f>
        <v>28.406653641994499</v>
      </c>
      <c r="H93" s="5" t="s">
        <v>492</v>
      </c>
      <c r="I93" s="2"/>
      <c r="J93" s="2"/>
      <c r="K93" s="2"/>
      <c r="L93" s="2"/>
      <c r="M93" s="2"/>
      <c r="N93" s="2"/>
      <c r="O93" s="2"/>
      <c r="P93" s="2"/>
      <c r="Q93" s="2"/>
      <c r="R93" s="2"/>
      <c r="S93" s="2"/>
      <c r="T93" s="2"/>
      <c r="U93" s="2"/>
      <c r="V93" s="2"/>
      <c r="W93" s="2"/>
      <c r="X93" s="2"/>
      <c r="Y93" s="2"/>
      <c r="Z93" s="2"/>
      <c r="AA93" s="2"/>
      <c r="AB93" s="2"/>
      <c r="AC93" s="2"/>
    </row>
    <row r="94" spans="1:29" ht="26.25" x14ac:dyDescent="0.25">
      <c r="A94" s="8"/>
      <c r="B94" s="12" t="s">
        <v>706</v>
      </c>
      <c r="C94" s="5" t="s">
        <v>713</v>
      </c>
      <c r="D94" s="5" t="s">
        <v>714</v>
      </c>
      <c r="E94" s="15" t="s">
        <v>715</v>
      </c>
      <c r="F94" s="13">
        <f ca="1">IFERROR(__xludf.DUMMYFUNCTION("INDEX(SPLIT(E94,"", "",FALSE), 1)"),-14.4721808903313)</f>
        <v>-14.4721808903313</v>
      </c>
      <c r="G94" s="13">
        <f ca="1">IFERROR(__xludf.DUMMYFUNCTION("INDEX(SPLIT(E94,"", "",FALSE), 2)"),28.3187630177079)</f>
        <v>28.318763017707901</v>
      </c>
      <c r="H94" s="5" t="s">
        <v>492</v>
      </c>
      <c r="I94" s="2"/>
      <c r="J94" s="2"/>
      <c r="K94" s="2"/>
      <c r="L94" s="2"/>
      <c r="M94" s="2"/>
      <c r="N94" s="2"/>
      <c r="O94" s="2"/>
      <c r="P94" s="2"/>
      <c r="Q94" s="2"/>
      <c r="R94" s="2"/>
      <c r="S94" s="2"/>
      <c r="T94" s="2"/>
      <c r="U94" s="2"/>
      <c r="V94" s="2"/>
      <c r="W94" s="2"/>
      <c r="X94" s="2"/>
      <c r="Y94" s="2"/>
      <c r="Z94" s="2"/>
      <c r="AA94" s="2"/>
      <c r="AB94" s="2"/>
      <c r="AC94" s="2"/>
    </row>
    <row r="95" spans="1:29" x14ac:dyDescent="0.25">
      <c r="A95" s="8"/>
      <c r="B95" s="12" t="s">
        <v>706</v>
      </c>
      <c r="C95" s="5" t="s">
        <v>716</v>
      </c>
      <c r="D95" s="5" t="s">
        <v>717</v>
      </c>
      <c r="E95" s="15" t="s">
        <v>718</v>
      </c>
      <c r="F95" s="13">
        <f ca="1">IFERROR(__xludf.DUMMYFUNCTION("INDEX(SPLIT(E95,"", "",FALSE), 1)"),-13.2348652133891)</f>
        <v>-13.234865213389099</v>
      </c>
      <c r="G95" s="13">
        <f ca="1">IFERROR(__xludf.DUMMYFUNCTION("INDEX(SPLIT(E95,"", "",FALSE), 2)"),32.0980598620311)</f>
        <v>32.0980598620311</v>
      </c>
      <c r="H95" s="5" t="s">
        <v>492</v>
      </c>
      <c r="I95" s="2"/>
      <c r="J95" s="2"/>
      <c r="K95" s="2"/>
      <c r="L95" s="2"/>
      <c r="M95" s="2"/>
      <c r="N95" s="2"/>
      <c r="O95" s="2"/>
      <c r="P95" s="2"/>
      <c r="Q95" s="2"/>
      <c r="R95" s="2"/>
      <c r="S95" s="2"/>
      <c r="T95" s="2"/>
      <c r="U95" s="2"/>
      <c r="V95" s="2"/>
      <c r="W95" s="2"/>
      <c r="X95" s="2"/>
      <c r="Y95" s="2"/>
      <c r="Z95" s="2"/>
      <c r="AA95" s="2"/>
      <c r="AB95" s="2"/>
      <c r="AC95" s="2"/>
    </row>
    <row r="96" spans="1:29" ht="26.25" x14ac:dyDescent="0.25">
      <c r="A96" s="8"/>
      <c r="B96" s="12" t="s">
        <v>706</v>
      </c>
      <c r="C96" s="5" t="s">
        <v>719</v>
      </c>
      <c r="D96" s="5" t="s">
        <v>720</v>
      </c>
      <c r="E96" s="15" t="s">
        <v>721</v>
      </c>
      <c r="F96" s="13">
        <f ca="1">IFERROR(__xludf.DUMMYFUNCTION("INDEX(SPLIT(E96,"", "",FALSE), 1)"),-13.1492939920337)</f>
        <v>-13.1492939920337</v>
      </c>
      <c r="G96" s="13">
        <f ca="1">IFERROR(__xludf.DUMMYFUNCTION("INDEX(SPLIT(E96,"", "",FALSE), 2)"),31.2630989313085)</f>
        <v>31.263098931308502</v>
      </c>
      <c r="H96" s="5" t="s">
        <v>492</v>
      </c>
      <c r="I96" s="2"/>
      <c r="J96" s="2"/>
      <c r="K96" s="2"/>
      <c r="L96" s="2"/>
      <c r="M96" s="2"/>
      <c r="N96" s="2"/>
      <c r="O96" s="2"/>
      <c r="P96" s="2"/>
      <c r="Q96" s="2"/>
      <c r="R96" s="2"/>
      <c r="S96" s="2"/>
      <c r="T96" s="2"/>
      <c r="U96" s="2"/>
      <c r="V96" s="2"/>
      <c r="W96" s="2"/>
      <c r="X96" s="2"/>
      <c r="Y96" s="2"/>
      <c r="Z96" s="2"/>
      <c r="AA96" s="2"/>
      <c r="AB96" s="2"/>
      <c r="AC96" s="2"/>
    </row>
    <row r="97" spans="1:29" ht="26.25" x14ac:dyDescent="0.25">
      <c r="A97" s="8"/>
      <c r="B97" s="12" t="s">
        <v>706</v>
      </c>
      <c r="C97" s="5" t="s">
        <v>722</v>
      </c>
      <c r="D97" s="5" t="s">
        <v>723</v>
      </c>
      <c r="E97" s="15" t="s">
        <v>724</v>
      </c>
      <c r="F97" s="13">
        <f ca="1">IFERROR(__xludf.DUMMYFUNCTION("INDEX(SPLIT(E97,"", "",FALSE), 1)"),-14.5572663231914)</f>
        <v>-14.557266323191399</v>
      </c>
      <c r="G97" s="13">
        <f ca="1">IFERROR(__xludf.DUMMYFUNCTION("INDEX(SPLIT(E97,"", "",FALSE), 2)"),28.5824348905677)</f>
        <v>28.582434890567701</v>
      </c>
      <c r="H97" s="5" t="s">
        <v>492</v>
      </c>
      <c r="I97" s="2"/>
      <c r="J97" s="2"/>
      <c r="K97" s="2"/>
      <c r="L97" s="2"/>
      <c r="M97" s="2"/>
      <c r="N97" s="2"/>
      <c r="O97" s="2"/>
      <c r="P97" s="2"/>
      <c r="Q97" s="2"/>
      <c r="R97" s="2"/>
      <c r="S97" s="2"/>
      <c r="T97" s="2"/>
      <c r="U97" s="2"/>
      <c r="V97" s="2"/>
      <c r="W97" s="2"/>
      <c r="X97" s="2"/>
      <c r="Y97" s="2"/>
      <c r="Z97" s="2"/>
      <c r="AA97" s="2"/>
      <c r="AB97" s="2"/>
      <c r="AC97" s="2"/>
    </row>
    <row r="98" spans="1:29" ht="26.25" x14ac:dyDescent="0.25">
      <c r="A98" s="8"/>
      <c r="B98" s="12" t="s">
        <v>706</v>
      </c>
      <c r="C98" s="5" t="s">
        <v>725</v>
      </c>
      <c r="D98" s="5" t="s">
        <v>726</v>
      </c>
      <c r="E98" s="15" t="s">
        <v>727</v>
      </c>
      <c r="F98" s="13">
        <f ca="1">IFERROR(__xludf.DUMMYFUNCTION("INDEX(SPLIT(E98,"", "",FALSE), 1)"),-12.6781232644196)</f>
        <v>-12.6781232644196</v>
      </c>
      <c r="G98" s="13">
        <f ca="1">IFERROR(__xludf.DUMMYFUNCTION("INDEX(SPLIT(E98,"", "",FALSE), 2)"),29.6371223820067)</f>
        <v>29.637122382006702</v>
      </c>
      <c r="H98" s="5" t="s">
        <v>492</v>
      </c>
      <c r="I98" s="2"/>
      <c r="J98" s="2"/>
      <c r="K98" s="2"/>
      <c r="L98" s="2"/>
      <c r="M98" s="2"/>
      <c r="N98" s="2"/>
      <c r="O98" s="2"/>
      <c r="P98" s="2"/>
      <c r="Q98" s="2"/>
      <c r="R98" s="2"/>
      <c r="S98" s="2"/>
      <c r="T98" s="2"/>
      <c r="U98" s="2"/>
      <c r="V98" s="2"/>
      <c r="W98" s="2"/>
      <c r="X98" s="2"/>
      <c r="Y98" s="2"/>
      <c r="Z98" s="2"/>
      <c r="AA98" s="2"/>
      <c r="AB98" s="2"/>
      <c r="AC98" s="2"/>
    </row>
    <row r="99" spans="1:29" ht="26.25" x14ac:dyDescent="0.25">
      <c r="A99" s="8"/>
      <c r="B99" s="12" t="s">
        <v>706</v>
      </c>
      <c r="C99" s="5" t="s">
        <v>728</v>
      </c>
      <c r="D99" s="5" t="s">
        <v>729</v>
      </c>
      <c r="E99" s="15" t="s">
        <v>730</v>
      </c>
      <c r="F99" s="13">
        <f ca="1">IFERROR(__xludf.DUMMYFUNCTION("INDEX(SPLIT(E99,"", "",FALSE), 1)"),-12.6781232644196)</f>
        <v>-12.6781232644196</v>
      </c>
      <c r="G99" s="13">
        <f ca="1">IFERROR(__xludf.DUMMYFUNCTION("INDEX(SPLIT(E99,"", "",FALSE), 2)"),32.4496223591775)</f>
        <v>32.449622359177503</v>
      </c>
      <c r="H99" s="5" t="s">
        <v>492</v>
      </c>
      <c r="I99" s="2"/>
      <c r="J99" s="2"/>
      <c r="K99" s="2"/>
      <c r="L99" s="2"/>
      <c r="M99" s="2"/>
      <c r="N99" s="2"/>
      <c r="O99" s="2"/>
      <c r="P99" s="2"/>
      <c r="Q99" s="2"/>
      <c r="R99" s="2"/>
      <c r="S99" s="2"/>
      <c r="T99" s="2"/>
      <c r="U99" s="2"/>
      <c r="V99" s="2"/>
      <c r="W99" s="2"/>
      <c r="X99" s="2"/>
      <c r="Y99" s="2"/>
      <c r="Z99" s="2"/>
      <c r="AA99" s="2"/>
      <c r="AB99" s="2"/>
      <c r="AC99" s="2"/>
    </row>
    <row r="100" spans="1:29" ht="26.25" x14ac:dyDescent="0.25">
      <c r="A100" s="8"/>
      <c r="B100" s="12" t="s">
        <v>706</v>
      </c>
      <c r="C100" s="5" t="s">
        <v>731</v>
      </c>
      <c r="D100" s="5" t="s">
        <v>732</v>
      </c>
      <c r="E100" s="15" t="s">
        <v>733</v>
      </c>
      <c r="F100" s="13">
        <f ca="1">IFERROR(__xludf.DUMMYFUNCTION("INDEX(SPLIT(E100,"", "",FALSE), 1)"),-15.1640063502675)</f>
        <v>-15.164006350267501</v>
      </c>
      <c r="G100" s="13">
        <f ca="1">IFERROR(__xludf.DUMMYFUNCTION("INDEX(SPLIT(E100,"", "",FALSE), 2)"),28.2940419106287)</f>
        <v>28.2940419106287</v>
      </c>
      <c r="H100" s="5" t="s">
        <v>492</v>
      </c>
      <c r="I100" s="2"/>
      <c r="J100" s="2"/>
      <c r="K100" s="2"/>
      <c r="L100" s="2"/>
      <c r="M100" s="2"/>
      <c r="N100" s="2"/>
      <c r="O100" s="2"/>
      <c r="P100" s="2"/>
      <c r="Q100" s="2"/>
      <c r="R100" s="2"/>
      <c r="S100" s="2"/>
      <c r="T100" s="2"/>
      <c r="U100" s="2"/>
      <c r="V100" s="2"/>
      <c r="W100" s="2"/>
      <c r="X100" s="2"/>
      <c r="Y100" s="2"/>
      <c r="Z100" s="2"/>
      <c r="AA100" s="2"/>
      <c r="AB100" s="2"/>
      <c r="AC100" s="2"/>
    </row>
    <row r="101" spans="1:29" ht="26.25" x14ac:dyDescent="0.25">
      <c r="A101" s="8"/>
      <c r="B101" s="12" t="s">
        <v>706</v>
      </c>
      <c r="C101" s="5" t="s">
        <v>734</v>
      </c>
      <c r="D101" s="5" t="s">
        <v>735</v>
      </c>
      <c r="E101" s="15" t="s">
        <v>736</v>
      </c>
      <c r="F101" s="13">
        <f ca="1">IFERROR(__xludf.DUMMYFUNCTION("INDEX(SPLIT(E101,"", "",FALSE), 1)"),-13.428767690451)</f>
        <v>-13.428767690451</v>
      </c>
      <c r="G101" s="13">
        <f ca="1">IFERROR(__xludf.DUMMYFUNCTION("INDEX(SPLIT(E101,"", "",FALSE), 2)"),29.3816883861752)</f>
        <v>29.381688386175199</v>
      </c>
      <c r="H101" s="5" t="s">
        <v>492</v>
      </c>
      <c r="I101" s="2"/>
      <c r="J101" s="2"/>
      <c r="K101" s="2"/>
      <c r="L101" s="2"/>
      <c r="M101" s="2"/>
      <c r="N101" s="2"/>
      <c r="O101" s="2"/>
      <c r="P101" s="2"/>
      <c r="Q101" s="2"/>
      <c r="R101" s="2"/>
      <c r="S101" s="2"/>
      <c r="T101" s="2"/>
      <c r="U101" s="2"/>
      <c r="V101" s="2"/>
      <c r="W101" s="2"/>
      <c r="X101" s="2"/>
      <c r="Y101" s="2"/>
      <c r="Z101" s="2"/>
      <c r="AA101" s="2"/>
      <c r="AB101" s="2"/>
      <c r="AC101" s="2"/>
    </row>
    <row r="102" spans="1:29" ht="26.25" x14ac:dyDescent="0.25">
      <c r="A102" s="8"/>
      <c r="B102" s="12" t="s">
        <v>706</v>
      </c>
      <c r="C102" s="5" t="s">
        <v>737</v>
      </c>
      <c r="D102" s="5" t="s">
        <v>738</v>
      </c>
      <c r="E102" s="15" t="s">
        <v>739</v>
      </c>
      <c r="F102" s="13">
        <f ca="1">IFERROR(__xludf.DUMMYFUNCTION("INDEX(SPLIT(E102,"", "",FALSE), 1)"),-15.1534022892855)</f>
        <v>-15.1534022892855</v>
      </c>
      <c r="G102" s="13">
        <f ca="1">IFERROR(__xludf.DUMMYFUNCTION("INDEX(SPLIT(E102,"", "",FALSE), 2)"),28.2830555825928)</f>
        <v>28.283055582592802</v>
      </c>
      <c r="H102" s="5" t="s">
        <v>492</v>
      </c>
      <c r="I102" s="2"/>
      <c r="J102" s="2"/>
      <c r="K102" s="2"/>
      <c r="L102" s="2"/>
      <c r="M102" s="2"/>
      <c r="N102" s="2"/>
      <c r="O102" s="2"/>
      <c r="P102" s="2"/>
      <c r="Q102" s="2"/>
      <c r="R102" s="2"/>
      <c r="S102" s="2"/>
      <c r="T102" s="2"/>
      <c r="U102" s="2"/>
      <c r="V102" s="2"/>
      <c r="W102" s="2"/>
      <c r="X102" s="2"/>
      <c r="Y102" s="2"/>
      <c r="Z102" s="2"/>
      <c r="AA102" s="2"/>
      <c r="AB102" s="2"/>
      <c r="AC102" s="2"/>
    </row>
    <row r="103" spans="1:29" ht="26.25" x14ac:dyDescent="0.25">
      <c r="A103" s="8"/>
      <c r="B103" s="12" t="s">
        <v>740</v>
      </c>
      <c r="C103" s="5" t="s">
        <v>741</v>
      </c>
      <c r="D103" s="5" t="s">
        <v>742</v>
      </c>
      <c r="E103" s="15" t="s">
        <v>743</v>
      </c>
      <c r="F103" s="13">
        <f ca="1">IFERROR(__xludf.DUMMYFUNCTION("INDEX(SPLIT(E103,"", "",FALSE), 1)"),14.8790849549132)</f>
        <v>14.8790849549132</v>
      </c>
      <c r="G103" s="13">
        <f ca="1">IFERROR(__xludf.DUMMYFUNCTION("INDEX(SPLIT(E103,"", "",FALSE), 2)"),-17.0307208664262)</f>
        <v>-17.030720866426201</v>
      </c>
      <c r="H103" s="5" t="s">
        <v>492</v>
      </c>
      <c r="I103" s="2"/>
      <c r="J103" s="2"/>
      <c r="K103" s="2"/>
      <c r="L103" s="2"/>
      <c r="M103" s="2"/>
      <c r="N103" s="2"/>
      <c r="O103" s="2"/>
      <c r="P103" s="2"/>
      <c r="Q103" s="2"/>
      <c r="R103" s="2"/>
      <c r="S103" s="2"/>
      <c r="T103" s="2"/>
      <c r="U103" s="2"/>
      <c r="V103" s="2"/>
      <c r="W103" s="2"/>
      <c r="X103" s="2"/>
      <c r="Y103" s="2"/>
      <c r="Z103" s="2"/>
      <c r="AA103" s="2"/>
      <c r="AB103" s="2"/>
      <c r="AC103" s="2"/>
    </row>
    <row r="104" spans="1:29" ht="26.25" x14ac:dyDescent="0.25">
      <c r="A104" s="8"/>
      <c r="B104" s="12" t="s">
        <v>740</v>
      </c>
      <c r="C104" s="5" t="s">
        <v>744</v>
      </c>
      <c r="D104" s="5" t="s">
        <v>745</v>
      </c>
      <c r="E104" s="15" t="s">
        <v>746</v>
      </c>
      <c r="F104" s="13">
        <f ca="1">IFERROR(__xludf.DUMMYFUNCTION("INDEX(SPLIT(E104,"", "",FALSE), 1)"),14.8153678268341)</f>
        <v>14.8153678268341</v>
      </c>
      <c r="G104" s="13">
        <f ca="1">IFERROR(__xludf.DUMMYFUNCTION("INDEX(SPLIT(E104,"", "",FALSE), 2)"),-17.4591876598233)</f>
        <v>-17.4591876598233</v>
      </c>
      <c r="H104" s="5" t="s">
        <v>492</v>
      </c>
      <c r="I104" s="2"/>
      <c r="J104" s="2"/>
      <c r="K104" s="2"/>
      <c r="L104" s="2"/>
      <c r="M104" s="2"/>
      <c r="N104" s="2"/>
      <c r="O104" s="2"/>
      <c r="P104" s="2"/>
      <c r="Q104" s="2"/>
      <c r="R104" s="2"/>
      <c r="S104" s="2"/>
      <c r="T104" s="2"/>
      <c r="U104" s="2"/>
      <c r="V104" s="2"/>
      <c r="W104" s="2"/>
      <c r="X104" s="2"/>
      <c r="Y104" s="2"/>
      <c r="Z104" s="2"/>
      <c r="AA104" s="2"/>
      <c r="AB104" s="2"/>
      <c r="AC104" s="2"/>
    </row>
    <row r="105" spans="1:29" ht="26.25" x14ac:dyDescent="0.25">
      <c r="A105" s="8"/>
      <c r="B105" s="12" t="s">
        <v>740</v>
      </c>
      <c r="C105" s="5" t="s">
        <v>747</v>
      </c>
      <c r="D105" s="5" t="s">
        <v>748</v>
      </c>
      <c r="E105" s="15" t="s">
        <v>749</v>
      </c>
      <c r="F105" s="13">
        <f ca="1">IFERROR(__xludf.DUMMYFUNCTION("INDEX(SPLIT(E105,"", "",FALSE), 1)"),14.831058350558)</f>
        <v>14.831058350557999</v>
      </c>
      <c r="G105" s="13">
        <f ca="1">IFERROR(__xludf.DUMMYFUNCTION("INDEX(SPLIT(E105,"", "",FALSE), 2)"),-17.4537328849571)</f>
        <v>-17.453732884957098</v>
      </c>
      <c r="H105" s="5" t="s">
        <v>492</v>
      </c>
      <c r="I105" s="2"/>
      <c r="J105" s="2"/>
      <c r="K105" s="2"/>
      <c r="L105" s="2"/>
      <c r="M105" s="2"/>
      <c r="N105" s="2"/>
      <c r="O105" s="2"/>
      <c r="P105" s="2"/>
      <c r="Q105" s="2"/>
      <c r="R105" s="2"/>
      <c r="S105" s="2"/>
      <c r="T105" s="2"/>
      <c r="U105" s="2"/>
      <c r="V105" s="2"/>
      <c r="W105" s="2"/>
      <c r="X105" s="2"/>
      <c r="Y105" s="2"/>
      <c r="Z105" s="2"/>
      <c r="AA105" s="2"/>
      <c r="AB105" s="2"/>
      <c r="AC105" s="2"/>
    </row>
    <row r="106" spans="1:29" ht="26.25" x14ac:dyDescent="0.25">
      <c r="A106" s="8"/>
      <c r="B106" s="12" t="s">
        <v>740</v>
      </c>
      <c r="C106" s="5" t="s">
        <v>750</v>
      </c>
      <c r="D106" s="5" t="s">
        <v>751</v>
      </c>
      <c r="E106" s="15" t="s">
        <v>752</v>
      </c>
      <c r="F106" s="13">
        <f ca="1">IFERROR(__xludf.DUMMYFUNCTION("INDEX(SPLIT(E106,"", "",FALSE), 1)"),14.5919699424021)</f>
        <v>14.5919699424021</v>
      </c>
      <c r="G106" s="13">
        <f ca="1">IFERROR(__xludf.DUMMYFUNCTION("INDEX(SPLIT(E106,"", "",FALSE), 2)"),-17.0417455836137)</f>
        <v>-17.0417455836137</v>
      </c>
      <c r="H106" s="5" t="s">
        <v>492</v>
      </c>
      <c r="I106" s="2"/>
      <c r="J106" s="2"/>
      <c r="K106" s="2"/>
      <c r="L106" s="2"/>
      <c r="M106" s="2"/>
      <c r="N106" s="2"/>
      <c r="O106" s="2"/>
      <c r="P106" s="2"/>
      <c r="Q106" s="2"/>
      <c r="R106" s="2"/>
      <c r="S106" s="2"/>
      <c r="T106" s="2"/>
      <c r="U106" s="2"/>
      <c r="V106" s="2"/>
      <c r="W106" s="2"/>
      <c r="X106" s="2"/>
      <c r="Y106" s="2"/>
      <c r="Z106" s="2"/>
      <c r="AA106" s="2"/>
      <c r="AB106" s="2"/>
      <c r="AC106" s="2"/>
    </row>
    <row r="107" spans="1:29" ht="39" x14ac:dyDescent="0.25">
      <c r="A107" s="8"/>
      <c r="B107" s="12" t="s">
        <v>740</v>
      </c>
      <c r="C107" s="5" t="s">
        <v>753</v>
      </c>
      <c r="D107" s="5" t="s">
        <v>754</v>
      </c>
      <c r="E107" s="15" t="s">
        <v>755</v>
      </c>
      <c r="F107" s="13">
        <f ca="1">IFERROR(__xludf.DUMMYFUNCTION("INDEX(SPLIT(E107,"", "",FALSE), 1)"),14.8629169511923)</f>
        <v>14.8629169511923</v>
      </c>
      <c r="G107" s="13">
        <f ca="1">IFERROR(__xludf.DUMMYFUNCTION("INDEX(SPLIT(E107,"", "",FALSE), 2)"),-17.3273901125451)</f>
        <v>-17.3273901125451</v>
      </c>
      <c r="H107" s="5" t="s">
        <v>492</v>
      </c>
      <c r="I107" s="2"/>
      <c r="J107" s="2"/>
      <c r="K107" s="2"/>
      <c r="L107" s="2"/>
      <c r="M107" s="2"/>
      <c r="N107" s="2"/>
      <c r="O107" s="2"/>
      <c r="P107" s="2"/>
      <c r="Q107" s="2"/>
      <c r="R107" s="2"/>
      <c r="S107" s="2"/>
      <c r="T107" s="2"/>
      <c r="U107" s="2"/>
      <c r="V107" s="2"/>
      <c r="W107" s="2"/>
      <c r="X107" s="2"/>
      <c r="Y107" s="2"/>
      <c r="Z107" s="2"/>
      <c r="AA107" s="2"/>
      <c r="AB107" s="2"/>
      <c r="AC107" s="2"/>
    </row>
    <row r="108" spans="1:29" ht="26.25" x14ac:dyDescent="0.25">
      <c r="A108" s="8"/>
      <c r="B108" s="12" t="s">
        <v>451</v>
      </c>
      <c r="C108" s="5" t="s">
        <v>756</v>
      </c>
      <c r="D108" s="5" t="s">
        <v>757</v>
      </c>
      <c r="E108" s="15" t="s">
        <v>758</v>
      </c>
      <c r="F108" s="13">
        <f ca="1">IFERROR(__xludf.DUMMYFUNCTION("INDEX(SPLIT(E108,"", "",FALSE), 1)"),-16.9992400081093)</f>
        <v>-16.9992400081093</v>
      </c>
      <c r="G108" s="13">
        <f ca="1">IFERROR(__xludf.DUMMYFUNCTION("INDEX(SPLIT(E108,"", "",FALSE), 2)"),30.973230021428)</f>
        <v>30.973230021428002</v>
      </c>
      <c r="H108" s="5" t="s">
        <v>492</v>
      </c>
      <c r="I108" s="2"/>
      <c r="J108" s="2"/>
      <c r="K108" s="2"/>
      <c r="L108" s="2"/>
      <c r="M108" s="2"/>
      <c r="N108" s="2"/>
      <c r="O108" s="2"/>
      <c r="P108" s="2"/>
      <c r="Q108" s="2"/>
      <c r="R108" s="2"/>
      <c r="S108" s="2"/>
      <c r="T108" s="2"/>
      <c r="U108" s="2"/>
      <c r="V108" s="2"/>
      <c r="W108" s="2"/>
      <c r="X108" s="2"/>
      <c r="Y108" s="2"/>
      <c r="Z108" s="2"/>
      <c r="AA108" s="2"/>
      <c r="AB108" s="2"/>
      <c r="AC108" s="2"/>
    </row>
    <row r="109" spans="1:29" ht="26.25" x14ac:dyDescent="0.25">
      <c r="A109" s="8"/>
      <c r="B109" s="12" t="s">
        <v>451</v>
      </c>
      <c r="C109" s="5" t="s">
        <v>759</v>
      </c>
      <c r="D109" s="5" t="s">
        <v>760</v>
      </c>
      <c r="E109" s="15" t="s">
        <v>761</v>
      </c>
      <c r="F109" s="13">
        <f ca="1">IFERROR(__xludf.DUMMYFUNCTION("INDEX(SPLIT(E109,"", "",FALSE), 1)"),-16.8310637143631)</f>
        <v>-16.831063714363101</v>
      </c>
      <c r="G109" s="13">
        <f ca="1">IFERROR(__xludf.DUMMYFUNCTION("INDEX(SPLIT(E109,"", "",FALSE), 2)"),31.0611206457146)</f>
        <v>31.061120645714599</v>
      </c>
      <c r="H109" s="5" t="s">
        <v>492</v>
      </c>
      <c r="I109" s="2"/>
      <c r="J109" s="2"/>
      <c r="K109" s="2"/>
      <c r="L109" s="2"/>
      <c r="M109" s="2"/>
      <c r="N109" s="2"/>
      <c r="O109" s="2"/>
      <c r="P109" s="2"/>
      <c r="Q109" s="2"/>
      <c r="R109" s="2"/>
      <c r="S109" s="2"/>
      <c r="T109" s="2"/>
      <c r="U109" s="2"/>
      <c r="V109" s="2"/>
      <c r="W109" s="2"/>
      <c r="X109" s="2"/>
      <c r="Y109" s="2"/>
      <c r="Z109" s="2"/>
      <c r="AA109" s="2"/>
      <c r="AB109" s="2"/>
      <c r="AC109" s="2"/>
    </row>
    <row r="110" spans="1:29" ht="26.25" x14ac:dyDescent="0.25">
      <c r="A110" s="8"/>
      <c r="B110" s="12" t="s">
        <v>451</v>
      </c>
      <c r="C110" s="5" t="s">
        <v>762</v>
      </c>
      <c r="D110" s="5" t="s">
        <v>763</v>
      </c>
      <c r="E110" s="15" t="s">
        <v>764</v>
      </c>
      <c r="F110" s="13">
        <f ca="1">IFERROR(__xludf.DUMMYFUNCTION("INDEX(SPLIT(E110,"", "",FALSE), 1)"),-16.7889962359526)</f>
        <v>-16.788996235952599</v>
      </c>
      <c r="G110" s="13">
        <f ca="1">IFERROR(__xludf.DUMMYFUNCTION("INDEX(SPLIT(E110,"", "",FALSE), 2)"),31.280847206431)</f>
        <v>31.280847206431002</v>
      </c>
      <c r="H110" s="5" t="s">
        <v>492</v>
      </c>
      <c r="I110" s="2"/>
      <c r="J110" s="2"/>
      <c r="K110" s="2"/>
      <c r="L110" s="2"/>
      <c r="M110" s="2"/>
      <c r="N110" s="2"/>
      <c r="O110" s="2"/>
      <c r="P110" s="2"/>
      <c r="Q110" s="2"/>
      <c r="R110" s="2"/>
      <c r="S110" s="2"/>
      <c r="T110" s="2"/>
      <c r="U110" s="2"/>
      <c r="V110" s="2"/>
      <c r="W110" s="2"/>
      <c r="X110" s="2"/>
      <c r="Y110" s="2"/>
      <c r="Z110" s="2"/>
      <c r="AA110" s="2"/>
      <c r="AB110" s="2"/>
      <c r="AC110" s="2"/>
    </row>
    <row r="111" spans="1:29" x14ac:dyDescent="0.25">
      <c r="A111" s="8"/>
      <c r="B111" s="12" t="s">
        <v>451</v>
      </c>
      <c r="C111" s="5" t="s">
        <v>765</v>
      </c>
      <c r="D111" s="5" t="s">
        <v>766</v>
      </c>
      <c r="E111" s="15" t="s">
        <v>767</v>
      </c>
      <c r="F111" s="13">
        <f ca="1">IFERROR(__xludf.DUMMYFUNCTION("INDEX(SPLIT(E111,"", "",FALSE), 1)"),-17.0283205762321)</f>
        <v>-17.028320576232101</v>
      </c>
      <c r="G111" s="13">
        <f ca="1">IFERROR(__xludf.DUMMYFUNCTION("INDEX(SPLIT(E111,"", "",FALSE), 2)"),31.1461673450084)</f>
        <v>31.146167345008401</v>
      </c>
      <c r="H111" s="5" t="s">
        <v>492</v>
      </c>
      <c r="I111" s="2"/>
      <c r="J111" s="2"/>
      <c r="K111" s="2"/>
      <c r="L111" s="2"/>
      <c r="M111" s="2"/>
      <c r="N111" s="2"/>
      <c r="O111" s="2"/>
      <c r="P111" s="2"/>
      <c r="Q111" s="2"/>
      <c r="R111" s="2"/>
      <c r="S111" s="2"/>
      <c r="T111" s="2"/>
      <c r="U111" s="2"/>
      <c r="V111" s="2"/>
      <c r="W111" s="2"/>
      <c r="X111" s="2"/>
      <c r="Y111" s="2"/>
      <c r="Z111" s="2"/>
      <c r="AA111" s="2"/>
      <c r="AB111" s="2"/>
      <c r="AC111" s="2"/>
    </row>
    <row r="112" spans="1:29" ht="26.25" x14ac:dyDescent="0.25">
      <c r="A112" s="8"/>
      <c r="B112" s="12" t="s">
        <v>451</v>
      </c>
      <c r="C112" s="5" t="s">
        <v>768</v>
      </c>
      <c r="D112" s="5" t="s">
        <v>769</v>
      </c>
      <c r="E112" s="15" t="s">
        <v>770</v>
      </c>
      <c r="F112" s="13">
        <f ca="1">IFERROR(__xludf.DUMMYFUNCTION("INDEX(SPLIT(E112,"", "",FALSE), 1)"),-17.0283205762321)</f>
        <v>-17.028320576232101</v>
      </c>
      <c r="G112" s="13">
        <f ca="1">IFERROR(__xludf.DUMMYFUNCTION("INDEX(SPLIT(E112,"", "",FALSE), 2)"),30.8824954721487)</f>
        <v>30.882495472148701</v>
      </c>
      <c r="H112" s="5" t="s">
        <v>492</v>
      </c>
      <c r="I112" s="2"/>
      <c r="J112" s="2"/>
      <c r="K112" s="2"/>
      <c r="L112" s="2"/>
      <c r="M112" s="2"/>
      <c r="N112" s="2"/>
      <c r="O112" s="2"/>
      <c r="P112" s="2"/>
      <c r="Q112" s="2"/>
      <c r="R112" s="2"/>
      <c r="S112" s="2"/>
      <c r="T112" s="2"/>
      <c r="U112" s="2"/>
      <c r="V112" s="2"/>
      <c r="W112" s="2"/>
      <c r="X112" s="2"/>
      <c r="Y112" s="2"/>
      <c r="Z112" s="2"/>
      <c r="AA112" s="2"/>
      <c r="AB112" s="2"/>
      <c r="AC112" s="2"/>
    </row>
    <row r="113" spans="1:29" x14ac:dyDescent="0.25">
      <c r="A113" s="8"/>
      <c r="B113" s="12" t="s">
        <v>451</v>
      </c>
      <c r="C113" s="5" t="s">
        <v>771</v>
      </c>
      <c r="D113" s="5" t="s">
        <v>772</v>
      </c>
      <c r="E113" s="15" t="s">
        <v>773</v>
      </c>
      <c r="F113" s="13">
        <f ca="1">IFERROR(__xludf.DUMMYFUNCTION("INDEX(SPLIT(E113,"", "",FALSE), 1)"),-17.0283205762321)</f>
        <v>-17.028320576232101</v>
      </c>
      <c r="G113" s="13">
        <f ca="1">IFERROR(__xludf.DUMMYFUNCTION("INDEX(SPLIT(E113,"", "",FALSE), 2)"),31.234057969295)</f>
        <v>31.234057969295002</v>
      </c>
      <c r="H113" s="5" t="s">
        <v>492</v>
      </c>
      <c r="I113" s="2"/>
      <c r="J113" s="2"/>
      <c r="K113" s="2"/>
      <c r="L113" s="2"/>
      <c r="M113" s="2"/>
      <c r="N113" s="2"/>
      <c r="O113" s="2"/>
      <c r="P113" s="2"/>
      <c r="Q113" s="2"/>
      <c r="R113" s="2"/>
      <c r="S113" s="2"/>
      <c r="T113" s="2"/>
      <c r="U113" s="2"/>
      <c r="V113" s="2"/>
      <c r="W113" s="2"/>
      <c r="X113" s="2"/>
      <c r="Y113" s="2"/>
      <c r="Z113" s="2"/>
      <c r="AA113" s="2"/>
      <c r="AB113" s="2"/>
      <c r="AC113" s="2"/>
    </row>
    <row r="114" spans="1:29" ht="26.25" x14ac:dyDescent="0.25">
      <c r="A114" s="8"/>
      <c r="B114" s="12" t="s">
        <v>451</v>
      </c>
      <c r="C114" s="5" t="s">
        <v>774</v>
      </c>
      <c r="D114" s="5" t="s">
        <v>775</v>
      </c>
      <c r="E114" s="15" t="s">
        <v>776</v>
      </c>
      <c r="F114" s="13">
        <f ca="1">IFERROR(__xludf.DUMMYFUNCTION("INDEX(SPLIT(E114,"", "",FALSE), 1)"),-16.8181092581879)</f>
        <v>-16.818109258187899</v>
      </c>
      <c r="G114" s="13">
        <f ca="1">IFERROR(__xludf.DUMMYFUNCTION("INDEX(SPLIT(E114,"", "",FALSE), 2)"),30.7946048478621)</f>
        <v>30.7946048478621</v>
      </c>
      <c r="H114" s="5" t="s">
        <v>492</v>
      </c>
      <c r="I114" s="2"/>
      <c r="J114" s="2"/>
      <c r="K114" s="2"/>
      <c r="L114" s="2"/>
      <c r="M114" s="2"/>
      <c r="N114" s="2"/>
      <c r="O114" s="2"/>
      <c r="P114" s="2"/>
      <c r="Q114" s="2"/>
      <c r="R114" s="2"/>
      <c r="S114" s="2"/>
      <c r="T114" s="2"/>
      <c r="U114" s="2"/>
      <c r="V114" s="2"/>
      <c r="W114" s="2"/>
      <c r="X114" s="2"/>
      <c r="Y114" s="2"/>
      <c r="Z114" s="2"/>
      <c r="AA114" s="2"/>
      <c r="AB114" s="2"/>
      <c r="AC114" s="2"/>
    </row>
    <row r="115" spans="1:29" ht="26.25" x14ac:dyDescent="0.25">
      <c r="A115" s="8"/>
      <c r="B115" s="12" t="s">
        <v>777</v>
      </c>
      <c r="C115" s="5" t="s">
        <v>778</v>
      </c>
      <c r="D115" s="5" t="s">
        <v>779</v>
      </c>
      <c r="E115" s="15" t="s">
        <v>780</v>
      </c>
      <c r="F115" s="13">
        <f ca="1">IFERROR(__xludf.DUMMYFUNCTION("INDEX(SPLIT(E115,"", "",FALSE), 1)"),-1.2886351015644)</f>
        <v>-1.2886351015644</v>
      </c>
      <c r="G115" s="13">
        <f ca="1">IFERROR(__xludf.DUMMYFUNCTION("INDEX(SPLIT(E115,"", "",FALSE), 2)"),29.6215150131867)</f>
        <v>29.621515013186698</v>
      </c>
      <c r="H115" s="5" t="s">
        <v>492</v>
      </c>
      <c r="I115" s="2"/>
      <c r="J115" s="2"/>
      <c r="K115" s="2"/>
      <c r="L115" s="2"/>
      <c r="M115" s="2"/>
      <c r="N115" s="2"/>
      <c r="O115" s="2"/>
      <c r="P115" s="2"/>
      <c r="Q115" s="2"/>
      <c r="R115" s="2"/>
      <c r="S115" s="2"/>
      <c r="T115" s="2"/>
      <c r="U115" s="2"/>
      <c r="V115" s="2"/>
      <c r="W115" s="2"/>
      <c r="X115" s="2"/>
      <c r="Y115" s="2"/>
      <c r="Z115" s="2"/>
      <c r="AA115" s="2"/>
      <c r="AB115" s="2"/>
      <c r="AC115" s="2"/>
    </row>
    <row r="116" spans="1:29" ht="26.25" x14ac:dyDescent="0.25">
      <c r="A116" s="8"/>
      <c r="B116" s="12" t="s">
        <v>777</v>
      </c>
      <c r="C116" s="5" t="s">
        <v>781</v>
      </c>
      <c r="D116" s="5" t="s">
        <v>782</v>
      </c>
      <c r="E116" s="15" t="s">
        <v>783</v>
      </c>
      <c r="F116" s="13">
        <f ca="1">IFERROR(__xludf.DUMMYFUNCTION("INDEX(SPLIT(E116,"", "",FALSE), 1)"),-1.66204576143689)</f>
        <v>-1.66204576143689</v>
      </c>
      <c r="G116" s="13">
        <f ca="1">IFERROR(__xludf.DUMMYFUNCTION("INDEX(SPLIT(E116,"", "",FALSE), 2)"),30.5114075840884)</f>
        <v>30.511407584088399</v>
      </c>
      <c r="H116" s="5" t="s">
        <v>492</v>
      </c>
      <c r="I116" s="2"/>
      <c r="J116" s="2"/>
      <c r="K116" s="2"/>
      <c r="L116" s="2"/>
      <c r="M116" s="2"/>
      <c r="N116" s="2"/>
      <c r="O116" s="2"/>
      <c r="P116" s="2"/>
      <c r="Q116" s="2"/>
      <c r="R116" s="2"/>
      <c r="S116" s="2"/>
      <c r="T116" s="2"/>
      <c r="U116" s="2"/>
      <c r="V116" s="2"/>
      <c r="W116" s="2"/>
      <c r="X116" s="2"/>
      <c r="Y116" s="2"/>
      <c r="Z116" s="2"/>
      <c r="AA116" s="2"/>
      <c r="AB116" s="2"/>
      <c r="AC116" s="2"/>
    </row>
    <row r="117" spans="1:29" x14ac:dyDescent="0.25">
      <c r="A117" s="8"/>
      <c r="B117" s="12" t="s">
        <v>777</v>
      </c>
      <c r="C117" s="5" t="s">
        <v>784</v>
      </c>
      <c r="D117" s="5" t="s">
        <v>785</v>
      </c>
      <c r="E117" s="15" t="s">
        <v>786</v>
      </c>
      <c r="F117" s="13">
        <f ca="1">IFERROR(__xludf.DUMMYFUNCTION("INDEX(SPLIT(E117,"", "",FALSE), 1)"),-1.74989741970975)</f>
        <v>-1.7498974197097501</v>
      </c>
      <c r="G117" s="13">
        <f ca="1">IFERROR(__xludf.DUMMYFUNCTION("INDEX(SPLIT(E117,"", "",FALSE), 2)"),29.4127747805061)</f>
        <v>29.412774780506101</v>
      </c>
      <c r="H117" s="5" t="s">
        <v>492</v>
      </c>
      <c r="I117" s="2"/>
      <c r="J117" s="2"/>
      <c r="K117" s="2"/>
      <c r="L117" s="2"/>
      <c r="M117" s="2"/>
      <c r="N117" s="2"/>
      <c r="O117" s="2"/>
      <c r="P117" s="2"/>
      <c r="Q117" s="2"/>
      <c r="R117" s="2"/>
      <c r="S117" s="2"/>
      <c r="T117" s="2"/>
      <c r="U117" s="2"/>
      <c r="V117" s="2"/>
      <c r="W117" s="2"/>
      <c r="X117" s="2"/>
      <c r="Y117" s="2"/>
      <c r="Z117" s="2"/>
      <c r="AA117" s="2"/>
      <c r="AB117" s="2"/>
      <c r="AC117" s="2"/>
    </row>
    <row r="118" spans="1:29" ht="26.25" x14ac:dyDescent="0.25">
      <c r="A118" s="8"/>
      <c r="B118" s="12" t="s">
        <v>777</v>
      </c>
      <c r="C118" s="5" t="s">
        <v>787</v>
      </c>
      <c r="D118" s="5" t="s">
        <v>788</v>
      </c>
      <c r="E118" s="15" t="s">
        <v>789</v>
      </c>
      <c r="F118" s="13">
        <f ca="1">IFERROR(__xludf.DUMMYFUNCTION("INDEX(SPLIT(E118,"", "",FALSE), 1)"),-1.71695351901479)</f>
        <v>-1.71695351901479</v>
      </c>
      <c r="G118" s="13">
        <f ca="1">IFERROR(__xludf.DUMMYFUNCTION("INDEX(SPLIT(E118,"", "",FALSE), 2)"),30.1378724308704)</f>
        <v>30.137872430870399</v>
      </c>
      <c r="H118" s="5" t="s">
        <v>492</v>
      </c>
      <c r="I118" s="2"/>
      <c r="J118" s="2"/>
      <c r="K118" s="2"/>
      <c r="L118" s="2"/>
      <c r="M118" s="2"/>
      <c r="N118" s="2"/>
      <c r="O118" s="2"/>
      <c r="P118" s="2"/>
      <c r="Q118" s="2"/>
      <c r="R118" s="2"/>
      <c r="S118" s="2"/>
      <c r="T118" s="2"/>
      <c r="U118" s="2"/>
      <c r="V118" s="2"/>
      <c r="W118" s="2"/>
      <c r="X118" s="2"/>
      <c r="Y118" s="2"/>
      <c r="Z118" s="2"/>
      <c r="AA118" s="2"/>
      <c r="AB118" s="2"/>
      <c r="AC118" s="2"/>
    </row>
    <row r="119" spans="1:29" ht="26.25" x14ac:dyDescent="0.25">
      <c r="A119" s="8"/>
      <c r="B119" s="12" t="s">
        <v>777</v>
      </c>
      <c r="C119" s="5" t="s">
        <v>790</v>
      </c>
      <c r="D119" s="5" t="s">
        <v>791</v>
      </c>
      <c r="E119" s="15" t="s">
        <v>792</v>
      </c>
      <c r="F119" s="13">
        <f ca="1">IFERROR(__xludf.DUMMYFUNCTION("INDEX(SPLIT(E119,"", "",FALSE), 1)"),-1.73594379108961)</f>
        <v>-1.7359437910896101</v>
      </c>
      <c r="G119" s="13">
        <f ca="1">IFERROR(__xludf.DUMMYFUNCTION("INDEX(SPLIT(E119,"", "",FALSE), 2)"),30.1816580607975)</f>
        <v>30.181658060797499</v>
      </c>
      <c r="H119" s="5" t="s">
        <v>492</v>
      </c>
      <c r="I119" s="2"/>
      <c r="J119" s="2"/>
      <c r="K119" s="2"/>
      <c r="L119" s="2"/>
      <c r="M119" s="2"/>
      <c r="N119" s="2"/>
      <c r="O119" s="2"/>
      <c r="P119" s="2"/>
      <c r="Q119" s="2"/>
      <c r="R119" s="2"/>
      <c r="S119" s="2"/>
      <c r="T119" s="2"/>
      <c r="U119" s="2"/>
      <c r="V119" s="2"/>
      <c r="W119" s="2"/>
      <c r="X119" s="2"/>
      <c r="Y119" s="2"/>
      <c r="Z119" s="2"/>
      <c r="AA119" s="2"/>
      <c r="AB119" s="2"/>
      <c r="AC119" s="2"/>
    </row>
    <row r="120" spans="1:29" ht="26.25" x14ac:dyDescent="0.25">
      <c r="A120" s="8"/>
      <c r="B120" s="12" t="s">
        <v>793</v>
      </c>
      <c r="C120" s="5" t="s">
        <v>794</v>
      </c>
      <c r="D120" s="5" t="s">
        <v>795</v>
      </c>
      <c r="E120" s="15" t="s">
        <v>796</v>
      </c>
      <c r="F120" s="13">
        <f ca="1">IFERROR(__xludf.DUMMYFUNCTION("INDEX(SPLIT(E120,"", "",FALSE), 1)"),-20.2636165735431)</f>
        <v>-20.2636165735431</v>
      </c>
      <c r="G120" s="13">
        <f ca="1">IFERROR(__xludf.DUMMYFUNCTION("INDEX(SPLIT(E120,"", "",FALSE), 2)"),57.4881188187882)</f>
        <v>57.488118818788202</v>
      </c>
      <c r="H120" s="5" t="s">
        <v>492</v>
      </c>
      <c r="I120" s="2"/>
      <c r="J120" s="2"/>
      <c r="K120" s="2"/>
      <c r="L120" s="2"/>
      <c r="M120" s="2"/>
      <c r="N120" s="2"/>
      <c r="O120" s="2"/>
      <c r="P120" s="2"/>
      <c r="Q120" s="2"/>
      <c r="R120" s="2"/>
      <c r="S120" s="2"/>
      <c r="T120" s="2"/>
      <c r="U120" s="2"/>
      <c r="V120" s="2"/>
      <c r="W120" s="2"/>
      <c r="X120" s="2"/>
      <c r="Y120" s="2"/>
      <c r="Z120" s="2"/>
      <c r="AA120" s="2"/>
      <c r="AB120" s="2"/>
      <c r="AC120" s="2"/>
    </row>
    <row r="121" spans="1:29" ht="26.25" x14ac:dyDescent="0.25">
      <c r="A121" s="8"/>
      <c r="B121" s="12" t="s">
        <v>793</v>
      </c>
      <c r="C121" s="5" t="s">
        <v>797</v>
      </c>
      <c r="D121" s="5" t="s">
        <v>798</v>
      </c>
      <c r="E121" s="15" t="s">
        <v>799</v>
      </c>
      <c r="F121" s="13">
        <f ca="1">IFERROR(__xludf.DUMMYFUNCTION("INDEX(SPLIT(E121,"", "",FALSE), 1)"),-20.2674814155442)</f>
        <v>-20.2674814155442</v>
      </c>
      <c r="G121" s="13">
        <f ca="1">IFERROR(__xludf.DUMMYFUNCTION("INDEX(SPLIT(E121,"", "",FALSE), 2)"),57.4908654007972)</f>
        <v>57.490865400797198</v>
      </c>
      <c r="H121" s="5" t="s">
        <v>492</v>
      </c>
      <c r="I121" s="2"/>
      <c r="J121" s="2"/>
      <c r="K121" s="2"/>
      <c r="L121" s="2"/>
      <c r="M121" s="2"/>
      <c r="N121" s="2"/>
      <c r="O121" s="2"/>
      <c r="P121" s="2"/>
      <c r="Q121" s="2"/>
      <c r="R121" s="2"/>
      <c r="S121" s="2"/>
      <c r="T121" s="2"/>
      <c r="U121" s="2"/>
      <c r="V121" s="2"/>
      <c r="W121" s="2"/>
      <c r="X121" s="2"/>
      <c r="Y121" s="2"/>
      <c r="Z121" s="2"/>
      <c r="AA121" s="2"/>
      <c r="AB121" s="2"/>
      <c r="AC121" s="2"/>
    </row>
    <row r="122" spans="1:29" x14ac:dyDescent="0.25">
      <c r="A122" s="8"/>
      <c r="B122" s="12" t="s">
        <v>793</v>
      </c>
      <c r="C122" s="5" t="s">
        <v>800</v>
      </c>
      <c r="D122" s="5" t="s">
        <v>801</v>
      </c>
      <c r="E122" s="15" t="s">
        <v>802</v>
      </c>
      <c r="F122" s="13">
        <f ca="1">IFERROR(__xludf.DUMMYFUNCTION("INDEX(SPLIT(E122,"", "",FALSE), 1)"),-20.2983966847284)</f>
        <v>-20.298396684728399</v>
      </c>
      <c r="G122" s="13">
        <f ca="1">IFERROR(__xludf.DUMMYFUNCTION("INDEX(SPLIT(E122,"", "",FALSE), 2)"),57.4853722367792)</f>
        <v>57.485372236779199</v>
      </c>
      <c r="H122" s="5" t="s">
        <v>492</v>
      </c>
      <c r="I122" s="2"/>
      <c r="J122" s="2"/>
      <c r="K122" s="2"/>
      <c r="L122" s="2"/>
      <c r="M122" s="2"/>
      <c r="N122" s="2"/>
      <c r="O122" s="2"/>
      <c r="P122" s="2"/>
      <c r="Q122" s="2"/>
      <c r="R122" s="2"/>
      <c r="S122" s="2"/>
      <c r="T122" s="2"/>
      <c r="U122" s="2"/>
      <c r="V122" s="2"/>
      <c r="W122" s="2"/>
      <c r="X122" s="2"/>
      <c r="Y122" s="2"/>
      <c r="Z122" s="2"/>
      <c r="AA122" s="2"/>
      <c r="AB122" s="2"/>
      <c r="AC122" s="2"/>
    </row>
    <row r="123" spans="1:29" ht="26.25" x14ac:dyDescent="0.25">
      <c r="A123" s="8"/>
      <c r="B123" s="12" t="s">
        <v>793</v>
      </c>
      <c r="C123" s="5" t="s">
        <v>803</v>
      </c>
      <c r="D123" s="5" t="s">
        <v>804</v>
      </c>
      <c r="E123" s="15" t="s">
        <v>805</v>
      </c>
      <c r="F123" s="13">
        <f ca="1">IFERROR(__xludf.DUMMYFUNCTION("INDEX(SPLIT(E123,"", "",FALSE), 1)"),-20.4181350168513)</f>
        <v>-20.418135016851299</v>
      </c>
      <c r="G123" s="13">
        <f ca="1">IFERROR(__xludf.DUMMYFUNCTION("INDEX(SPLIT(E123,"", "",FALSE), 2)"),57.5993553901509)</f>
        <v>57.599355390150897</v>
      </c>
      <c r="H123" s="5" t="s">
        <v>492</v>
      </c>
      <c r="I123" s="2"/>
      <c r="J123" s="2"/>
      <c r="K123" s="2"/>
      <c r="L123" s="2"/>
      <c r="M123" s="2"/>
      <c r="N123" s="2"/>
      <c r="O123" s="2"/>
      <c r="P123" s="2"/>
      <c r="Q123" s="2"/>
      <c r="R123" s="2"/>
      <c r="S123" s="2"/>
      <c r="T123" s="2"/>
      <c r="U123" s="2"/>
      <c r="V123" s="2"/>
      <c r="W123" s="2"/>
      <c r="X123" s="2"/>
      <c r="Y123" s="2"/>
      <c r="Z123" s="2"/>
      <c r="AA123" s="2"/>
      <c r="AB123" s="2"/>
      <c r="AC123" s="2"/>
    </row>
    <row r="124" spans="1:29" ht="26.25" x14ac:dyDescent="0.25">
      <c r="A124" s="8"/>
      <c r="B124" s="12" t="s">
        <v>793</v>
      </c>
      <c r="C124" s="5" t="s">
        <v>806</v>
      </c>
      <c r="D124" s="5" t="s">
        <v>807</v>
      </c>
      <c r="E124" s="15" t="s">
        <v>808</v>
      </c>
      <c r="F124" s="13">
        <f ca="1">IFERROR(__xludf.DUMMYFUNCTION("INDEX(SPLIT(E124,"", "",FALSE), 1)"),-20.3125641219695)</f>
        <v>-20.312564121969501</v>
      </c>
      <c r="G124" s="13">
        <f ca="1">IFERROR(__xludf.DUMMYFUNCTION("INDEX(SPLIT(E124,"", "",FALSE), 2)"),57.4894921097927)</f>
        <v>57.4894921097927</v>
      </c>
      <c r="H124" s="5" t="s">
        <v>492</v>
      </c>
      <c r="I124" s="2"/>
      <c r="J124" s="2"/>
      <c r="K124" s="2"/>
      <c r="L124" s="2"/>
      <c r="M124" s="2"/>
      <c r="N124" s="2"/>
      <c r="O124" s="2"/>
      <c r="P124" s="2"/>
      <c r="Q124" s="2"/>
      <c r="R124" s="2"/>
      <c r="S124" s="2"/>
      <c r="T124" s="2"/>
      <c r="U124" s="2"/>
      <c r="V124" s="2"/>
      <c r="W124" s="2"/>
      <c r="X124" s="2"/>
      <c r="Y124" s="2"/>
      <c r="Z124" s="2"/>
      <c r="AA124" s="2"/>
      <c r="AB124" s="2"/>
      <c r="AC124" s="2"/>
    </row>
    <row r="125" spans="1:29" ht="26.25" x14ac:dyDescent="0.25">
      <c r="A125" s="8"/>
      <c r="B125" s="12" t="s">
        <v>793</v>
      </c>
      <c r="C125" s="5" t="s">
        <v>809</v>
      </c>
      <c r="D125" s="5" t="s">
        <v>810</v>
      </c>
      <c r="E125" s="15" t="s">
        <v>811</v>
      </c>
      <c r="F125" s="13">
        <f ca="1">IFERROR(__xludf.DUMMYFUNCTION("INDEX(SPLIT(E125,"", "",FALSE), 1)"),-20.0917344300329)</f>
        <v>-20.091734430032901</v>
      </c>
      <c r="G125" s="13">
        <f ca="1">IFERROR(__xludf.DUMMYFUNCTION("INDEX(SPLIT(E125,"", "",FALSE), 2)"),57.6735107764946)</f>
        <v>57.673510776494602</v>
      </c>
      <c r="H125" s="5" t="s">
        <v>492</v>
      </c>
      <c r="I125" s="2"/>
      <c r="J125" s="2"/>
      <c r="K125" s="2"/>
      <c r="L125" s="2"/>
      <c r="M125" s="2"/>
      <c r="N125" s="2"/>
      <c r="O125" s="2"/>
      <c r="P125" s="2"/>
      <c r="Q125" s="2"/>
      <c r="R125" s="2"/>
      <c r="S125" s="2"/>
      <c r="T125" s="2"/>
      <c r="U125" s="2"/>
      <c r="V125" s="2"/>
      <c r="W125" s="2"/>
      <c r="X125" s="2"/>
      <c r="Y125" s="2"/>
      <c r="Z125" s="2"/>
      <c r="AA125" s="2"/>
      <c r="AB125" s="2"/>
      <c r="AC125" s="2"/>
    </row>
    <row r="126" spans="1:29" ht="26.25" x14ac:dyDescent="0.25">
      <c r="A126" s="8"/>
      <c r="B126" s="12" t="s">
        <v>793</v>
      </c>
      <c r="C126" s="5" t="s">
        <v>812</v>
      </c>
      <c r="D126" s="5" t="s">
        <v>813</v>
      </c>
      <c r="E126" s="15" t="s">
        <v>814</v>
      </c>
      <c r="F126" s="13">
        <f ca="1">IFERROR(__xludf.DUMMYFUNCTION("INDEX(SPLIT(E126,"", "",FALSE), 1)"),-20.1226845962579)</f>
        <v>-20.122684596257901</v>
      </c>
      <c r="G126" s="13">
        <f ca="1">IFERROR(__xludf.DUMMYFUNCTION("INDEX(SPLIT(E126,"", "",FALSE), 2)"),57.4949829459125)</f>
        <v>57.494982945912497</v>
      </c>
      <c r="H126" s="5" t="s">
        <v>492</v>
      </c>
      <c r="I126" s="2"/>
      <c r="J126" s="2"/>
      <c r="K126" s="2"/>
      <c r="L126" s="2"/>
      <c r="M126" s="2"/>
      <c r="N126" s="2"/>
      <c r="O126" s="2"/>
      <c r="P126" s="2"/>
      <c r="Q126" s="2"/>
      <c r="R126" s="2"/>
      <c r="S126" s="2"/>
      <c r="T126" s="2"/>
      <c r="U126" s="2"/>
      <c r="V126" s="2"/>
      <c r="W126" s="2"/>
      <c r="X126" s="2"/>
      <c r="Y126" s="2"/>
      <c r="Z126" s="2"/>
      <c r="AA126" s="2"/>
      <c r="AB126" s="2"/>
      <c r="AC126" s="2"/>
    </row>
    <row r="127" spans="1:29" ht="26.25" x14ac:dyDescent="0.25">
      <c r="A127" s="8"/>
      <c r="B127" s="12" t="s">
        <v>793</v>
      </c>
      <c r="C127" s="5" t="s">
        <v>815</v>
      </c>
      <c r="D127" s="5" t="s">
        <v>816</v>
      </c>
      <c r="E127" s="15" t="s">
        <v>817</v>
      </c>
      <c r="F127" s="13">
        <f ca="1">IFERROR(__xludf.DUMMYFUNCTION("INDEX(SPLIT(E127,"", "",FALSE), 1)"),-20.0530381216145)</f>
        <v>-20.053038121614499</v>
      </c>
      <c r="G127" s="13">
        <f ca="1">IFERROR(__xludf.DUMMYFUNCTION("INDEX(SPLIT(E127,"", "",FALSE), 2)"),57.5457947130782)</f>
        <v>57.545794713078202</v>
      </c>
      <c r="H127" s="5" t="s">
        <v>492</v>
      </c>
      <c r="I127" s="2"/>
      <c r="J127" s="2"/>
      <c r="K127" s="2"/>
      <c r="L127" s="2"/>
      <c r="M127" s="2"/>
      <c r="N127" s="2"/>
      <c r="O127" s="2"/>
      <c r="P127" s="2"/>
      <c r="Q127" s="2"/>
      <c r="R127" s="2"/>
      <c r="S127" s="2"/>
      <c r="T127" s="2"/>
      <c r="U127" s="2"/>
      <c r="V127" s="2"/>
      <c r="W127" s="2"/>
      <c r="X127" s="2"/>
      <c r="Y127" s="2"/>
      <c r="Z127" s="2"/>
      <c r="AA127" s="2"/>
      <c r="AB127" s="2"/>
      <c r="AC127" s="2"/>
    </row>
    <row r="128" spans="1:29" x14ac:dyDescent="0.25">
      <c r="A128" s="8"/>
      <c r="B128" s="12" t="s">
        <v>818</v>
      </c>
      <c r="C128" s="5" t="s">
        <v>819</v>
      </c>
      <c r="D128" s="5" t="s">
        <v>820</v>
      </c>
      <c r="E128" s="15" t="s">
        <v>821</v>
      </c>
      <c r="F128" s="13">
        <f ca="1">IFERROR(__xludf.DUMMYFUNCTION("INDEX(SPLIT(E128,"", "",FALSE), 1)"),7.13698662312977)</f>
        <v>7.1369866231297703</v>
      </c>
      <c r="G128" s="13">
        <f ca="1">IFERROR(__xludf.DUMMYFUNCTION("INDEX(SPLIT(E128,"", "",FALSE), 2)"),2.18154888745733)</f>
        <v>2.1815488874573301</v>
      </c>
      <c r="H128" s="5" t="s">
        <v>492</v>
      </c>
      <c r="I128" s="2"/>
      <c r="J128" s="2"/>
      <c r="K128" s="2"/>
      <c r="L128" s="2"/>
      <c r="M128" s="2"/>
      <c r="N128" s="2"/>
      <c r="O128" s="2"/>
      <c r="P128" s="2"/>
      <c r="Q128" s="2"/>
      <c r="R128" s="2"/>
      <c r="S128" s="2"/>
      <c r="T128" s="2"/>
      <c r="U128" s="2"/>
      <c r="V128" s="2"/>
      <c r="W128" s="2"/>
      <c r="X128" s="2"/>
      <c r="Y128" s="2"/>
      <c r="Z128" s="2"/>
      <c r="AA128" s="2"/>
      <c r="AB128" s="2"/>
      <c r="AC128" s="2"/>
    </row>
    <row r="129" spans="1:29" x14ac:dyDescent="0.25">
      <c r="A129" s="8"/>
      <c r="B129" s="12" t="s">
        <v>818</v>
      </c>
      <c r="C129" s="5" t="s">
        <v>822</v>
      </c>
      <c r="D129" s="5" t="s">
        <v>823</v>
      </c>
      <c r="E129" s="15" t="s">
        <v>824</v>
      </c>
      <c r="F129" s="13">
        <f ca="1">IFERROR(__xludf.DUMMYFUNCTION("INDEX(SPLIT(E129,"", "",FALSE), 1)"),7.00615357417433)</f>
        <v>7.0061535741743297</v>
      </c>
      <c r="G129" s="13">
        <f ca="1">IFERROR(__xludf.DUMMYFUNCTION("INDEX(SPLIT(E129,"", "",FALSE), 2)"),2.15957623138568)</f>
        <v>2.1595762313856799</v>
      </c>
      <c r="H129" s="5" t="s">
        <v>492</v>
      </c>
      <c r="I129" s="2"/>
      <c r="J129" s="2"/>
      <c r="K129" s="2"/>
      <c r="L129" s="2"/>
      <c r="M129" s="2"/>
      <c r="N129" s="2"/>
      <c r="O129" s="2"/>
      <c r="P129" s="2"/>
      <c r="Q129" s="2"/>
      <c r="R129" s="2"/>
      <c r="S129" s="2"/>
      <c r="T129" s="2"/>
      <c r="U129" s="2"/>
      <c r="V129" s="2"/>
      <c r="W129" s="2"/>
      <c r="X129" s="2"/>
      <c r="Y129" s="2"/>
      <c r="Z129" s="2"/>
      <c r="AA129" s="2"/>
      <c r="AB129" s="2"/>
      <c r="AC129" s="2"/>
    </row>
    <row r="130" spans="1:29" x14ac:dyDescent="0.25">
      <c r="A130" s="8"/>
      <c r="B130" s="12" t="s">
        <v>818</v>
      </c>
      <c r="C130" s="5" t="s">
        <v>825</v>
      </c>
      <c r="D130" s="5" t="s">
        <v>826</v>
      </c>
      <c r="E130" s="15" t="s">
        <v>827</v>
      </c>
      <c r="F130" s="13">
        <f ca="1">IFERROR(__xludf.DUMMYFUNCTION("INDEX(SPLIT(E130,"", "",FALSE), 1)"),6.8816672100034)</f>
        <v>6.8816672100033998</v>
      </c>
      <c r="G130" s="13">
        <f ca="1">IFERROR(__xludf.DUMMYFUNCTION("INDEX(SPLIT(E130,"", "",FALSE), 2)"),2.46655234172504)</f>
        <v>2.4665523417250399</v>
      </c>
      <c r="H130" s="5" t="s">
        <v>492</v>
      </c>
      <c r="I130" s="2"/>
      <c r="J130" s="2"/>
      <c r="K130" s="2"/>
      <c r="L130" s="2"/>
      <c r="M130" s="2"/>
      <c r="N130" s="2"/>
      <c r="O130" s="2"/>
      <c r="P130" s="2"/>
      <c r="Q130" s="2"/>
      <c r="R130" s="2"/>
      <c r="S130" s="2"/>
      <c r="T130" s="2"/>
      <c r="U130" s="2"/>
      <c r="V130" s="2"/>
      <c r="W130" s="2"/>
      <c r="X130" s="2"/>
      <c r="Y130" s="2"/>
      <c r="Z130" s="2"/>
      <c r="AA130" s="2"/>
      <c r="AB130" s="2"/>
      <c r="AC130" s="2"/>
    </row>
    <row r="131" spans="1:29" x14ac:dyDescent="0.25">
      <c r="A131" s="8"/>
      <c r="B131" s="12" t="s">
        <v>828</v>
      </c>
      <c r="C131" s="5" t="s">
        <v>829</v>
      </c>
      <c r="D131" s="5" t="s">
        <v>830</v>
      </c>
      <c r="E131" s="15" t="s">
        <v>831</v>
      </c>
      <c r="F131" s="13">
        <f ca="1">IFERROR(__xludf.DUMMYFUNCTION("INDEX(SPLIT(E131,"", "",FALSE), 1)"),9.16671479480282)</f>
        <v>9.1667147948028198</v>
      </c>
      <c r="G131" s="13">
        <f ca="1">IFERROR(__xludf.DUMMYFUNCTION("INDEX(SPLIT(E131,"", "",FALSE), 2)"),38.7887766780553)</f>
        <v>38.788776678055299</v>
      </c>
      <c r="H131" s="5" t="s">
        <v>492</v>
      </c>
      <c r="I131" s="2"/>
      <c r="J131" s="2"/>
      <c r="K131" s="2"/>
      <c r="L131" s="2"/>
      <c r="M131" s="2"/>
      <c r="N131" s="2"/>
      <c r="O131" s="2"/>
      <c r="P131" s="2"/>
      <c r="Q131" s="2"/>
      <c r="R131" s="2"/>
      <c r="S131" s="2"/>
      <c r="T131" s="2"/>
      <c r="U131" s="2"/>
      <c r="V131" s="2"/>
      <c r="W131" s="2"/>
      <c r="X131" s="2"/>
      <c r="Y131" s="2"/>
      <c r="Z131" s="2"/>
      <c r="AA131" s="2"/>
      <c r="AB131" s="2"/>
      <c r="AC131" s="2"/>
    </row>
    <row r="132" spans="1:29" ht="26.25" x14ac:dyDescent="0.25">
      <c r="A132" s="8"/>
      <c r="B132" s="12" t="s">
        <v>828</v>
      </c>
      <c r="C132" s="5" t="s">
        <v>832</v>
      </c>
      <c r="D132" s="5" t="s">
        <v>833</v>
      </c>
      <c r="E132" s="15" t="s">
        <v>834</v>
      </c>
      <c r="F132" s="13">
        <f ca="1">IFERROR(__xludf.DUMMYFUNCTION("INDEX(SPLIT(E132,"", "",FALSE), 1)"),9.15586860791968)</f>
        <v>9.1558686079196807</v>
      </c>
      <c r="G132" s="13">
        <f ca="1">IFERROR(__xludf.DUMMYFUNCTION("INDEX(SPLIT(E132,"", "",FALSE), 2)"),38.8217356621628)</f>
        <v>38.821735662162801</v>
      </c>
      <c r="H132" s="5" t="s">
        <v>492</v>
      </c>
      <c r="I132" s="2"/>
      <c r="J132" s="2"/>
      <c r="K132" s="2"/>
      <c r="L132" s="2"/>
      <c r="M132" s="2"/>
      <c r="N132" s="2"/>
      <c r="O132" s="2"/>
      <c r="P132" s="2"/>
      <c r="Q132" s="2"/>
      <c r="R132" s="2"/>
      <c r="S132" s="2"/>
      <c r="T132" s="2"/>
      <c r="U132" s="2"/>
      <c r="V132" s="2"/>
      <c r="W132" s="2"/>
      <c r="X132" s="2"/>
      <c r="Y132" s="2"/>
      <c r="Z132" s="2"/>
      <c r="AA132" s="2"/>
      <c r="AB132" s="2"/>
      <c r="AC132" s="2"/>
    </row>
    <row r="133" spans="1:29" x14ac:dyDescent="0.25">
      <c r="A133" s="8"/>
      <c r="B133" s="12" t="s">
        <v>828</v>
      </c>
      <c r="C133" s="5" t="s">
        <v>835</v>
      </c>
      <c r="D133" s="5" t="s">
        <v>836</v>
      </c>
      <c r="E133" s="15" t="s">
        <v>837</v>
      </c>
      <c r="F133" s="13">
        <f ca="1">IFERROR(__xludf.DUMMYFUNCTION("INDEX(SPLIT(E133,"", "",FALSE), 1)"),8.9469324131498)</f>
        <v>8.9469324131497991</v>
      </c>
      <c r="G133" s="13">
        <f ca="1">IFERROR(__xludf.DUMMYFUNCTION("INDEX(SPLIT(E133,"", "",FALSE), 2)"),38.2173299019664)</f>
        <v>38.217329901966401</v>
      </c>
      <c r="H133" s="5" t="s">
        <v>492</v>
      </c>
      <c r="I133" s="2"/>
      <c r="J133" s="2"/>
      <c r="K133" s="2"/>
      <c r="L133" s="2"/>
      <c r="M133" s="2"/>
      <c r="N133" s="2"/>
      <c r="O133" s="2"/>
      <c r="P133" s="2"/>
      <c r="Q133" s="2"/>
      <c r="R133" s="2"/>
      <c r="S133" s="2"/>
      <c r="T133" s="2"/>
      <c r="U133" s="2"/>
      <c r="V133" s="2"/>
      <c r="W133" s="2"/>
      <c r="X133" s="2"/>
      <c r="Y133" s="2"/>
      <c r="Z133" s="2"/>
      <c r="AA133" s="2"/>
      <c r="AB133" s="2"/>
      <c r="AC133" s="2"/>
    </row>
    <row r="134" spans="1:29" ht="12.75"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1:29" ht="12.75"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1:29" ht="12.75"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1:29" ht="12.75"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ht="12.75"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ht="12.75"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ht="12.75"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ht="12.75"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ht="12.75"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ht="12.75"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ht="12.75"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ht="12.75"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ht="12.75"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ht="12.75"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ht="12.75"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ht="12.75"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ht="12.75"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ht="12.75"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ht="12.75"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ht="12.75"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ht="12.75"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ht="12.75"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ht="12.75"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ht="12.75"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ht="12.75"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ht="12.75"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ht="12.75"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ht="12.75"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ht="12.75"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ht="12.75"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ht="12.75"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ht="12.75"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ht="12.75"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ht="12.75"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ht="12.75"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ht="12.75"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ht="12.75"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ht="12.75"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ht="12.75"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ht="12.75"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ht="12.75"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ht="12.75"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ht="12.75"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ht="12.75"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ht="12.75"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ht="12.75"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ht="12.75"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ht="12.75"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ht="12.75"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ht="12.75"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ht="12.75"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ht="12.75"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ht="12.75"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ht="12.75"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ht="12.75"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ht="12.75"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ht="12.75"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ht="12.75"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ht="12.75"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ht="12.75"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ht="12.75"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ht="12.75"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ht="12.75"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ht="12.75"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ht="12.75"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ht="12.75"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ht="12.75"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ht="12.75"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ht="12.75"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ht="12.75"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ht="12.75"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ht="12.75"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ht="12.75"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ht="12.75"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ht="12.75"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ht="12.75"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ht="12.75"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ht="12.75"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ht="12.75"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ht="12.75"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ht="12.75"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ht="12.75"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ht="12.75"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ht="12.75"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ht="12.75"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ht="12.75"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ht="12.75"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ht="12.75"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ht="12.75"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ht="12.75"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ht="12.75"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ht="12.75"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ht="12.75"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ht="12.75"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ht="12.75"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ht="12.75"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ht="12.75"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ht="12.75"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ht="12.75"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ht="12.75"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ht="12.75"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ht="12.75"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ht="12.75"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ht="12.75"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ht="12.75"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ht="12.75"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ht="12.75"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ht="12.75"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ht="12.75"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ht="12.75"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ht="12.75"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ht="12.75"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ht="12.75"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ht="12.75"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ht="12.75"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ht="12.75"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ht="12.7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ht="12.7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ht="12.75"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ht="12.7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ht="12.7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ht="12.7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ht="12.7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ht="12.7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ht="12.7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ht="12.7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ht="12.7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ht="12.7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ht="12.7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ht="12.7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ht="12.7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ht="12.7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ht="12.7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ht="12.7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ht="12.7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ht="12.7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ht="12.7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ht="12.7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ht="12.7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ht="12.7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ht="12.7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ht="12.7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ht="12.7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ht="12.7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ht="12.7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ht="12.7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ht="12.7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ht="12.7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ht="12.7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ht="12.7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ht="12.7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ht="12.7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ht="12.7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ht="12.7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ht="12.7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ht="12.7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ht="12.7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ht="12.7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ht="12.75"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ht="12.7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ht="12.7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ht="12.7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ht="12.7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ht="12.7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ht="12.7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ht="12.7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ht="12.7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ht="12.7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ht="12.7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ht="12.7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ht="12.7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ht="12.7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ht="12.7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ht="12.7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ht="12.7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ht="12.7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ht="12.7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ht="12.7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ht="12.7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ht="12.7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ht="12.7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ht="12.7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ht="12.7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ht="12.7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ht="12.7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ht="12.7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ht="12.7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ht="12.7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ht="12.7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ht="12.7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ht="12.7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ht="12.7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ht="12.7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ht="12.7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ht="12.7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ht="12.7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ht="12.7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ht="12.75"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ht="12.7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ht="12.7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ht="12.7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ht="12.7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ht="12.7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ht="12.7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ht="12.7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ht="12.7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ht="12.7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ht="12.7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ht="12.7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ht="12.7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ht="12.7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ht="12.7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ht="12.7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ht="12.7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ht="12.7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ht="12.7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ht="12.7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ht="12.7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ht="12.7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ht="12.7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ht="12.7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ht="12.7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ht="12.7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ht="12.7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ht="12.7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ht="12.7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ht="12.7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ht="12.7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ht="12.7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ht="12.7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ht="12.7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ht="12.7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ht="12.7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ht="12.7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ht="12.7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ht="12.7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ht="12.75"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ht="12.7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ht="12.7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ht="12.7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ht="12.7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ht="12.7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ht="12.7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ht="12.7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ht="12.7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ht="12.7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ht="12.7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ht="12.7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ht="12.7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ht="12.7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ht="12.7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ht="12.7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ht="12.7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ht="12.7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ht="12.7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ht="12.7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ht="12.7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ht="12.7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ht="12.7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ht="12.7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ht="12.7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ht="12.7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ht="12.7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ht="12.7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ht="12.7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ht="12.7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ht="12.7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ht="12.7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ht="12.7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ht="12.7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ht="12.7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ht="12.7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ht="12.7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ht="12.7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ht="12.7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ht="12.7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ht="12.7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ht="12.7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ht="12.7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ht="12.7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ht="12.7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ht="12.7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ht="12.7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ht="12.7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ht="12.7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ht="12.7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ht="12.7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ht="12.7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ht="12.7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ht="12.7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ht="12.7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ht="12.7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ht="12.7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ht="12.7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ht="12.7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ht="12.7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ht="12.7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ht="12.7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ht="12.7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ht="12.7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ht="12.7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ht="12.7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ht="12.7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ht="12.7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ht="12.7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ht="12.7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ht="12.7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ht="12.7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ht="12.7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ht="12.7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ht="12.7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ht="12.7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ht="12.7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ht="12.7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ht="12.7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ht="12.7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ht="12.7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ht="12.7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ht="12.7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ht="12.7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ht="12.7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ht="12.7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ht="12.7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ht="12.7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ht="12.7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ht="12.7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ht="12.7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ht="12.7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ht="12.7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ht="12.7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ht="12.7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ht="12.7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ht="12.7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ht="12.7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ht="12.7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ht="12.7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ht="12.7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ht="12.7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ht="12.7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ht="12.7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ht="12.7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ht="12.7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ht="12.7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ht="12.7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ht="12.7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ht="12.7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ht="12.7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ht="12.7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ht="12.7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ht="12.7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ht="12.7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ht="12.7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ht="12.7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ht="12.7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ht="12.7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ht="12.7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ht="12.7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ht="12.7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ht="12.7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ht="12.7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ht="12.7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ht="12.7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ht="12.7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ht="12.7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ht="12.7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ht="12.7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ht="12.7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ht="12.7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ht="12.7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ht="12.7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ht="12.7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ht="12.7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ht="12.7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ht="12.7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ht="12.7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ht="12.7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ht="12.7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ht="12.7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ht="12.7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ht="12.7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ht="12.7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ht="12.7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ht="12.7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ht="12.7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ht="12.7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ht="12.7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ht="12.7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ht="12.7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ht="12.7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ht="12.7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ht="12.7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ht="12.7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ht="12.7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ht="12.7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ht="12.7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ht="12.7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ht="12.7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ht="12.7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ht="12.7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ht="12.7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ht="12.7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ht="12.7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ht="12.7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ht="12.7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ht="12.7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ht="12.7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ht="12.7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ht="12.7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ht="12.7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ht="12.7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ht="12.7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ht="12.7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ht="12.7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ht="12.7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ht="12.7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ht="12.7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ht="12.7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ht="12.7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ht="12.7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ht="12.7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ht="12.7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ht="12.7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ht="12.7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ht="12.7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ht="12.7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ht="12.7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ht="12.7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ht="12.7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ht="12.7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ht="12.7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ht="12.7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ht="12.7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ht="12.7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ht="12.7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ht="12.7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ht="12.7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ht="12.7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ht="12.7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ht="12.7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ht="12.7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ht="12.7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ht="12.7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ht="12.7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ht="12.7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ht="12.7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ht="12.7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ht="12.7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ht="12.7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ht="12.7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ht="12.7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ht="12.7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ht="12.7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ht="12.7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ht="12.7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ht="12.7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ht="12.7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ht="12.7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ht="12.7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ht="12.7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ht="12.7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ht="12.7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ht="12.7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ht="12.7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ht="12.7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ht="12.7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ht="12.7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ht="12.7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ht="12.7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ht="12.7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ht="12.7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ht="12.7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ht="12.7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ht="12.7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ht="12.7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ht="12.7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ht="12.7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ht="12.7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ht="12.7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ht="12.7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ht="12.7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ht="12.7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ht="12.7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ht="12.7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ht="12.7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ht="12.7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ht="12.7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ht="12.7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ht="12.7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ht="12.7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ht="12.7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ht="12.7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ht="12.7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ht="12.7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ht="12.7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ht="12.7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ht="12.7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ht="12.7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ht="12.7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ht="12.7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ht="12.7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ht="12.7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ht="12.7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ht="12.7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ht="12.7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ht="12.7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ht="12.7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ht="12.7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ht="12.7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ht="12.7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ht="12.7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ht="12.7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ht="12.7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ht="12.7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ht="12.7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ht="12.7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ht="12.7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ht="12.7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ht="12.7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ht="12.7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ht="12.7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ht="12.7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ht="12.7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ht="12.7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ht="12.7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ht="12.7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ht="12.7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ht="12.7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ht="12.7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ht="12.7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ht="12.7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ht="12.7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ht="12.7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ht="12.7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ht="12.7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ht="12.7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ht="12.7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ht="12.7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ht="12.7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ht="12.7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ht="12.7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ht="12.7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ht="12.7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ht="12.7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ht="12.7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ht="12.7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ht="12.7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ht="12.7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ht="12.7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ht="12.7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ht="12.7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ht="12.7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ht="12.7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ht="12.7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ht="12.7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ht="12.7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ht="12.7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ht="12.7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ht="12.7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ht="12.7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ht="12.7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ht="12.7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ht="12.7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ht="12.7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ht="12.7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ht="12.7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ht="12.7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ht="12.7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ht="12.7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ht="12.7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ht="12.7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ht="12.7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ht="12.7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ht="12.7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ht="12.7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ht="12.7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ht="12.7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ht="12.7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ht="12.7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ht="12.7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ht="12.7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ht="12.7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ht="12.7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ht="12.7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ht="12.7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ht="12.7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ht="12.7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ht="12.7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ht="12.7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ht="12.7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ht="12.7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ht="12.7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ht="12.7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ht="12.7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ht="12.7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ht="12.7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ht="12.7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ht="12.7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ht="12.7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ht="12.7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ht="12.7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ht="12.7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ht="12.7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ht="12.7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ht="12.7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ht="12.7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ht="12.7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ht="12.7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ht="12.7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ht="12.7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ht="12.7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ht="12.7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ht="12.7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ht="12.7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ht="12.7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ht="12.7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ht="12.7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ht="12.7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ht="12.7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ht="12.7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ht="12.7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ht="12.7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ht="12.7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ht="12.7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ht="12.7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ht="12.7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ht="12.7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ht="12.7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ht="12.7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ht="12.7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ht="12.7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ht="12.7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ht="12.7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ht="12.7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ht="12.7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ht="12.7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ht="12.7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ht="12.7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ht="12.7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ht="12.7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ht="12.7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ht="12.7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ht="12.7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ht="12.7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ht="12.7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ht="12.7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ht="12.7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ht="12.7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ht="12.7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ht="12.7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ht="12.7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ht="12.7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ht="12.7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ht="12.7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ht="12.7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ht="12.7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ht="12.7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ht="12.7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ht="12.7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ht="12.7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ht="12.7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ht="12.7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ht="12.7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ht="12.7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ht="12.7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ht="12.7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ht="12.7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ht="12.7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ht="12.7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ht="12.7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ht="12.7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ht="12.7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ht="12.7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ht="12.7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ht="12.7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ht="12.7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ht="12.7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ht="12.7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ht="12.7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ht="12.7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ht="12.7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ht="12.7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ht="12.7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ht="12.7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ht="12.7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ht="12.7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ht="12.7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ht="12.7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ht="12.7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ht="12.7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ht="12.7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ht="12.7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ht="12.7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ht="12.7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ht="12.7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ht="12.7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ht="12.7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ht="12.7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ht="12.7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ht="12.7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ht="12.7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ht="12.7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ht="12.7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ht="12.7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ht="12.75"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ht="12.75"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ht="12.75"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ht="12.75"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ht="12.75"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ht="12.75"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ht="12.75"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ht="12.75"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ht="12.75"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ht="12.75"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ht="12.75"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ht="12.75"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ht="12.75"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ht="12.75"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ht="12.75"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ht="12.75"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ht="12.75"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ht="12.75"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ht="12.75"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ht="12.75"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ht="12.75"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ht="12.75"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ht="12.75"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ht="12.75"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ht="12.75"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ht="12.75"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ht="12.75"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ht="12.75"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ht="12.75"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ht="12.75"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ht="12.75"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ht="12.75"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ht="12.75"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ht="12.75"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ht="12.75"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ht="12.75"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ht="12.75"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ht="12.75"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ht="12.75"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ht="12.75"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ht="12.75"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ht="12.75"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ht="12.75"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ht="12.75"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ht="12.75"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ht="12.75"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ht="12.75"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ht="12.75"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ht="12.75"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ht="12.75"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ht="12.75"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ht="12.75"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ht="12.75"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ht="12.75"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ht="12.75"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ht="12.75"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ht="12.75"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ht="12.75"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ht="12.75"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ht="12.75"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ht="12.75"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ht="12.75"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ht="12.75"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ht="12.75"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ht="12.75"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ht="12.75"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ht="12.75"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ht="12.75"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ht="12.75"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ht="12.75"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ht="12.75"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ht="12.75"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ht="12.75"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ht="12.75"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ht="12.75"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ht="12.75"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ht="12.75"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ht="12.75"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ht="12.75"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ht="12.75"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ht="12.75"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ht="12.75"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ht="12.75"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ht="12.75"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ht="12.75"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ht="12.75"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ht="12.75"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ht="12.75"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ht="12.75"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ht="12.75"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ht="12.75"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ht="12.75"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ht="12.75"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ht="12.75"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ht="12.75"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ht="12.75"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ht="12.75"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ht="12.75"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ht="12.75"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ht="12.75"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ht="12.75"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ht="12.75"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ht="12.75"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ht="12.75"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ht="12.75"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ht="12.75"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ht="12.75"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ht="12.75"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ht="12.75"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ht="12.75"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ht="12.75"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ht="12.75"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ht="12.75"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ht="12.75"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ht="12.75"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ht="12.75"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ht="12.75"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ht="12.75"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ht="12.75"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ht="12.75"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ht="12.75"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ht="12.75"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ht="12.75"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ht="12.75"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ht="12.75"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ht="12.75"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ht="12.75"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ht="12.75"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ht="12.75"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ht="12.75"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ht="12.75"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ht="12.75"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ht="12.75"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ht="12.75"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ht="12.75"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ht="12.75"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ht="12.75"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ht="12.75"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ht="12.75"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ht="12.75"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ht="12.75"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ht="12.75"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ht="12.75"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ht="12.75"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ht="12.75"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ht="12.75"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ht="12.75"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ht="12.75"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ht="12.75"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ht="12.75"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ht="12.75"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ht="12.75"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ht="12.75"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ht="12.75"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ht="12.75"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ht="12.75"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ht="12.75"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ht="12.75"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ht="12.75"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ht="12.75"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ht="12.75"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ht="12.75"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sheetData>
  <mergeCells count="1">
    <mergeCell ref="C1:E1"/>
  </mergeCells>
  <hyperlinks>
    <hyperlink ref="H5" r:id="rId1" xr:uid="{00000000-0004-0000-0200-000000000000}"/>
    <hyperlink ref="H6" r:id="rId2" xr:uid="{00000000-0004-0000-0200-000001000000}"/>
    <hyperlink ref="H7" r:id="rId3" xr:uid="{00000000-0004-0000-0200-000002000000}"/>
    <hyperlink ref="H8" r:id="rId4" xr:uid="{00000000-0004-0000-0200-000003000000}"/>
    <hyperlink ref="H9" r:id="rId5" xr:uid="{00000000-0004-0000-0200-000004000000}"/>
    <hyperlink ref="H10" r:id="rId6" xr:uid="{00000000-0004-0000-0200-000005000000}"/>
    <hyperlink ref="H11" r:id="rId7" xr:uid="{00000000-0004-0000-0200-000006000000}"/>
    <hyperlink ref="H12" r:id="rId8" xr:uid="{00000000-0004-0000-0200-000007000000}"/>
    <hyperlink ref="H13" r:id="rId9" xr:uid="{00000000-0004-0000-0200-000008000000}"/>
    <hyperlink ref="H14" r:id="rId10" xr:uid="{00000000-0004-0000-0200-000009000000}"/>
    <hyperlink ref="H15" r:id="rId11" xr:uid="{00000000-0004-0000-0200-00000A000000}"/>
    <hyperlink ref="H16" r:id="rId12" xr:uid="{00000000-0004-0000-0200-00000B000000}"/>
    <hyperlink ref="H17" r:id="rId13" xr:uid="{00000000-0004-0000-0200-00000C000000}"/>
    <hyperlink ref="H18" r:id="rId14" xr:uid="{00000000-0004-0000-0200-00000D000000}"/>
    <hyperlink ref="H19" r:id="rId15" xr:uid="{00000000-0004-0000-0200-00000E000000}"/>
    <hyperlink ref="H20" r:id="rId16" xr:uid="{00000000-0004-0000-0200-00000F000000}"/>
    <hyperlink ref="H21" r:id="rId17" xr:uid="{00000000-0004-0000-0200-000010000000}"/>
    <hyperlink ref="H22" r:id="rId18" xr:uid="{00000000-0004-0000-0200-000011000000}"/>
    <hyperlink ref="H23" r:id="rId19" xr:uid="{00000000-0004-0000-0200-000012000000}"/>
    <hyperlink ref="H31" r:id="rId20" xr:uid="{00000000-0004-0000-0200-000013000000}"/>
    <hyperlink ref="H32" r:id="rId21" xr:uid="{00000000-0004-0000-0200-000014000000}"/>
    <hyperlink ref="H33" r:id="rId22" xr:uid="{00000000-0004-0000-0200-000015000000}"/>
    <hyperlink ref="H34" r:id="rId23" xr:uid="{00000000-0004-0000-0200-000016000000}"/>
    <hyperlink ref="H35" r:id="rId24" xr:uid="{00000000-0004-0000-0200-000017000000}"/>
    <hyperlink ref="H36" r:id="rId25" xr:uid="{00000000-0004-0000-0200-000018000000}"/>
    <hyperlink ref="H38" r:id="rId26" xr:uid="{00000000-0004-0000-0200-000019000000}"/>
    <hyperlink ref="H39" r:id="rId27" xr:uid="{00000000-0004-0000-0200-00001A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heetViews>
  <sheetFormatPr defaultColWidth="12.5703125" defaultRowHeight="15.75" customHeight="1" x14ac:dyDescent="0.2"/>
  <cols>
    <col min="2" max="2" width="34.7109375" customWidth="1"/>
    <col min="3" max="3" width="24" customWidth="1"/>
    <col min="4" max="4" width="30.140625" customWidth="1"/>
  </cols>
  <sheetData>
    <row r="1" spans="1:26" ht="15.75" customHeight="1" x14ac:dyDescent="0.25">
      <c r="A1" s="8"/>
      <c r="B1" s="8"/>
      <c r="C1" s="8"/>
      <c r="D1" s="8"/>
      <c r="E1" s="2"/>
      <c r="F1" s="2"/>
      <c r="G1" s="2"/>
      <c r="H1" s="2"/>
      <c r="I1" s="2"/>
      <c r="J1" s="2"/>
      <c r="K1" s="2"/>
      <c r="L1" s="2"/>
      <c r="M1" s="2"/>
      <c r="N1" s="2"/>
      <c r="O1" s="2"/>
      <c r="P1" s="2"/>
      <c r="Q1" s="2"/>
      <c r="R1" s="2"/>
      <c r="S1" s="2"/>
      <c r="T1" s="2"/>
      <c r="U1" s="2"/>
      <c r="V1" s="2"/>
      <c r="W1" s="2"/>
      <c r="X1" s="2"/>
      <c r="Y1" s="2"/>
      <c r="Z1" s="2"/>
    </row>
    <row r="2" spans="1:26" ht="15.75" customHeight="1" x14ac:dyDescent="0.25">
      <c r="A2" s="8"/>
      <c r="B2" s="8"/>
      <c r="C2" s="8"/>
      <c r="D2" s="8"/>
      <c r="E2" s="2"/>
      <c r="F2" s="2"/>
      <c r="G2" s="2"/>
      <c r="H2" s="2"/>
      <c r="I2" s="2"/>
      <c r="J2" s="2"/>
      <c r="K2" s="2"/>
      <c r="L2" s="2"/>
      <c r="M2" s="2"/>
      <c r="N2" s="2"/>
      <c r="O2" s="2"/>
      <c r="P2" s="2"/>
      <c r="Q2" s="2"/>
      <c r="R2" s="2"/>
      <c r="S2" s="2"/>
      <c r="T2" s="2"/>
      <c r="U2" s="2"/>
      <c r="V2" s="2"/>
      <c r="W2" s="2"/>
      <c r="X2" s="2"/>
      <c r="Y2" s="2"/>
      <c r="Z2" s="2"/>
    </row>
    <row r="3" spans="1:26" ht="15.75" customHeight="1" x14ac:dyDescent="0.25">
      <c r="A3" s="10"/>
      <c r="B3" s="16" t="s">
        <v>838</v>
      </c>
      <c r="C3" s="16" t="s">
        <v>839</v>
      </c>
      <c r="D3" s="16" t="s">
        <v>840</v>
      </c>
      <c r="E3" s="2"/>
      <c r="F3" s="2"/>
      <c r="G3" s="2"/>
      <c r="H3" s="2"/>
      <c r="I3" s="2"/>
      <c r="J3" s="2"/>
      <c r="K3" s="2"/>
      <c r="L3" s="2"/>
      <c r="M3" s="2"/>
      <c r="N3" s="2"/>
      <c r="O3" s="2"/>
      <c r="P3" s="2"/>
      <c r="Q3" s="2"/>
      <c r="R3" s="2"/>
      <c r="S3" s="2"/>
      <c r="T3" s="2"/>
      <c r="U3" s="2"/>
      <c r="V3" s="2"/>
      <c r="W3" s="2"/>
      <c r="X3" s="2"/>
      <c r="Y3" s="2"/>
      <c r="Z3" s="2"/>
    </row>
    <row r="4" spans="1:26" ht="15.75" customHeight="1" x14ac:dyDescent="0.25">
      <c r="A4" s="8"/>
      <c r="B4" s="9" t="s">
        <v>841</v>
      </c>
      <c r="C4" s="9" t="s">
        <v>842</v>
      </c>
      <c r="D4" s="9" t="s">
        <v>843</v>
      </c>
      <c r="E4" s="6" t="s">
        <v>844</v>
      </c>
      <c r="F4" s="6" t="s">
        <v>845</v>
      </c>
      <c r="G4" s="2"/>
      <c r="H4" s="2"/>
      <c r="I4" s="2"/>
      <c r="J4" s="2"/>
      <c r="K4" s="2"/>
      <c r="L4" s="2"/>
      <c r="M4" s="2"/>
      <c r="N4" s="2"/>
      <c r="O4" s="2"/>
      <c r="P4" s="2"/>
      <c r="Q4" s="2"/>
      <c r="R4" s="2"/>
      <c r="S4" s="2"/>
      <c r="T4" s="2"/>
      <c r="U4" s="2"/>
      <c r="V4" s="2"/>
      <c r="W4" s="2"/>
      <c r="X4" s="2"/>
      <c r="Y4" s="2"/>
      <c r="Z4" s="2"/>
    </row>
    <row r="5" spans="1:26" ht="15.75" customHeight="1" x14ac:dyDescent="0.25">
      <c r="A5" s="8"/>
      <c r="B5" s="9" t="s">
        <v>846</v>
      </c>
      <c r="C5" s="9" t="s">
        <v>847</v>
      </c>
      <c r="D5" s="9" t="s">
        <v>848</v>
      </c>
      <c r="E5" s="6" t="s">
        <v>849</v>
      </c>
      <c r="F5" s="6" t="s">
        <v>849</v>
      </c>
      <c r="G5" s="2"/>
      <c r="H5" s="2"/>
      <c r="I5" s="2"/>
      <c r="J5" s="2"/>
      <c r="K5" s="2"/>
      <c r="L5" s="2"/>
      <c r="M5" s="2"/>
      <c r="N5" s="2"/>
      <c r="O5" s="2"/>
      <c r="P5" s="2"/>
      <c r="Q5" s="2"/>
      <c r="R5" s="2"/>
      <c r="S5" s="2"/>
      <c r="T5" s="2"/>
      <c r="U5" s="2"/>
      <c r="V5" s="2"/>
      <c r="W5" s="2"/>
      <c r="X5" s="2"/>
      <c r="Y5" s="2"/>
      <c r="Z5" s="2"/>
    </row>
    <row r="6" spans="1:26" ht="15.75" customHeight="1" x14ac:dyDescent="0.25">
      <c r="A6" s="8"/>
      <c r="B6" s="9" t="s">
        <v>850</v>
      </c>
      <c r="C6" s="9" t="s">
        <v>851</v>
      </c>
      <c r="D6" s="9" t="s">
        <v>852</v>
      </c>
      <c r="E6" s="6" t="s">
        <v>853</v>
      </c>
      <c r="F6" s="6" t="s">
        <v>854</v>
      </c>
      <c r="G6" s="2"/>
      <c r="H6" s="2"/>
      <c r="I6" s="2"/>
      <c r="J6" s="2"/>
      <c r="K6" s="2"/>
      <c r="L6" s="2"/>
      <c r="M6" s="2"/>
      <c r="N6" s="2"/>
      <c r="O6" s="2"/>
      <c r="P6" s="2"/>
      <c r="Q6" s="2"/>
      <c r="R6" s="2"/>
      <c r="S6" s="2"/>
      <c r="T6" s="2"/>
      <c r="U6" s="2"/>
      <c r="V6" s="2"/>
      <c r="W6" s="2"/>
      <c r="X6" s="2"/>
      <c r="Y6" s="2"/>
      <c r="Z6" s="2"/>
    </row>
    <row r="7" spans="1:26" ht="15.75" customHeight="1" x14ac:dyDescent="0.25">
      <c r="A7" s="8"/>
      <c r="B7" s="9" t="s">
        <v>855</v>
      </c>
      <c r="C7" s="9" t="s">
        <v>856</v>
      </c>
      <c r="D7" s="9" t="s">
        <v>857</v>
      </c>
      <c r="E7" s="6" t="s">
        <v>858</v>
      </c>
      <c r="F7" s="6" t="s">
        <v>859</v>
      </c>
      <c r="G7" s="2"/>
      <c r="H7" s="2"/>
      <c r="I7" s="2"/>
      <c r="J7" s="2"/>
      <c r="K7" s="2"/>
      <c r="L7" s="2"/>
      <c r="M7" s="2"/>
      <c r="N7" s="2"/>
      <c r="O7" s="2"/>
      <c r="P7" s="2"/>
      <c r="Q7" s="2"/>
      <c r="R7" s="2"/>
      <c r="S7" s="2"/>
      <c r="T7" s="2"/>
      <c r="U7" s="2"/>
      <c r="V7" s="2"/>
      <c r="W7" s="2"/>
      <c r="X7" s="2"/>
      <c r="Y7" s="2"/>
      <c r="Z7" s="2"/>
    </row>
    <row r="8" spans="1:26" x14ac:dyDescent="0.2">
      <c r="A8" s="2"/>
      <c r="B8" s="5"/>
      <c r="C8" s="2"/>
      <c r="D8" s="2"/>
      <c r="E8" s="2"/>
      <c r="F8" s="2"/>
      <c r="G8" s="2"/>
      <c r="H8" s="2"/>
      <c r="I8" s="2"/>
      <c r="J8" s="2"/>
      <c r="K8" s="2"/>
      <c r="L8" s="2"/>
      <c r="M8" s="2"/>
      <c r="N8" s="2"/>
      <c r="O8" s="2"/>
      <c r="P8" s="2"/>
      <c r="Q8" s="2"/>
      <c r="R8" s="2"/>
      <c r="S8" s="2"/>
      <c r="T8" s="2"/>
      <c r="U8" s="2"/>
      <c r="V8" s="2"/>
      <c r="W8" s="2"/>
      <c r="X8" s="2"/>
      <c r="Y8" s="2"/>
      <c r="Z8" s="2"/>
    </row>
    <row r="9" spans="1:26" ht="15.75" customHeight="1" x14ac:dyDescent="0.25">
      <c r="A9" s="2"/>
      <c r="B9" s="17"/>
      <c r="C9" s="2"/>
      <c r="D9" s="2"/>
      <c r="E9" s="2"/>
      <c r="F9" s="2"/>
      <c r="G9" s="2"/>
      <c r="H9" s="2"/>
      <c r="I9" s="2"/>
      <c r="J9" s="2"/>
      <c r="K9" s="2"/>
      <c r="L9" s="2"/>
      <c r="M9" s="2"/>
      <c r="N9" s="2"/>
      <c r="O9" s="2"/>
      <c r="P9" s="2"/>
      <c r="Q9" s="2"/>
      <c r="R9" s="2"/>
      <c r="S9" s="2"/>
      <c r="T9" s="2"/>
      <c r="U9" s="2"/>
      <c r="V9" s="2"/>
      <c r="W9" s="2"/>
      <c r="X9" s="2"/>
      <c r="Y9" s="2"/>
      <c r="Z9" s="2"/>
    </row>
    <row r="10" spans="1:26" ht="15.75" customHeight="1" x14ac:dyDescent="0.25">
      <c r="A10" s="2"/>
      <c r="B10" s="17"/>
      <c r="C10" s="2"/>
      <c r="D10" s="2"/>
      <c r="E10" s="2"/>
      <c r="F10" s="2"/>
      <c r="G10" s="2"/>
      <c r="H10" s="2"/>
      <c r="I10" s="2"/>
      <c r="J10" s="2"/>
      <c r="K10" s="2"/>
      <c r="L10" s="2"/>
      <c r="M10" s="2"/>
      <c r="N10" s="2"/>
      <c r="O10" s="2"/>
      <c r="P10" s="2"/>
      <c r="Q10" s="2"/>
      <c r="R10" s="2"/>
      <c r="S10" s="2"/>
      <c r="T10" s="2"/>
      <c r="U10" s="2"/>
      <c r="V10" s="2"/>
      <c r="W10" s="2"/>
      <c r="X10" s="2"/>
      <c r="Y10" s="2"/>
      <c r="Z10" s="2"/>
    </row>
    <row r="11" spans="1:26" ht="15.75" customHeight="1" x14ac:dyDescent="0.25">
      <c r="A11" s="2"/>
      <c r="B11" s="17"/>
      <c r="C11" s="17"/>
      <c r="D11" s="17"/>
      <c r="E11" s="17"/>
      <c r="F11" s="17"/>
      <c r="G11" s="17"/>
      <c r="H11" s="17"/>
      <c r="I11" s="17"/>
      <c r="J11" s="17"/>
      <c r="K11" s="17"/>
      <c r="L11" s="17"/>
      <c r="M11" s="17"/>
      <c r="N11" s="2"/>
      <c r="O11" s="2"/>
      <c r="P11" s="2"/>
      <c r="Q11" s="2"/>
      <c r="R11" s="2"/>
      <c r="S11" s="2"/>
      <c r="T11" s="2"/>
      <c r="U11" s="2"/>
      <c r="V11" s="2"/>
      <c r="W11" s="2"/>
      <c r="X11" s="2"/>
      <c r="Y11" s="2"/>
      <c r="Z11" s="2"/>
    </row>
    <row r="12" spans="1:26" ht="15.75" customHeight="1" x14ac:dyDescent="0.25">
      <c r="A12" s="2"/>
      <c r="B12" s="17"/>
      <c r="C12" s="2"/>
      <c r="D12" s="2"/>
      <c r="E12" s="2"/>
      <c r="F12" s="2"/>
      <c r="G12" s="2"/>
      <c r="H12" s="2"/>
      <c r="I12" s="2"/>
      <c r="J12" s="2"/>
      <c r="K12" s="2"/>
      <c r="L12" s="2"/>
      <c r="M12" s="2"/>
      <c r="N12" s="2"/>
      <c r="O12" s="2"/>
      <c r="P12" s="2"/>
      <c r="Q12" s="2"/>
      <c r="R12" s="2"/>
      <c r="S12" s="2"/>
      <c r="T12" s="2"/>
      <c r="U12" s="2"/>
      <c r="V12" s="2"/>
      <c r="W12" s="2"/>
      <c r="X12" s="2"/>
      <c r="Y12" s="2"/>
      <c r="Z12" s="2"/>
    </row>
    <row r="13" spans="1:26" ht="15.75" customHeight="1" x14ac:dyDescent="0.25">
      <c r="A13" s="2"/>
      <c r="B13" s="17"/>
      <c r="C13" s="2"/>
      <c r="D13" s="2"/>
      <c r="E13" s="2"/>
      <c r="F13" s="2"/>
      <c r="G13" s="2"/>
      <c r="H13" s="2"/>
      <c r="I13" s="2"/>
      <c r="J13" s="2"/>
      <c r="K13" s="2"/>
      <c r="L13" s="2"/>
      <c r="M13" s="2"/>
      <c r="N13" s="2"/>
      <c r="O13" s="2"/>
      <c r="P13" s="2"/>
      <c r="Q13" s="2"/>
      <c r="R13" s="2"/>
      <c r="S13" s="2"/>
      <c r="T13" s="2"/>
      <c r="U13" s="2"/>
      <c r="V13" s="2"/>
      <c r="W13" s="2"/>
      <c r="X13" s="2"/>
      <c r="Y13" s="2"/>
      <c r="Z13" s="2"/>
    </row>
    <row r="14" spans="1:26" ht="15.75" customHeight="1" x14ac:dyDescent="0.25">
      <c r="A14" s="2"/>
      <c r="B14" s="17"/>
      <c r="C14" s="2"/>
      <c r="D14" s="2"/>
      <c r="E14" s="2"/>
      <c r="F14" s="2"/>
      <c r="G14" s="2"/>
      <c r="H14" s="2"/>
      <c r="I14" s="2"/>
      <c r="J14" s="2"/>
      <c r="K14" s="2"/>
      <c r="L14" s="2"/>
      <c r="M14" s="2"/>
      <c r="N14" s="2"/>
      <c r="O14" s="2"/>
      <c r="P14" s="2"/>
      <c r="Q14" s="2"/>
      <c r="R14" s="2"/>
      <c r="S14" s="2"/>
      <c r="T14" s="2"/>
      <c r="U14" s="2"/>
      <c r="V14" s="2"/>
      <c r="W14" s="2"/>
      <c r="X14" s="2"/>
      <c r="Y14" s="2"/>
      <c r="Z14" s="2"/>
    </row>
    <row r="15" spans="1:26" ht="15.75" customHeight="1" x14ac:dyDescent="0.25">
      <c r="A15" s="2"/>
      <c r="B15" s="17"/>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2"/>
      <c r="B16" s="17"/>
      <c r="C16" s="2"/>
      <c r="D16" s="2"/>
      <c r="E16" s="2"/>
      <c r="F16" s="2"/>
      <c r="G16" s="2"/>
      <c r="H16" s="2"/>
      <c r="I16" s="2"/>
      <c r="J16" s="2"/>
      <c r="K16" s="2"/>
      <c r="L16" s="2"/>
      <c r="M16" s="2"/>
      <c r="N16" s="2"/>
      <c r="O16" s="2"/>
      <c r="P16" s="2"/>
      <c r="Q16" s="2"/>
      <c r="R16" s="2"/>
      <c r="S16" s="2"/>
      <c r="T16" s="2"/>
      <c r="U16" s="2"/>
      <c r="V16" s="2"/>
      <c r="W16" s="2"/>
      <c r="X16" s="2"/>
      <c r="Y16" s="2"/>
      <c r="Z16" s="2"/>
    </row>
    <row r="17" spans="1:26" ht="15.75" customHeight="1" x14ac:dyDescent="0.25">
      <c r="A17" s="2"/>
      <c r="B17" s="17"/>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x14ac:dyDescent="0.25">
      <c r="A18" s="2"/>
      <c r="B18" s="17"/>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x14ac:dyDescent="0.25">
      <c r="A19" s="2"/>
      <c r="B19" s="17"/>
      <c r="C19" s="2"/>
      <c r="D19" s="2"/>
      <c r="E19" s="2"/>
      <c r="F19" s="2"/>
      <c r="G19" s="2"/>
      <c r="H19" s="2"/>
      <c r="I19" s="2"/>
      <c r="J19" s="2"/>
      <c r="K19" s="2"/>
      <c r="L19" s="2"/>
      <c r="M19" s="2"/>
      <c r="N19" s="2"/>
      <c r="O19" s="2"/>
      <c r="P19" s="2"/>
      <c r="Q19" s="2"/>
      <c r="R19" s="2"/>
      <c r="S19" s="2"/>
      <c r="T19" s="2"/>
      <c r="U19" s="2"/>
      <c r="V19" s="2"/>
      <c r="W19" s="2"/>
      <c r="X19" s="2"/>
      <c r="Y19" s="2"/>
      <c r="Z19" s="2"/>
    </row>
    <row r="20" spans="1:26" ht="15.75" customHeight="1" x14ac:dyDescent="0.25">
      <c r="A20" s="2"/>
      <c r="B20" s="17"/>
      <c r="C20" s="2"/>
      <c r="D20" s="2"/>
      <c r="E20" s="2"/>
      <c r="F20" s="2"/>
      <c r="G20" s="2"/>
      <c r="H20" s="2"/>
      <c r="I20" s="2"/>
      <c r="J20" s="2"/>
      <c r="K20" s="2"/>
      <c r="L20" s="2"/>
      <c r="M20" s="2"/>
      <c r="N20" s="2"/>
      <c r="O20" s="2"/>
      <c r="P20" s="2"/>
      <c r="Q20" s="2"/>
      <c r="R20" s="2"/>
      <c r="S20" s="2"/>
      <c r="T20" s="2"/>
      <c r="U20" s="2"/>
      <c r="V20" s="2"/>
      <c r="W20" s="2"/>
      <c r="X20" s="2"/>
      <c r="Y20" s="2"/>
      <c r="Z20" s="2"/>
    </row>
    <row r="21" spans="1:26" x14ac:dyDescent="0.2">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x14ac:dyDescent="0.2">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x14ac:dyDescent="0.2">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ef="E4" r:id="rId1" xr:uid="{00000000-0004-0000-0300-000000000000}"/>
    <hyperlink ref="F4" r:id="rId2" xr:uid="{00000000-0004-0000-0300-000001000000}"/>
    <hyperlink ref="E5" r:id="rId3" xr:uid="{00000000-0004-0000-0300-000002000000}"/>
    <hyperlink ref="F5" r:id="rId4" xr:uid="{00000000-0004-0000-0300-000003000000}"/>
    <hyperlink ref="E6" r:id="rId5" xr:uid="{00000000-0004-0000-0300-000004000000}"/>
    <hyperlink ref="F6" r:id="rId6" xr:uid="{00000000-0004-0000-0300-000005000000}"/>
    <hyperlink ref="E7" r:id="rId7" xr:uid="{00000000-0004-0000-0300-000006000000}"/>
    <hyperlink ref="F7" r:id="rId8" xr:uid="{00000000-0004-0000-0300-000007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5"/>
  <sheetViews>
    <sheetView workbookViewId="0">
      <selection activeCell="B13" sqref="B13"/>
    </sheetView>
  </sheetViews>
  <sheetFormatPr defaultColWidth="12.5703125" defaultRowHeight="15.75" customHeight="1" x14ac:dyDescent="0.2"/>
  <cols>
    <col min="1" max="1" width="31.85546875" customWidth="1"/>
    <col min="2" max="3" width="27" customWidth="1"/>
    <col min="4" max="4" width="20.7109375" customWidth="1"/>
  </cols>
  <sheetData>
    <row r="1" spans="1:5" x14ac:dyDescent="0.2">
      <c r="A1" s="18" t="s">
        <v>860</v>
      </c>
      <c r="B1" s="5" t="s">
        <v>861</v>
      </c>
      <c r="C1" s="5" t="s">
        <v>862</v>
      </c>
      <c r="D1" s="18" t="s">
        <v>863</v>
      </c>
      <c r="E1" s="18" t="s">
        <v>427</v>
      </c>
    </row>
    <row r="2" spans="1:5" x14ac:dyDescent="0.2">
      <c r="A2" s="5" t="s">
        <v>864</v>
      </c>
      <c r="B2" s="5" t="s">
        <v>865</v>
      </c>
      <c r="C2" s="5" t="s">
        <v>866</v>
      </c>
      <c r="D2" s="18">
        <v>1</v>
      </c>
      <c r="E2" s="19" t="s">
        <v>867</v>
      </c>
    </row>
    <row r="3" spans="1:5" ht="15.75" customHeight="1" x14ac:dyDescent="0.25">
      <c r="A3" s="17" t="s">
        <v>868</v>
      </c>
      <c r="B3" s="5" t="s">
        <v>869</v>
      </c>
      <c r="C3" s="5" t="s">
        <v>870</v>
      </c>
      <c r="D3" s="18">
        <v>1</v>
      </c>
      <c r="E3" s="18" t="s">
        <v>871</v>
      </c>
    </row>
    <row r="4" spans="1:5" ht="15.75" customHeight="1" x14ac:dyDescent="0.25">
      <c r="A4" s="17" t="s">
        <v>872</v>
      </c>
      <c r="B4" s="5" t="s">
        <v>873</v>
      </c>
      <c r="C4" s="5" t="s">
        <v>874</v>
      </c>
      <c r="D4" s="18">
        <v>1</v>
      </c>
      <c r="E4" s="18" t="s">
        <v>875</v>
      </c>
    </row>
    <row r="5" spans="1:5" ht="15.75" customHeight="1" x14ac:dyDescent="0.25">
      <c r="A5" s="17" t="s">
        <v>876</v>
      </c>
      <c r="B5" s="5" t="s">
        <v>877</v>
      </c>
      <c r="C5" s="5" t="s">
        <v>878</v>
      </c>
      <c r="D5" s="18">
        <v>1</v>
      </c>
      <c r="E5" s="19" t="s">
        <v>879</v>
      </c>
    </row>
    <row r="6" spans="1:5" ht="15.75" customHeight="1" x14ac:dyDescent="0.25">
      <c r="A6" s="17" t="s">
        <v>880</v>
      </c>
      <c r="B6" s="5" t="s">
        <v>881</v>
      </c>
      <c r="C6" s="5" t="s">
        <v>882</v>
      </c>
      <c r="D6" s="18">
        <v>1</v>
      </c>
      <c r="E6" s="19" t="s">
        <v>883</v>
      </c>
    </row>
    <row r="7" spans="1:5" ht="15.75" customHeight="1" x14ac:dyDescent="0.25">
      <c r="A7" s="17" t="s">
        <v>884</v>
      </c>
      <c r="B7" s="15" t="s">
        <v>885</v>
      </c>
      <c r="C7" s="15" t="s">
        <v>885</v>
      </c>
      <c r="D7" s="18">
        <v>0</v>
      </c>
    </row>
    <row r="8" spans="1:5" ht="15.75" customHeight="1" x14ac:dyDescent="0.25">
      <c r="A8" s="17" t="s">
        <v>886</v>
      </c>
      <c r="B8" s="5" t="s">
        <v>887</v>
      </c>
      <c r="C8" s="5" t="s">
        <v>888</v>
      </c>
      <c r="D8" s="18">
        <v>1</v>
      </c>
      <c r="E8" s="19" t="s">
        <v>889</v>
      </c>
    </row>
    <row r="9" spans="1:5" ht="15.75" customHeight="1" x14ac:dyDescent="0.25">
      <c r="A9" s="17" t="s">
        <v>890</v>
      </c>
      <c r="B9" s="5" t="s">
        <v>891</v>
      </c>
      <c r="C9" s="5" t="s">
        <v>892</v>
      </c>
      <c r="D9" s="18">
        <v>1</v>
      </c>
      <c r="E9" s="18" t="s">
        <v>893</v>
      </c>
    </row>
    <row r="10" spans="1:5" ht="15.75" customHeight="1" x14ac:dyDescent="0.25">
      <c r="A10" s="17" t="s">
        <v>894</v>
      </c>
      <c r="B10" s="5" t="s">
        <v>895</v>
      </c>
      <c r="C10" s="15" t="s">
        <v>885</v>
      </c>
      <c r="D10" s="18">
        <v>1</v>
      </c>
    </row>
    <row r="11" spans="1:5" ht="15.75" customHeight="1" x14ac:dyDescent="0.25">
      <c r="A11" s="17" t="s">
        <v>896</v>
      </c>
      <c r="B11" s="5" t="s">
        <v>897</v>
      </c>
      <c r="C11" s="15" t="s">
        <v>885</v>
      </c>
      <c r="D11" s="18">
        <v>0</v>
      </c>
    </row>
    <row r="12" spans="1:5" ht="15.75" customHeight="1" x14ac:dyDescent="0.25">
      <c r="A12" s="17" t="s">
        <v>898</v>
      </c>
      <c r="B12" s="5" t="s">
        <v>899</v>
      </c>
      <c r="C12" s="5" t="s">
        <v>874</v>
      </c>
      <c r="D12" s="18">
        <v>1</v>
      </c>
      <c r="E12" s="19" t="s">
        <v>900</v>
      </c>
    </row>
    <row r="13" spans="1:5" ht="15.75" customHeight="1" x14ac:dyDescent="0.25">
      <c r="A13" s="17" t="s">
        <v>901</v>
      </c>
      <c r="B13" s="5" t="s">
        <v>881</v>
      </c>
      <c r="C13" s="5" t="s">
        <v>902</v>
      </c>
      <c r="D13" s="18">
        <v>1</v>
      </c>
      <c r="E13" s="19" t="s">
        <v>883</v>
      </c>
    </row>
    <row r="14" spans="1:5" ht="15.75" customHeight="1" x14ac:dyDescent="0.25">
      <c r="A14" s="17" t="s">
        <v>903</v>
      </c>
      <c r="B14" s="5" t="s">
        <v>904</v>
      </c>
      <c r="C14" s="5" t="s">
        <v>905</v>
      </c>
      <c r="D14" s="18">
        <v>1</v>
      </c>
      <c r="E14" s="18" t="s">
        <v>906</v>
      </c>
    </row>
    <row r="15" spans="1:5" x14ac:dyDescent="0.2">
      <c r="B15" s="2"/>
      <c r="C15"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07689-D49B-4E40-A5D6-0EDB8C366385}">
  <dimension ref="A1:C7"/>
  <sheetViews>
    <sheetView tabSelected="1" workbookViewId="0">
      <selection sqref="A1:C1"/>
    </sheetView>
  </sheetViews>
  <sheetFormatPr defaultRowHeight="12.75" x14ac:dyDescent="0.2"/>
  <cols>
    <col min="1" max="1" width="17.140625" customWidth="1"/>
    <col min="2" max="2" width="79.85546875" customWidth="1"/>
  </cols>
  <sheetData>
    <row r="1" spans="1:3" x14ac:dyDescent="0.2">
      <c r="A1" s="25" t="s">
        <v>907</v>
      </c>
      <c r="B1" s="25" t="s">
        <v>1</v>
      </c>
      <c r="C1" s="25" t="s">
        <v>908</v>
      </c>
    </row>
    <row r="2" spans="1:3" ht="63.75" x14ac:dyDescent="0.2">
      <c r="A2" t="s">
        <v>909</v>
      </c>
      <c r="B2" s="24" t="s">
        <v>924</v>
      </c>
      <c r="C2" s="23" t="s">
        <v>915</v>
      </c>
    </row>
    <row r="3" spans="1:3" ht="63.75" x14ac:dyDescent="0.2">
      <c r="A3" t="s">
        <v>914</v>
      </c>
      <c r="B3" s="24" t="s">
        <v>925</v>
      </c>
      <c r="C3" s="23" t="s">
        <v>916</v>
      </c>
    </row>
    <row r="4" spans="1:3" ht="51" x14ac:dyDescent="0.2">
      <c r="A4" t="s">
        <v>913</v>
      </c>
      <c r="B4" s="22" t="s">
        <v>920</v>
      </c>
      <c r="C4" s="23" t="s">
        <v>917</v>
      </c>
    </row>
    <row r="5" spans="1:3" ht="38.25" x14ac:dyDescent="0.2">
      <c r="A5" t="s">
        <v>912</v>
      </c>
      <c r="B5" s="24" t="s">
        <v>921</v>
      </c>
      <c r="C5" s="23" t="s">
        <v>918</v>
      </c>
    </row>
    <row r="6" spans="1:3" ht="38.25" x14ac:dyDescent="0.2">
      <c r="A6" t="s">
        <v>910</v>
      </c>
      <c r="B6" s="24" t="s">
        <v>923</v>
      </c>
      <c r="C6" s="23" t="s">
        <v>919</v>
      </c>
    </row>
    <row r="7" spans="1:3" ht="38.25" x14ac:dyDescent="0.2">
      <c r="A7" t="s">
        <v>911</v>
      </c>
      <c r="B7" s="24" t="s">
        <v>926</v>
      </c>
      <c r="C7" s="23" t="s">
        <v>922</v>
      </c>
    </row>
  </sheetData>
  <hyperlinks>
    <hyperlink ref="C2" r:id="rId1" xr:uid="{B393CC47-60F2-4A00-AA2C-02484568F2F7}"/>
    <hyperlink ref="C3" r:id="rId2" xr:uid="{E63CF930-B34A-4B57-A157-8304CD89DDA2}"/>
    <hyperlink ref="C4" r:id="rId3" xr:uid="{AB920016-2461-486B-BC6E-0D2DAD504287}"/>
    <hyperlink ref="C5" r:id="rId4" xr:uid="{2CFFF9B6-6068-4879-A9A0-6F5B7AE81C47}"/>
    <hyperlink ref="C6" r:id="rId5" xr:uid="{FB90C9F3-AF24-479C-8D0E-3C70214B412C}"/>
    <hyperlink ref="C7" r:id="rId6" xr:uid="{4D57FBE4-7A4E-4731-9EF7-710958790A5B}"/>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Goals</vt:lpstr>
      <vt:lpstr>Locations</vt:lpstr>
      <vt:lpstr>Adjustments</vt:lpstr>
      <vt:lpstr>Moditications (FCC)</vt:lpstr>
      <vt:lpstr>Crops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Minsi</cp:lastModifiedBy>
  <dcterms:modified xsi:type="dcterms:W3CDTF">2022-08-29T14:04:55Z</dcterms:modified>
</cp:coreProperties>
</file>