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b3a66679153b94dc/Физтех/Лабы/3.1.3/"/>
    </mc:Choice>
  </mc:AlternateContent>
  <xr:revisionPtr revIDLastSave="9" documentId="11_9FF40FF4F0626E6DF69AFDD7CA2390A266A4A3ED" xr6:coauthVersionLast="47" xr6:coauthVersionMax="47" xr10:uidLastSave="{A387DD32-6025-49C0-B1E2-C0801A128FB7}"/>
  <bookViews>
    <workbookView xWindow="-110" yWindow="-110" windowWidth="19420" windowHeight="10420" xr2:uid="{00000000-000D-0000-FFFF-FFFF00000000}"/>
  </bookViews>
  <sheets>
    <sheet name="12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1" l="1"/>
  <c r="M2" i="1"/>
  <c r="L2" i="1"/>
  <c r="J2" i="1"/>
  <c r="I2" i="1"/>
  <c r="L27" i="1"/>
  <c r="N27" i="1" s="1"/>
  <c r="L25" i="1"/>
  <c r="N25" i="1" s="1"/>
  <c r="N20" i="1"/>
  <c r="L20" i="1"/>
  <c r="N19" i="1"/>
  <c r="L19" i="1"/>
  <c r="N18" i="1"/>
  <c r="L18" i="1"/>
  <c r="N17" i="1"/>
  <c r="L17" i="1"/>
  <c r="N16" i="1"/>
  <c r="L16" i="1"/>
  <c r="N15" i="1"/>
  <c r="L15" i="1"/>
  <c r="N14" i="1"/>
  <c r="L14" i="1"/>
  <c r="N13" i="1"/>
  <c r="L13" i="1"/>
  <c r="P12" i="1"/>
  <c r="P13" i="1" s="1"/>
  <c r="N12" i="1"/>
  <c r="L12" i="1"/>
  <c r="N11" i="1"/>
  <c r="L11" i="1"/>
  <c r="D11" i="1"/>
  <c r="J7" i="1"/>
  <c r="J6" i="1"/>
  <c r="K6" i="1" s="1"/>
  <c r="L6" i="1" s="1"/>
  <c r="E5" i="1"/>
  <c r="C5" i="1"/>
  <c r="L24" i="1" s="1"/>
  <c r="E2" i="1"/>
  <c r="C2" i="1"/>
  <c r="Q12" i="1" s="1"/>
  <c r="Q13" i="1" l="1"/>
  <c r="N24" i="1"/>
  <c r="K7" i="1"/>
  <c r="L7" i="1" s="1"/>
  <c r="M7" i="1" s="1"/>
  <c r="L28" i="1"/>
  <c r="N28" i="1"/>
  <c r="L26" i="1"/>
  <c r="N26" i="1" s="1"/>
  <c r="I3" i="1" l="1"/>
  <c r="P25" i="1"/>
  <c r="P26" i="1" l="1"/>
  <c r="Q25" i="1"/>
  <c r="M3" i="1"/>
  <c r="J3" i="1"/>
  <c r="L3" i="1" s="1"/>
  <c r="J32" i="1" l="1"/>
  <c r="J33" i="1"/>
  <c r="K33" i="1" s="1"/>
  <c r="Q26" i="1"/>
  <c r="K32" i="1" s="1"/>
</calcChain>
</file>

<file path=xl/sharedStrings.xml><?xml version="1.0" encoding="utf-8"?>
<sst xmlns="http://schemas.openxmlformats.org/spreadsheetml/2006/main" count="60" uniqueCount="48">
  <si>
    <t>M, г</t>
  </si>
  <si>
    <t>N</t>
  </si>
  <si>
    <t>m, г</t>
  </si>
  <si>
    <t>dM, г</t>
  </si>
  <si>
    <t>dm, г</t>
  </si>
  <si>
    <t>Метод А</t>
  </si>
  <si>
    <t>P_m, эрг/Гс</t>
  </si>
  <si>
    <t>p_m, эрг/Гс*см^3</t>
  </si>
  <si>
    <t>B_p, Гс</t>
  </si>
  <si>
    <t>B_r, гс</t>
  </si>
  <si>
    <t>B_расч, Гс</t>
  </si>
  <si>
    <t>dP_m</t>
  </si>
  <si>
    <t>d</t>
  </si>
  <si>
    <t>L, см</t>
  </si>
  <si>
    <t>D, см</t>
  </si>
  <si>
    <t>dL, см</t>
  </si>
  <si>
    <t>dD, см</t>
  </si>
  <si>
    <t>Метод В</t>
  </si>
  <si>
    <t>F, дин</t>
  </si>
  <si>
    <t>F_0, дин</t>
  </si>
  <si>
    <t>g, см/с^2</t>
  </si>
  <si>
    <t>dg</t>
  </si>
  <si>
    <t>pi</t>
  </si>
  <si>
    <t>dpi</t>
  </si>
  <si>
    <t>L_бр, см</t>
  </si>
  <si>
    <t xml:space="preserve"> d, мм</t>
  </si>
  <si>
    <t>n</t>
  </si>
  <si>
    <t>r_{max}, см</t>
  </si>
  <si>
    <t>dr</t>
  </si>
  <si>
    <t>Задание 2</t>
  </si>
  <si>
    <t>t, c</t>
  </si>
  <si>
    <t>l</t>
  </si>
  <si>
    <t>T, с</t>
  </si>
  <si>
    <t>dt</t>
  </si>
  <si>
    <t>dT</t>
  </si>
  <si>
    <t>k</t>
  </si>
  <si>
    <t>B_h, Гс</t>
  </si>
  <si>
    <t>T_0, с</t>
  </si>
  <si>
    <t>dT_0, с</t>
  </si>
  <si>
    <t>Задание 3</t>
  </si>
  <si>
    <t>m', г</t>
  </si>
  <si>
    <t>L, дин*см</t>
  </si>
  <si>
    <t>dm'</t>
  </si>
  <si>
    <t>dL</t>
  </si>
  <si>
    <t>A</t>
  </si>
  <si>
    <t>B_v, Гс</t>
  </si>
  <si>
    <t>beta</t>
  </si>
  <si>
    <t>B, Гс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</si>
</sst>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"/>
    <numFmt numFmtId="166" formatCode="0.0000"/>
    <numFmt numFmtId="167" formatCode="#,##0.00000"/>
  </numFmts>
  <fonts count="2" x14ac:knownFonts="1">
    <font>
      <sz val="11"/>
      <color theme="1"/>
      <name val="Arial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164" fontId="1" fillId="0" borderId="0" xfId="0" applyNumberFormat="1" applyFont="1" applyAlignment="1"/>
    <xf numFmtId="164" fontId="1" fillId="0" borderId="0" xfId="0" applyNumberFormat="1" applyFont="1"/>
    <xf numFmtId="165" fontId="1" fillId="0" borderId="0" xfId="0" applyNumberFormat="1" applyFont="1"/>
    <xf numFmtId="1" fontId="1" fillId="0" borderId="0" xfId="0" applyNumberFormat="1" applyFont="1"/>
    <xf numFmtId="166" fontId="1" fillId="0" borderId="0" xfId="0" applyNumberFormat="1" applyFont="1" applyAlignment="1"/>
    <xf numFmtId="166" fontId="1" fillId="0" borderId="0" xfId="0" applyNumberFormat="1" applyFont="1"/>
    <xf numFmtId="2" fontId="1" fillId="0" borderId="0" xfId="0" applyNumberFormat="1" applyFont="1"/>
    <xf numFmtId="167" fontId="1" fillId="0" borderId="0" xfId="0" applyNumberFormat="1" applyFont="1" applyAlignment="1"/>
    <xf numFmtId="2" fontId="1" fillId="0" borderId="0" xfId="0" applyNumberFormat="1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tabSelected="1" workbookViewId="0">
      <selection activeCell="N6" sqref="N6"/>
    </sheetView>
  </sheetViews>
  <sheetFormatPr defaultColWidth="12.6640625" defaultRowHeight="15" customHeight="1" x14ac:dyDescent="0.3"/>
  <cols>
    <col min="1" max="3" width="7.6640625" customWidth="1"/>
    <col min="4" max="4" width="10.4140625" customWidth="1"/>
    <col min="5" max="7" width="7.6640625" customWidth="1"/>
    <col min="8" max="8" width="20.1640625" customWidth="1"/>
    <col min="9" max="9" width="10.1640625" customWidth="1"/>
    <col min="10" max="10" width="15.4140625" customWidth="1"/>
    <col min="11" max="11" width="7.6640625" customWidth="1"/>
    <col min="12" max="12" width="10.1640625" customWidth="1"/>
    <col min="13" max="13" width="10.75" customWidth="1"/>
    <col min="14" max="14" width="10.5" customWidth="1"/>
    <col min="15" max="26" width="7.6640625" customWidth="1"/>
  </cols>
  <sheetData>
    <row r="1" spans="1:17" ht="14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</row>
    <row r="2" spans="1:17" ht="14.5" x14ac:dyDescent="0.35">
      <c r="A2" s="3">
        <v>23.638999999999999</v>
      </c>
      <c r="B2" s="3">
        <v>28</v>
      </c>
      <c r="C2" s="4">
        <f>A2/B2</f>
        <v>0.84424999999999994</v>
      </c>
      <c r="D2" s="3">
        <v>1E-3</v>
      </c>
      <c r="E2" s="4">
        <f>D2/B2</f>
        <v>3.5714285714285717E-5</v>
      </c>
      <c r="I2" s="5">
        <f>SQRT(C2*A8*D11^4 / 6)</f>
        <v>62.140668251989126</v>
      </c>
      <c r="J2" s="6">
        <f>I2/(C8*C5^3/6)</f>
        <v>570.01960330082579</v>
      </c>
      <c r="K2" s="2">
        <v>4200</v>
      </c>
      <c r="L2" s="6">
        <f>4*C8*J2</f>
        <v>7163.0715421353652</v>
      </c>
      <c r="M2" s="6">
        <f>16*I2/$C$5^3</f>
        <v>4775.3810280902426</v>
      </c>
      <c r="N2" s="2" t="s">
        <v>6</v>
      </c>
      <c r="O2" s="2" t="s">
        <v>11</v>
      </c>
    </row>
    <row r="3" spans="1:17" ht="14.5" x14ac:dyDescent="0.35">
      <c r="H3" s="2" t="s">
        <v>12</v>
      </c>
      <c r="I3" s="5">
        <f>(0.5*E2/C2 + 0.5*B8/A8 + 2*E11/D11)*I2</f>
        <v>0.54169968743083652</v>
      </c>
      <c r="J3" s="6">
        <f>(I3/I2 + 3*E11/D11 + D8/C8)*J2</f>
        <v>12.405892328138563</v>
      </c>
      <c r="K3" s="2">
        <v>10</v>
      </c>
      <c r="L3" s="6">
        <f>(J3/J2 + D8/C8)*L2</f>
        <v>155.91970990075933</v>
      </c>
      <c r="M3" s="6">
        <f>(I3/I2 + 3*$E$5/$C$5)*M2</f>
        <v>50.925147120856778</v>
      </c>
      <c r="N3" s="2">
        <v>62.1</v>
      </c>
      <c r="O3" s="2">
        <v>0.5</v>
      </c>
    </row>
    <row r="4" spans="1:17" ht="14.5" x14ac:dyDescent="0.35">
      <c r="A4" s="1" t="s">
        <v>13</v>
      </c>
      <c r="B4" s="1" t="s">
        <v>1</v>
      </c>
      <c r="C4" s="1" t="s">
        <v>14</v>
      </c>
      <c r="D4" s="1" t="s">
        <v>15</v>
      </c>
      <c r="E4" s="1" t="s">
        <v>16</v>
      </c>
    </row>
    <row r="5" spans="1:17" ht="14.5" x14ac:dyDescent="0.35">
      <c r="A5" s="7">
        <v>15.41</v>
      </c>
      <c r="B5" s="7">
        <v>26</v>
      </c>
      <c r="C5" s="8">
        <f>A5/B5</f>
        <v>0.59269230769230774</v>
      </c>
      <c r="D5" s="7">
        <v>0.01</v>
      </c>
      <c r="E5" s="8">
        <f>D5/B5</f>
        <v>3.8461538461538462E-4</v>
      </c>
      <c r="H5" s="2" t="s">
        <v>17</v>
      </c>
      <c r="I5" s="2" t="s">
        <v>0</v>
      </c>
      <c r="J5" s="2" t="s">
        <v>18</v>
      </c>
      <c r="K5" s="2" t="s">
        <v>19</v>
      </c>
      <c r="L5" s="2" t="s">
        <v>6</v>
      </c>
      <c r="M5" s="2" t="s">
        <v>10</v>
      </c>
    </row>
    <row r="6" spans="1:17" ht="14.5" x14ac:dyDescent="0.35">
      <c r="I6" s="2">
        <v>274.96899999999999</v>
      </c>
      <c r="J6" s="5">
        <f>I6*A8</f>
        <v>269652.47438500001</v>
      </c>
      <c r="K6" s="5">
        <f>J6/1.08</f>
        <v>249678.21702314814</v>
      </c>
      <c r="L6" s="9">
        <f>SQRT(K6*C5^4/6)</f>
        <v>71.659419131113552</v>
      </c>
      <c r="M6" s="6">
        <f>16*L6/C5^3</f>
        <v>5506.8772227394384</v>
      </c>
    </row>
    <row r="7" spans="1:17" ht="14.5" x14ac:dyDescent="0.35">
      <c r="A7" s="2" t="s">
        <v>20</v>
      </c>
      <c r="B7" s="1" t="s">
        <v>21</v>
      </c>
      <c r="C7" s="2" t="s">
        <v>22</v>
      </c>
      <c r="D7" s="2" t="s">
        <v>23</v>
      </c>
      <c r="H7" s="2" t="s">
        <v>12</v>
      </c>
      <c r="I7" s="2">
        <v>1E-3</v>
      </c>
      <c r="J7" s="5">
        <f>(I7/I6 + B8/A8)*J6</f>
        <v>1.2556340000000001</v>
      </c>
      <c r="K7" s="5">
        <f>J7/J6*K6</f>
        <v>1.1626240740740741</v>
      </c>
      <c r="L7" s="9">
        <f>(0.5*K7/K6 + 2*E5/C5)*L6</f>
        <v>9.3170629296817464E-2</v>
      </c>
      <c r="M7" s="6">
        <f>(L7/L6 + 3*E5/C5)*M6</f>
        <v>17.880690348913877</v>
      </c>
    </row>
    <row r="8" spans="1:17" ht="14.5" x14ac:dyDescent="0.35">
      <c r="A8" s="2">
        <v>980.66499999999996</v>
      </c>
      <c r="B8" s="2">
        <v>1E-3</v>
      </c>
      <c r="C8" s="2">
        <v>3.1415899999999999</v>
      </c>
      <c r="D8" s="10">
        <v>1.0000000000000001E-5</v>
      </c>
    </row>
    <row r="10" spans="1:17" ht="14.5" x14ac:dyDescent="0.35">
      <c r="A10" s="1" t="s">
        <v>24</v>
      </c>
      <c r="B10" s="1" t="s">
        <v>25</v>
      </c>
      <c r="C10" s="1" t="s">
        <v>26</v>
      </c>
      <c r="D10" s="1" t="s">
        <v>27</v>
      </c>
      <c r="E10" s="1" t="s">
        <v>28</v>
      </c>
      <c r="H10" s="2" t="s">
        <v>29</v>
      </c>
      <c r="I10" s="2" t="s">
        <v>26</v>
      </c>
      <c r="J10" s="2" t="s">
        <v>30</v>
      </c>
      <c r="K10" s="2" t="s">
        <v>31</v>
      </c>
      <c r="L10" s="2" t="s">
        <v>32</v>
      </c>
      <c r="M10" s="2" t="s">
        <v>33</v>
      </c>
      <c r="N10" s="2" t="s">
        <v>34</v>
      </c>
    </row>
    <row r="11" spans="1:17" ht="14.5" x14ac:dyDescent="0.35">
      <c r="A11" s="11">
        <v>2.2999999999999998</v>
      </c>
      <c r="B11" s="11">
        <v>0</v>
      </c>
      <c r="C11" s="11">
        <v>0</v>
      </c>
      <c r="D11" s="9">
        <f>A11 + B11*C11/10</f>
        <v>2.2999999999999998</v>
      </c>
      <c r="E11" s="11">
        <v>0.01</v>
      </c>
      <c r="I11" s="2">
        <v>12</v>
      </c>
      <c r="J11" s="2">
        <v>103.3</v>
      </c>
      <c r="K11" s="2">
        <v>30</v>
      </c>
      <c r="L11" s="9">
        <f t="shared" ref="L11:L20" si="0">J11/K11</f>
        <v>3.4433333333333334</v>
      </c>
      <c r="M11" s="2">
        <v>0.3</v>
      </c>
      <c r="N11" s="1">
        <f t="shared" ref="N11:N20" si="1">M11/K11</f>
        <v>0.01</v>
      </c>
      <c r="P11" s="2" t="s">
        <v>35</v>
      </c>
      <c r="Q11" s="2" t="s">
        <v>36</v>
      </c>
    </row>
    <row r="12" spans="1:17" ht="14.5" x14ac:dyDescent="0.35">
      <c r="I12" s="2">
        <v>11</v>
      </c>
      <c r="J12" s="2">
        <v>93.4</v>
      </c>
      <c r="K12" s="2">
        <v>30</v>
      </c>
      <c r="L12" s="9">
        <f t="shared" si="0"/>
        <v>3.1133333333333337</v>
      </c>
      <c r="M12" s="2">
        <v>0.3</v>
      </c>
      <c r="N12" s="1">
        <f t="shared" si="1"/>
        <v>0.01</v>
      </c>
      <c r="P12" s="1">
        <f>SLOPE(L11:L20,I11:I20 )</f>
        <v>0.29365656565656567</v>
      </c>
      <c r="Q12" s="1">
        <f>C8^2*C2*C5^2/(3*P12^2*N3)</f>
        <v>0.18219496748417804</v>
      </c>
    </row>
    <row r="13" spans="1:17" ht="14.5" x14ac:dyDescent="0.35">
      <c r="A13" s="2" t="s">
        <v>37</v>
      </c>
      <c r="B13" s="2" t="s">
        <v>38</v>
      </c>
      <c r="I13" s="2">
        <v>10</v>
      </c>
      <c r="J13" s="2">
        <v>83.6</v>
      </c>
      <c r="K13" s="2">
        <v>30</v>
      </c>
      <c r="L13" s="9">
        <f t="shared" si="0"/>
        <v>2.7866666666666666</v>
      </c>
      <c r="M13" s="2">
        <v>0.3</v>
      </c>
      <c r="N13" s="1">
        <f t="shared" si="1"/>
        <v>0.01</v>
      </c>
      <c r="O13" s="2" t="s">
        <v>12</v>
      </c>
      <c r="P13" s="1">
        <f>0.03*P12</f>
        <v>8.8096969696969691E-3</v>
      </c>
      <c r="Q13" s="1">
        <f>(2*D8/C8 + E2/C2 + 2*E5/C5 + 2*P13/P12 + O3/N3)*Q12</f>
        <v>1.2643976829874408E-2</v>
      </c>
    </row>
    <row r="14" spans="1:17" ht="14.5" x14ac:dyDescent="0.35">
      <c r="A14" s="2">
        <v>8</v>
      </c>
      <c r="B14" s="2">
        <v>0.3</v>
      </c>
      <c r="I14" s="2">
        <v>9</v>
      </c>
      <c r="J14" s="2">
        <v>75.599999999999994</v>
      </c>
      <c r="K14" s="2">
        <v>30</v>
      </c>
      <c r="L14" s="9">
        <f t="shared" si="0"/>
        <v>2.52</v>
      </c>
      <c r="M14" s="2">
        <v>0.3</v>
      </c>
      <c r="N14" s="1">
        <f t="shared" si="1"/>
        <v>0.01</v>
      </c>
    </row>
    <row r="15" spans="1:17" ht="14.5" x14ac:dyDescent="0.35">
      <c r="I15" s="2">
        <v>8</v>
      </c>
      <c r="J15" s="2">
        <v>66.7</v>
      </c>
      <c r="K15" s="2">
        <v>30</v>
      </c>
      <c r="L15" s="9">
        <f t="shared" si="0"/>
        <v>2.2233333333333336</v>
      </c>
      <c r="M15" s="2">
        <v>0.3</v>
      </c>
      <c r="N15" s="1">
        <f t="shared" si="1"/>
        <v>0.01</v>
      </c>
    </row>
    <row r="16" spans="1:17" ht="14.5" x14ac:dyDescent="0.35">
      <c r="I16" s="2">
        <v>7</v>
      </c>
      <c r="J16" s="2">
        <v>58</v>
      </c>
      <c r="K16" s="2">
        <v>30</v>
      </c>
      <c r="L16" s="9">
        <f t="shared" si="0"/>
        <v>1.9333333333333333</v>
      </c>
      <c r="M16" s="2">
        <v>0.3</v>
      </c>
      <c r="N16" s="1">
        <f t="shared" si="1"/>
        <v>0.01</v>
      </c>
    </row>
    <row r="17" spans="8:17" ht="14.5" x14ac:dyDescent="0.35">
      <c r="I17" s="2">
        <v>6</v>
      </c>
      <c r="J17" s="2">
        <v>49.5</v>
      </c>
      <c r="K17" s="2">
        <v>30</v>
      </c>
      <c r="L17" s="9">
        <f t="shared" si="0"/>
        <v>1.65</v>
      </c>
      <c r="M17" s="2">
        <v>0.3</v>
      </c>
      <c r="N17" s="1">
        <f t="shared" si="1"/>
        <v>0.01</v>
      </c>
    </row>
    <row r="18" spans="8:17" ht="14.5" x14ac:dyDescent="0.35">
      <c r="I18" s="2">
        <v>5</v>
      </c>
      <c r="J18" s="2">
        <v>40.9</v>
      </c>
      <c r="K18" s="2">
        <v>30</v>
      </c>
      <c r="L18" s="9">
        <f t="shared" si="0"/>
        <v>1.3633333333333333</v>
      </c>
      <c r="M18" s="2">
        <v>0.3</v>
      </c>
      <c r="N18" s="1">
        <f t="shared" si="1"/>
        <v>0.01</v>
      </c>
    </row>
    <row r="19" spans="8:17" ht="14.5" x14ac:dyDescent="0.35">
      <c r="I19" s="2">
        <v>4</v>
      </c>
      <c r="J19" s="2">
        <v>31.4</v>
      </c>
      <c r="K19" s="2">
        <v>30</v>
      </c>
      <c r="L19" s="9">
        <f t="shared" si="0"/>
        <v>1.0466666666666666</v>
      </c>
      <c r="M19" s="2">
        <v>0.3</v>
      </c>
      <c r="N19" s="1">
        <f t="shared" si="1"/>
        <v>0.01</v>
      </c>
    </row>
    <row r="20" spans="8:17" ht="14.5" x14ac:dyDescent="0.35">
      <c r="I20" s="2">
        <v>3</v>
      </c>
      <c r="J20" s="2">
        <v>23.4</v>
      </c>
      <c r="K20" s="2">
        <v>30</v>
      </c>
      <c r="L20" s="9">
        <f t="shared" si="0"/>
        <v>0.77999999999999992</v>
      </c>
      <c r="M20" s="2">
        <v>0.3</v>
      </c>
      <c r="N20" s="1">
        <f t="shared" si="1"/>
        <v>0.01</v>
      </c>
    </row>
    <row r="21" spans="8:17" ht="15.75" customHeight="1" x14ac:dyDescent="0.3"/>
    <row r="22" spans="8:17" ht="15.75" customHeight="1" x14ac:dyDescent="0.3"/>
    <row r="23" spans="8:17" ht="15.75" customHeight="1" x14ac:dyDescent="0.35">
      <c r="H23" s="2" t="s">
        <v>39</v>
      </c>
      <c r="I23" s="2" t="s">
        <v>26</v>
      </c>
      <c r="J23" s="2" t="s">
        <v>35</v>
      </c>
      <c r="K23" s="2" t="s">
        <v>40</v>
      </c>
      <c r="L23" s="2" t="s">
        <v>41</v>
      </c>
      <c r="M23" s="2" t="s">
        <v>42</v>
      </c>
      <c r="N23" s="2" t="s">
        <v>43</v>
      </c>
    </row>
    <row r="24" spans="8:17" ht="15.75" customHeight="1" x14ac:dyDescent="0.35">
      <c r="I24" s="2">
        <v>12</v>
      </c>
      <c r="J24" s="2">
        <v>5</v>
      </c>
      <c r="K24" s="2">
        <v>0.128</v>
      </c>
      <c r="L24" s="6">
        <f t="shared" ref="L24:L28" si="2">K24*$A$8*J24*$C$5</f>
        <v>371.98886523076925</v>
      </c>
      <c r="M24" s="2">
        <v>1E-3</v>
      </c>
      <c r="N24" s="6">
        <f t="shared" ref="N24:N28" si="3">(M24/K24 + $B$8/$A$8 + $E$5/$C$5 + 0.1)*L24</f>
        <v>40.346823317307695</v>
      </c>
      <c r="P24" s="2" t="s">
        <v>44</v>
      </c>
      <c r="Q24" s="2" t="s">
        <v>45</v>
      </c>
    </row>
    <row r="25" spans="8:17" ht="15.75" customHeight="1" x14ac:dyDescent="0.35">
      <c r="I25" s="2">
        <v>10</v>
      </c>
      <c r="J25" s="2">
        <v>4</v>
      </c>
      <c r="K25" s="2">
        <v>0.13100000000000001</v>
      </c>
      <c r="L25" s="6">
        <f t="shared" si="2"/>
        <v>304.56588340769235</v>
      </c>
      <c r="M25" s="2">
        <v>1E-3</v>
      </c>
      <c r="N25" s="6">
        <f t="shared" si="3"/>
        <v>32.979471034615393</v>
      </c>
      <c r="P25" s="1">
        <f>SLOPE(L24:L28,I24:I28 )</f>
        <v>30.572834861153854</v>
      </c>
      <c r="Q25" s="1">
        <f>P25/N3</f>
        <v>0.49231618133903143</v>
      </c>
    </row>
    <row r="26" spans="8:17" ht="15.75" customHeight="1" x14ac:dyDescent="0.35">
      <c r="I26" s="2">
        <v>8</v>
      </c>
      <c r="J26" s="2">
        <v>3</v>
      </c>
      <c r="K26" s="2">
        <v>0.13700000000000001</v>
      </c>
      <c r="L26" s="6">
        <f t="shared" si="2"/>
        <v>238.88659939038467</v>
      </c>
      <c r="M26" s="2">
        <v>1E-3</v>
      </c>
      <c r="N26" s="6">
        <f t="shared" si="3"/>
        <v>25.787621847115393</v>
      </c>
      <c r="O26" s="2" t="s">
        <v>12</v>
      </c>
      <c r="P26" s="1">
        <f>0.07*P25</f>
        <v>2.1400984402807701</v>
      </c>
      <c r="Q26" s="1">
        <f>(P26/P25 + O3/N3)*Q25</f>
        <v>3.8426031094207495E-2</v>
      </c>
    </row>
    <row r="27" spans="8:17" ht="15.75" customHeight="1" x14ac:dyDescent="0.35">
      <c r="I27" s="2">
        <v>6</v>
      </c>
      <c r="J27" s="2">
        <v>2</v>
      </c>
      <c r="K27" s="2">
        <v>0.16200000000000001</v>
      </c>
      <c r="L27" s="6">
        <f t="shared" si="2"/>
        <v>188.31936302307693</v>
      </c>
      <c r="M27" s="2">
        <v>1E-3</v>
      </c>
      <c r="N27" s="6">
        <f t="shared" si="3"/>
        <v>20.116799484615388</v>
      </c>
    </row>
    <row r="28" spans="8:17" ht="15.75" customHeight="1" x14ac:dyDescent="0.35">
      <c r="I28" s="2">
        <v>4</v>
      </c>
      <c r="J28" s="2">
        <v>1</v>
      </c>
      <c r="K28" s="2">
        <v>0.214</v>
      </c>
      <c r="L28" s="6">
        <f t="shared" si="2"/>
        <v>124.38377681153845</v>
      </c>
      <c r="M28" s="2">
        <v>1E-3</v>
      </c>
      <c r="N28" s="6">
        <f t="shared" si="3"/>
        <v>13.100453392307692</v>
      </c>
    </row>
    <row r="29" spans="8:17" ht="15.75" customHeight="1" x14ac:dyDescent="0.3"/>
    <row r="30" spans="8:17" ht="15.75" customHeight="1" x14ac:dyDescent="0.3"/>
    <row r="31" spans="8:17" ht="15.75" customHeight="1" x14ac:dyDescent="0.35">
      <c r="K31" s="2" t="s">
        <v>12</v>
      </c>
    </row>
    <row r="32" spans="8:17" ht="15.75" customHeight="1" x14ac:dyDescent="0.35">
      <c r="I32" s="2" t="s">
        <v>46</v>
      </c>
      <c r="J32" s="1">
        <f>ATAN(Q25/Q12)*180/C8</f>
        <v>69.691697348566294</v>
      </c>
      <c r="K32" s="1">
        <f>1/(1 + (Q25/Q12)^2)*(Q26/Q25 + Q13/Q12)*(Q25/Q12)*J32</f>
        <v>3.3448203281018154</v>
      </c>
    </row>
    <row r="33" spans="9:11" ht="15.75" customHeight="1" x14ac:dyDescent="0.35">
      <c r="I33" s="2" t="s">
        <v>47</v>
      </c>
      <c r="J33" s="1">
        <f>SQRT(Q25^2 + Q12^2)</f>
        <v>0.52494783415574431</v>
      </c>
      <c r="K33" s="1">
        <f>1/(2*J33)*(2*Q26*Q25+2*Q13*Q12)</f>
        <v>4.0425780351745773E-2</v>
      </c>
    </row>
    <row r="34" spans="9:11" ht="15.75" customHeight="1" x14ac:dyDescent="0.3"/>
    <row r="35" spans="9:11" ht="15.75" customHeight="1" x14ac:dyDescent="0.3"/>
    <row r="36" spans="9:11" ht="15.75" customHeight="1" x14ac:dyDescent="0.3"/>
    <row r="37" spans="9:11" ht="15.75" customHeight="1" x14ac:dyDescent="0.3"/>
    <row r="38" spans="9:11" ht="15.75" customHeight="1" x14ac:dyDescent="0.3"/>
    <row r="39" spans="9:11" ht="15.75" customHeight="1" x14ac:dyDescent="0.3"/>
    <row r="40" spans="9:11" ht="15.75" customHeight="1" x14ac:dyDescent="0.3"/>
    <row r="41" spans="9:11" ht="15.75" customHeight="1" x14ac:dyDescent="0.3"/>
    <row r="42" spans="9:11" ht="15.75" customHeight="1" x14ac:dyDescent="0.3"/>
    <row r="43" spans="9:11" ht="15.75" customHeight="1" x14ac:dyDescent="0.3"/>
    <row r="44" spans="9:11" ht="15.75" customHeight="1" x14ac:dyDescent="0.3"/>
    <row r="45" spans="9:11" ht="15.75" customHeight="1" x14ac:dyDescent="0.3"/>
    <row r="46" spans="9:11" ht="15.75" customHeight="1" x14ac:dyDescent="0.3"/>
    <row r="47" spans="9:11" ht="15.75" customHeight="1" x14ac:dyDescent="0.3"/>
    <row r="48" spans="9:11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Николай Гусаров</cp:lastModifiedBy>
  <dcterms:modified xsi:type="dcterms:W3CDTF">2021-10-06T15:11:34Z</dcterms:modified>
</cp:coreProperties>
</file>