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9"/>
  <workbookPr defaultThemeVersion="124226"/>
  <mc:AlternateContent xmlns:mc="http://schemas.openxmlformats.org/markup-compatibility/2006">
    <mc:Choice Requires="x15">
      <x15ac:absPath xmlns:x15ac="http://schemas.microsoft.com/office/spreadsheetml/2010/11/ac" url="/Volumes/DATA/nguyen.thom/projects/splitExcel/input/"/>
    </mc:Choice>
  </mc:AlternateContent>
  <xr:revisionPtr revIDLastSave="0" documentId="13_ncr:1_{5F14BDEE-BF22-5641-A92B-23DDB1472D41}" xr6:coauthVersionLast="43" xr6:coauthVersionMax="43" xr10:uidLastSave="{00000000-0000-0000-0000-000000000000}"/>
  <bookViews>
    <workbookView xWindow="480" yWindow="460" windowWidth="18200" windowHeight="11020" xr2:uid="{00000000-000D-0000-FFFF-FFFF00000000}"/>
  </bookViews>
  <sheets>
    <sheet name="mua vao tren 500 vat" sheetId="4" r:id="rId1"/>
    <sheet name="mua vao" sheetId="1" r:id="rId2"/>
    <sheet name="ban ra" sheetId="2" r:id="rId3"/>
  </sheets>
  <definedNames>
    <definedName name="_Fill" localSheetId="2" hidden="1">#REF!</definedName>
    <definedName name="_Fill" localSheetId="0" hidden="1">#REF!</definedName>
    <definedName name="_Fill" hidden="1">#REF!</definedName>
    <definedName name="_xlnm._FilterDatabase" localSheetId="2" hidden="1">'ban ra'!$A$13:$WVU$142</definedName>
    <definedName name="_xlnm._FilterDatabase" localSheetId="1" hidden="1">'mua vao'!$A$13:$IR$1356</definedName>
    <definedName name="_xlnm._FilterDatabase" localSheetId="0" hidden="1">'mua vao tren 500 vat'!$A$13:$IQ$27</definedName>
    <definedName name="_xlnm.Print_Area" localSheetId="2">'ban ra'!$A$1:$L$145</definedName>
    <definedName name="_xlnm.Print_Area" localSheetId="1">'mua vao'!$A$1:$N$1372</definedName>
    <definedName name="_xlnm.Print_Area" localSheetId="0">'mua vao tren 500 vat'!$A$1:$O$45</definedName>
    <definedName name="_xlnm.Print_Titles" localSheetId="2">'ban ra'!$10:$13</definedName>
    <definedName name="_xlnm.Print_Titles" localSheetId="1">'mua vao'!$10:$12</definedName>
    <definedName name="_xlnm.Print_Titles" localSheetId="0">'mua vao tren 500 vat'!$10:$12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4" i="4" l="1"/>
  <c r="L19" i="4"/>
  <c r="L20" i="4"/>
  <c r="L21" i="4"/>
  <c r="L22" i="4"/>
  <c r="L23" i="4"/>
  <c r="L24" i="4"/>
  <c r="L25" i="4"/>
  <c r="L26" i="4"/>
  <c r="K18" i="4"/>
  <c r="I18" i="4"/>
  <c r="K17" i="4"/>
  <c r="I17" i="4"/>
  <c r="K16" i="4"/>
  <c r="I16" i="4"/>
  <c r="K15" i="4"/>
  <c r="I15" i="4"/>
  <c r="K27" i="4"/>
  <c r="I27" i="4"/>
  <c r="A14" i="4"/>
  <c r="A15" i="4" s="1"/>
  <c r="A16" i="4" s="1"/>
  <c r="A17" i="4" s="1"/>
  <c r="A18" i="4" s="1"/>
  <c r="A19" i="4" s="1"/>
  <c r="A20" i="4" s="1"/>
  <c r="A21" i="4" s="1"/>
  <c r="A22" i="4" s="1"/>
  <c r="A23" i="4" s="1"/>
  <c r="A24" i="4" s="1"/>
  <c r="A25" i="4" s="1"/>
  <c r="A26" i="4" s="1"/>
  <c r="A27" i="4" s="1"/>
  <c r="L18" i="4" l="1"/>
  <c r="L16" i="4"/>
  <c r="L15" i="4"/>
  <c r="L17" i="4"/>
  <c r="I140" i="2" l="1"/>
  <c r="K140" i="2" s="1"/>
  <c r="I139" i="2"/>
  <c r="K139" i="2" s="1"/>
  <c r="I138" i="2"/>
  <c r="K138" i="2" s="1"/>
  <c r="I137" i="2"/>
  <c r="K137" i="2" s="1"/>
  <c r="I136" i="2"/>
  <c r="K136" i="2" s="1"/>
  <c r="I135" i="2"/>
  <c r="K135" i="2" s="1"/>
  <c r="I134" i="2"/>
  <c r="K134" i="2" s="1"/>
  <c r="I133" i="2"/>
  <c r="K133" i="2" s="1"/>
  <c r="I132" i="2"/>
  <c r="K132" i="2" s="1"/>
  <c r="I130" i="2"/>
  <c r="A130" i="2"/>
  <c r="A131" i="2" s="1"/>
  <c r="A132" i="2" s="1"/>
  <c r="A133" i="2" s="1"/>
  <c r="A134" i="2" s="1"/>
  <c r="A135" i="2" s="1"/>
  <c r="A136" i="2" s="1"/>
  <c r="A137" i="2" s="1"/>
  <c r="A138" i="2" s="1"/>
  <c r="A139" i="2" s="1"/>
  <c r="A140" i="2" s="1"/>
  <c r="I128" i="2"/>
  <c r="K128" i="2" s="1"/>
  <c r="I127" i="2"/>
  <c r="K127" i="2" s="1"/>
  <c r="I126" i="2"/>
  <c r="K126" i="2" s="1"/>
  <c r="I125" i="2"/>
  <c r="K125" i="2" s="1"/>
  <c r="I124" i="2"/>
  <c r="K124" i="2" s="1"/>
  <c r="I123" i="2"/>
  <c r="K123" i="2" s="1"/>
  <c r="I122" i="2"/>
  <c r="K122" i="2" s="1"/>
  <c r="I121" i="2"/>
  <c r="I119" i="2"/>
  <c r="K119" i="2" s="1"/>
  <c r="I118" i="2"/>
  <c r="I120" i="2" s="1"/>
  <c r="I115" i="2"/>
  <c r="K115" i="2" s="1"/>
  <c r="K114" i="2"/>
  <c r="I114" i="2"/>
  <c r="I113" i="2"/>
  <c r="K113" i="2" s="1"/>
  <c r="I112" i="2"/>
  <c r="K112" i="2" s="1"/>
  <c r="I111" i="2"/>
  <c r="K111" i="2" s="1"/>
  <c r="I110" i="2"/>
  <c r="K110" i="2" s="1"/>
  <c r="I109" i="2"/>
  <c r="K109" i="2" s="1"/>
  <c r="K108" i="2"/>
  <c r="I108" i="2"/>
  <c r="I106" i="2"/>
  <c r="I104" i="2"/>
  <c r="K104" i="2" s="1"/>
  <c r="I103" i="2"/>
  <c r="K103" i="2" s="1"/>
  <c r="I102" i="2"/>
  <c r="K102" i="2" s="1"/>
  <c r="I101" i="2"/>
  <c r="K101" i="2" s="1"/>
  <c r="I100" i="2"/>
  <c r="K100" i="2" s="1"/>
  <c r="I99" i="2"/>
  <c r="K99" i="2" s="1"/>
  <c r="I97" i="2"/>
  <c r="K97" i="2" s="1"/>
  <c r="I96" i="2"/>
  <c r="K96" i="2" s="1"/>
  <c r="I95" i="2"/>
  <c r="K95" i="2" s="1"/>
  <c r="I94" i="2"/>
  <c r="K94" i="2" s="1"/>
  <c r="I93" i="2"/>
  <c r="K93" i="2" s="1"/>
  <c r="I92" i="2"/>
  <c r="I91" i="2"/>
  <c r="K91" i="2" s="1"/>
  <c r="I89" i="2"/>
  <c r="K89" i="2" s="1"/>
  <c r="I88" i="2"/>
  <c r="K88" i="2" s="1"/>
  <c r="I87" i="2"/>
  <c r="K87" i="2" s="1"/>
  <c r="I86" i="2"/>
  <c r="K86" i="2" s="1"/>
  <c r="I85" i="2"/>
  <c r="K85" i="2" s="1"/>
  <c r="I84" i="2"/>
  <c r="K84" i="2" s="1"/>
  <c r="I83" i="2"/>
  <c r="K83" i="2" s="1"/>
  <c r="I82" i="2"/>
  <c r="K82" i="2" s="1"/>
  <c r="K80" i="2"/>
  <c r="I79" i="2"/>
  <c r="K79" i="2" s="1"/>
  <c r="I78" i="2"/>
  <c r="K78" i="2" s="1"/>
  <c r="I77" i="2"/>
  <c r="K77" i="2" s="1"/>
  <c r="I76" i="2"/>
  <c r="K76" i="2" s="1"/>
  <c r="I75" i="2"/>
  <c r="K75" i="2" s="1"/>
  <c r="I74" i="2"/>
  <c r="K74" i="2" s="1"/>
  <c r="I73" i="2"/>
  <c r="K73" i="2" s="1"/>
  <c r="A73" i="2"/>
  <c r="A74" i="2" s="1"/>
  <c r="A75" i="2" s="1"/>
  <c r="A76" i="2" s="1"/>
  <c r="A77" i="2" s="1"/>
  <c r="A78" i="2" s="1"/>
  <c r="A79" i="2" s="1"/>
  <c r="A80" i="2" s="1"/>
  <c r="I72" i="2"/>
  <c r="K70" i="2"/>
  <c r="K69" i="2"/>
  <c r="I68" i="2"/>
  <c r="K68" i="2" s="1"/>
  <c r="I67" i="2"/>
  <c r="K67" i="2" s="1"/>
  <c r="I66" i="2"/>
  <c r="K66" i="2" s="1"/>
  <c r="I65" i="2"/>
  <c r="K65" i="2" s="1"/>
  <c r="I64" i="2"/>
  <c r="K64" i="2" s="1"/>
  <c r="I63" i="2"/>
  <c r="K63" i="2" s="1"/>
  <c r="I62" i="2"/>
  <c r="K62" i="2" s="1"/>
  <c r="A62" i="2"/>
  <c r="A63" i="2" s="1"/>
  <c r="A64" i="2" s="1"/>
  <c r="A65" i="2" s="1"/>
  <c r="A66" i="2" s="1"/>
  <c r="A67" i="2" s="1"/>
  <c r="A68" i="2" s="1"/>
  <c r="A69" i="2" s="1"/>
  <c r="A70" i="2" s="1"/>
  <c r="I61" i="2"/>
  <c r="K59" i="2"/>
  <c r="K58" i="2"/>
  <c r="K57" i="2"/>
  <c r="I57" i="2"/>
  <c r="I56" i="2"/>
  <c r="K56" i="2" s="1"/>
  <c r="I55" i="2"/>
  <c r="K55" i="2" s="1"/>
  <c r="I54" i="2"/>
  <c r="K54" i="2" s="1"/>
  <c r="I53" i="2"/>
  <c r="K53" i="2" s="1"/>
  <c r="I52" i="2"/>
  <c r="K52" i="2" s="1"/>
  <c r="I51" i="2"/>
  <c r="K48" i="2"/>
  <c r="K47" i="2"/>
  <c r="I43" i="2"/>
  <c r="K43" i="2" s="1"/>
  <c r="I41" i="2"/>
  <c r="K41" i="2" s="1"/>
  <c r="I40" i="2"/>
  <c r="K40" i="2" s="1"/>
  <c r="I39" i="2"/>
  <c r="K39" i="2" s="1"/>
  <c r="I38" i="2"/>
  <c r="I37" i="2"/>
  <c r="K37" i="2" s="1"/>
  <c r="I35" i="2"/>
  <c r="K35" i="2" s="1"/>
  <c r="I34" i="2"/>
  <c r="K34" i="2" s="1"/>
  <c r="I33" i="2"/>
  <c r="K33" i="2" s="1"/>
  <c r="I32" i="2"/>
  <c r="K32" i="2" s="1"/>
  <c r="I31" i="2"/>
  <c r="K31" i="2" s="1"/>
  <c r="I29" i="2"/>
  <c r="K29" i="2" s="1"/>
  <c r="I28" i="2"/>
  <c r="K28" i="2" s="1"/>
  <c r="I27" i="2"/>
  <c r="I26" i="2"/>
  <c r="K26" i="2" s="1"/>
  <c r="A26" i="2"/>
  <c r="A27" i="2" s="1"/>
  <c r="A28" i="2" s="1"/>
  <c r="A29" i="2" s="1"/>
  <c r="I24" i="2"/>
  <c r="K24" i="2" s="1"/>
  <c r="I23" i="2"/>
  <c r="K23" i="2" s="1"/>
  <c r="I21" i="2"/>
  <c r="K21" i="2" s="1"/>
  <c r="I20" i="2"/>
  <c r="K20" i="2" s="1"/>
  <c r="I19" i="2"/>
  <c r="K19" i="2" s="1"/>
  <c r="I18" i="2"/>
  <c r="K18" i="2" s="1"/>
  <c r="I15" i="2"/>
  <c r="K15" i="2" s="1"/>
  <c r="I14" i="2"/>
  <c r="K14" i="2" s="1"/>
  <c r="I141" i="2" l="1"/>
  <c r="I36" i="2"/>
  <c r="I71" i="2"/>
  <c r="I81" i="2"/>
  <c r="I117" i="2"/>
  <c r="I129" i="2"/>
  <c r="I98" i="2"/>
  <c r="I49" i="2"/>
  <c r="I60" i="2"/>
  <c r="K121" i="2"/>
  <c r="I30" i="2"/>
  <c r="K51" i="2"/>
  <c r="K60" i="2" s="1"/>
  <c r="K105" i="2"/>
  <c r="K141" i="2"/>
  <c r="K25" i="2"/>
  <c r="K36" i="2"/>
  <c r="K90" i="2"/>
  <c r="K117" i="2"/>
  <c r="K129" i="2"/>
  <c r="I90" i="2"/>
  <c r="K27" i="2"/>
  <c r="K30" i="2" s="1"/>
  <c r="K38" i="2"/>
  <c r="K49" i="2" s="1"/>
  <c r="K61" i="2"/>
  <c r="K71" i="2" s="1"/>
  <c r="K92" i="2"/>
  <c r="K98" i="2" s="1"/>
  <c r="K106" i="2"/>
  <c r="K118" i="2"/>
  <c r="I25" i="2"/>
  <c r="K72" i="2"/>
  <c r="K81" i="2" s="1"/>
  <c r="I105" i="2"/>
  <c r="K130" i="2"/>
  <c r="K1353" i="1"/>
  <c r="I1353" i="1"/>
  <c r="K1257" i="1"/>
  <c r="I1257" i="1"/>
  <c r="K1179" i="1"/>
  <c r="I1179" i="1"/>
  <c r="K1106" i="1"/>
  <c r="I1106" i="1"/>
  <c r="P1097" i="1"/>
  <c r="K1044" i="1"/>
  <c r="I1044" i="1"/>
  <c r="K816" i="1"/>
  <c r="K901" i="1" s="1"/>
  <c r="I816" i="1"/>
  <c r="I901" i="1" s="1"/>
  <c r="K796" i="1"/>
  <c r="I796" i="1"/>
  <c r="K694" i="1"/>
  <c r="I694" i="1"/>
  <c r="K517" i="1"/>
  <c r="I517" i="1"/>
  <c r="K490" i="1"/>
  <c r="I490" i="1"/>
  <c r="I573" i="1" s="1"/>
  <c r="K445" i="1"/>
  <c r="K450" i="1" s="1"/>
  <c r="I445" i="1"/>
  <c r="I450" i="1" s="1"/>
  <c r="K317" i="1"/>
  <c r="K378" i="1" s="1"/>
  <c r="I317" i="1"/>
  <c r="I378" i="1" s="1"/>
  <c r="K197" i="1"/>
  <c r="K277" i="1" s="1"/>
  <c r="I197" i="1"/>
  <c r="I277" i="1" s="1"/>
  <c r="K193" i="1"/>
  <c r="P194" i="1" s="1"/>
  <c r="I193" i="1"/>
  <c r="K100" i="1"/>
  <c r="I100" i="1"/>
  <c r="A15" i="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K573" i="1" l="1"/>
  <c r="K120" i="2"/>
  <c r="I142" i="2"/>
  <c r="I148" i="2"/>
  <c r="K142" i="2"/>
  <c r="I1354" i="1"/>
  <c r="K1354" i="1"/>
  <c r="P10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I18" authorId="0" shapeId="0" xr:uid="{00000000-0006-0000-0000-000001000000}">
      <text>
        <r>
          <rPr>
            <b/>
            <sz val="9"/>
            <color indexed="81"/>
            <rFont val="Tahoma"/>
            <family val="2"/>
          </rPr>
          <t>User:</t>
        </r>
        <r>
          <rPr>
            <sz val="9"/>
            <color indexed="81"/>
            <rFont val="Tahoma"/>
            <family val="2"/>
          </rPr>
          <t xml:space="preserve">
Phí test ván mdf, giường morgan 90cm, morgan bunk, wilton bunk, morgan 150cm, morgan guest, morgan wardobe, neptune,hamilton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HT</author>
    <author>User</author>
  </authors>
  <commentList>
    <comment ref="H335" authorId="0" shapeId="0" xr:uid="{00000000-0006-0000-0100-000001000000}">
      <text>
        <r>
          <rPr>
            <b/>
            <sz val="9"/>
            <color indexed="81"/>
            <rFont val="Tahoma"/>
            <family val="2"/>
          </rPr>
          <t>HT:</t>
        </r>
        <r>
          <rPr>
            <sz val="9"/>
            <color indexed="81"/>
            <rFont val="Tahoma"/>
            <family val="2"/>
          </rPr>
          <t xml:space="preserve">
phân bổ </t>
        </r>
      </text>
    </comment>
    <comment ref="M490" authorId="0" shapeId="0" xr:uid="{00000000-0006-0000-0100-000002000000}">
      <text>
        <r>
          <rPr>
            <b/>
            <sz val="9"/>
            <color indexed="81"/>
            <rFont val="Tahoma"/>
            <family val="2"/>
          </rPr>
          <t>HT:</t>
        </r>
        <r>
          <rPr>
            <sz val="9"/>
            <color indexed="81"/>
            <rFont val="Tahoma"/>
            <family val="2"/>
          </rPr>
          <t xml:space="preserve">
10/08/2017- thanh toán 1300.000.000</t>
        </r>
      </text>
    </comment>
    <comment ref="I816" authorId="1" shapeId="0" xr:uid="{00000000-0006-0000-0100-000003000000}">
      <text>
        <r>
          <rPr>
            <b/>
            <sz val="9"/>
            <color indexed="81"/>
            <rFont val="Tahoma"/>
            <family val="2"/>
          </rPr>
          <t>User:</t>
        </r>
        <r>
          <rPr>
            <sz val="9"/>
            <color indexed="81"/>
            <rFont val="Tahoma"/>
            <family val="2"/>
          </rPr>
          <t xml:space="preserve">
Phí test ván mdf, giường morgan 90cm, morgan bunk, wilton bunk, morgan 150cm, morgan guest, morgan wardobe, neptune,hamilton
</t>
        </r>
      </text>
    </comment>
    <comment ref="I1097" authorId="0" shapeId="0" xr:uid="{00000000-0006-0000-0100-000004000000}">
      <text>
        <r>
          <rPr>
            <b/>
            <sz val="9"/>
            <color indexed="81"/>
            <rFont val="Tahoma"/>
            <family val="2"/>
          </rPr>
          <t>HT:</t>
        </r>
        <r>
          <rPr>
            <sz val="9"/>
            <color indexed="81"/>
            <rFont val="Tahoma"/>
            <family val="2"/>
          </rPr>
          <t xml:space="preserve">
64225630</t>
        </r>
      </text>
    </comment>
    <comment ref="K1097" authorId="0" shapeId="0" xr:uid="{00000000-0006-0000-0100-000005000000}">
      <text>
        <r>
          <rPr>
            <b/>
            <sz val="9"/>
            <color indexed="81"/>
            <rFont val="Tahoma"/>
            <family val="2"/>
          </rPr>
          <t>HT:</t>
        </r>
        <r>
          <rPr>
            <sz val="9"/>
            <color indexed="81"/>
            <rFont val="Tahoma"/>
            <family val="2"/>
          </rPr>
          <t xml:space="preserve">
6422563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xpsp2</author>
  </authors>
  <commentList>
    <comment ref="C154" authorId="0" shapeId="0" xr:uid="{00000000-0006-0000-0200-000001000000}">
      <text>
        <r>
          <rPr>
            <b/>
            <sz val="8"/>
            <color indexed="81"/>
            <rFont val="Tahoma"/>
            <family val="2"/>
          </rPr>
          <t>xpsp2:</t>
        </r>
        <r>
          <rPr>
            <sz val="8"/>
            <color indexed="81"/>
            <rFont val="Tahoma"/>
            <family val="2"/>
          </rPr>
          <t xml:space="preserve">
BỘ TÀI CHÍNH
--------
CỘNG HÒA XÃ HỘI CHỦ NGHĨA VIỆT NAM
Độc lập - Tự do - Hạnh phúc
---------------
Số: 65/2013/TT-BTC
Hà Nội, ngày 17 tháng 5 năm 2013
THÔNG TƯ
SỬA ĐỔI, BỔ SUNG THÔNG TƯ SỐ 06/2012/TT-BTC NGÀY 11/01/2012 CỦA BỘ TÀI CHÍNH HƯỚNG DẪN THI HÀNH MỘT SỐ ĐIỀU CỦA LUẬT THUẾ GIÁ TRỊ GIA TĂNG, HƯỚNG DẪN THI HÀNH NGHỊ ĐỊNH SỐ 123/2008/NĐ-CP NGÀY 08/12/2008 VÀ NGHỊ ĐỊNH SỐ 121/2011/NĐ-CP NGÀY 27/12/2011 CỦA CHÍNH PHỦ
10. Sửa đổi Khoản 3, Khoản 4 Điều 18 Mục 2 Chương III như sau:
“3. Cơ sở kinh doanh đang hoạt động thuộc đối tượng nộp thuế GTGT theo phương pháp khấu trừ có dự án đầu tư mới cùng tỉnh, thành phố, đang trong giai đoạn đầu tư thì cơ sở kinh doanh phải kê khai bù trừ số thuế GTGT của hàng hóa, dịch vụ mua vào sử dụng cho dự án đầu tư mới cùng với việc kê khai thuế GTGT của hoạt động sản xuất kinh doanh đang thực hiện.
Sau khi bù trừ nếu có số thuế GTGT của hàng hoá, dịch vụ mua vào sử dụng cho đầu tư mà chưa được khấu trừ hết từ 200 triệu đồng trở lên thì được hoàn thuế GTGT cho dự án đầu tư. Trường hợp số thuế GTGT đầu vào của hoạt động sản xuất kinh doanh và dự án đầu tư dưới 200 triệu đồng và 3 tháng chưa được khấu trừ hết thì cơ sở kinh doanh được hoàn thuế theo hướng dẫn tại khoản 1 Điều này.
Trường hợp cơ sở kinh doanh đang hoạt động thuộc đối tượng nộp thuế GTGT theo phương pháp khấu trừ có dự án đầu tư mới tại địa bàn tỉnh, thành phố trực thuộc Trung ương khác với tỉnh, thành phố nơi đóng trụ sở chính, đang trong giai đoạn đầu tư chưa đi vào hoạt động, chưa đăng ký kinh doanh, chưa đăng ký thuế, nếu có số thuế GTGT của hàng hoá, dịch vụ mua vào sử dụng cho đầu tư từ 200 triệu đồng trở lên thì được hoàn thuế GTGT cho dự án đầu tư. Cơ sở kinh doanh phải kê khai, lập hồ sơ hoàn thuế riêng đối với trường hợp này. Trường hợp có ban quản lý dự án thì ban quản lý dự án thực hiện đăng ký, kê khai lập hồ sơ hoàn thuế riêng với cơ quan thuế địa phương nơi đăng ký thuế (trừ ban quản lý dự án cùng địa bàn tỉnh, thành phố nơi đóng trụ sở chính do doanh nghiệp trụ sở chính lập hồ sơ hoàn thuế GTGT). Khi dự án đầu tư thành lập doanh nghiệp mới đã hoàn thành và hoàn tất các thủ tục về đăng ký kinh doanh, đăng ký nộp thuế, cơ sở kinh doanh là chủ dự án đầu tư phải tổng hợp số thuế GTGT phát sinh, số thuế GTGT đã hoàn, số thuế GTGT chưa được hoàn của dự án để bàn giao cho doanh nghiệp mới thành lập để doanh nghiệp mới thực hiện kê khai, nộp thuế và đề nghị hoàn thuế GTGT theo quy định với cơ quan thuế quản lý trực tiếp.
4. Cơ sở kinh doanh trong tháng vừa có hàng hoá, dịch vụ xuất khẩu, vừa có hàng hoá, dịch vụ bán trong nước, nếu có số thuế GTGT đầu vào phát sinh trong tháng chưa được khấu trừ từ 200 triệu đồng trở lên (thuế GTGT đầu vào phát sinh trong tháng bao gồm: thuế GTGT đầu vào phục vụ hoạt động xuất khẩu, phục vụ hoạt động kinh doanh trong nước chịu thuế và thuế GTGT chưa khấu trừ hết từ tháng trước chuyển sang), nhưng sau khi bù trừ với số thuế GTGT đầu ra của hàng hoá, dịch vụ bán trong nước và phân bổ theo tỷ lệ (%) giữa doanh thu hàng hoá, dịch vụ xuất khẩu trong kỳ với tổng doanh thu hàng hóa, dịch vụ chịu thuế của cơ sở kinh doanh trong kỳ, nếu số thuế GTGT đầu vào của hàng hóa dịch vụ xuất khẩu đã tính phân bổ như trên chưa được khấu trừ nhỏ hơn 200 triệu đồng thì cơ sở kinh doanh không được xét hoàn thuế theo tháng, nếu số thuế GTGT đầu vào chưa được khấu trừ từ 200 triệu đồng trở lên thì cơ sở kinh doanh được hoàn thuế GTGT theo tháng đối với hàng hóa, dịch vụ xuất khẩu.
Cụ thể:
Số thuế GTGT chưa khấu trừ hết của tháng
=
Thuế GTGT đầu ra của hàng hóa, dịch vụ bán trong nước
-
Tổng số thuế GTGT đầu vào được khấu trừ phát sinh trong tháng (bao gồm: thuế GTGT đầu vào phục vụ hoạt động xuất khẩu, phục vụ hoạt động kinh doanh trong nước chịu thuế và thuế GTGT chưa khấu trừ hết từ tháng trước chuyển sang)
Số thuế GTGT đầu vào của hàng xuất khẩu
=
Số thuế GTGT chưa khấu trừ hết của tháng
x
Tỷ lệ % doanh thu xuất khẩu / Tổng doanh thu hàng hóa, dịch vụ chịu thuế
Ví dụ:
Tháng 3/2012 Tờ khai thuế GTGT của doanh nghiệp X có số liệu:
- Thuế GTGT kỳ trước chuyển sang: 0,15 tỷ đồng.
- Thuế GTGT đầu vào phục vụ hoạt động xuất khẩu, phục vụ hoạt động kinh doanh trong nước chịu thuế phát sinh trong tháng: 4,8 tỷ đồng.
- Tổng doanh thu (TDT) là 21,6 tỷ, trong đó: doanh thu xuất khẩu (DTXK) là 13,2 tỷ đồng, doanh thu bán trong nước chịu thuế GTGT là 8,4 tỷ đồng.
Tỷ lệ % DTXK/TDT = 13,2/21,6 x 100% = 61%.
- Thuế GTGT đầu ra của hàng hoá, dịch vụ bán trong nước là 0,84 tỷ đồng.
Số thuế GTGT được hoàn theo tháng của hàng xuất khẩu được xác định như sau:
Số thuế GTGT chưa khấu trừ hết của tháng
=
0,84 tỷ đồng
-
(0,15 + 4,8 ) tỷ đồng
=
- 4,11 tỷ đồng.
Như vậy số thuế GTGT chưa khấu trừ hết của tháng là 4,11 tỷ đồng.
- Xác định số thuế GTGT đầu vào của hàng xuất khẩu
Số thuế GTGT đầu vào của hàng xuất khẩu
=
4,11 tỷ đồng
x
61%
=
2,507 tỷ đồng
Số thuế GTGT đầu vào của hàng xuất khẩu (sau khi bù trừ và sau khi phân bổ) chưa khấu trừ hết là 2,507 tỷ đồng lớn hơn (&gt;) 200 triệu, theo đó doanh nghiệp được hoàn 2,507 tỷ đồng tiền thuế GTGT theo tháng. Số thuế GTGT đầu vào của hàng hóa, dịch vụ bán trong nước không được hoàn theo tháng là 1,603 tỷ đồng (1,603 tỷ = 4,11 tỷ - 2,507 tỷ) được chuyển kỳ sau khấu trừ tiếp.”
Điều 2. Tổ chức thực hiện.
1. Thông tư này có hiệu lực từ ngày 01 tháng 7 năm 2013.
2. Trường hợp từ ngày 01/3/2012 bên cho thuê xưởng đã lập hóa đơn, tính thuế GTGT khi cho doanh nghiệp chế xuất thuê xưởng thì các bên lập hóa đơn GTGT điều chỉnh lại hóa đơn đã lập với mức thuế suất thuế GTGT là 0%.
3. Trường hợp từ ngày 01/3/2012 cơ sở kinh doanh không phải là tổ chức tín dụng đã lập hóa đơn, tính thuế GTGT đối với khoản lãi cho tổ chức, cá nhân khác vay vốn thì các bên lập hóa đơn điều chỉnh và thực hiện điều chỉnh lại khoản lãi tiền vay về đối tượng không chịu thuế GTGT. Trường hợp các bên không thực hiện điều chỉnh hóa đơn đã lập, nếu tổ chức vay vốn sử dụng vốn vay phục vụ hoạt động kinh doanh chịu thuế GTGT thì được khấu trừ thuế GTGT đầu vào theo quy định căn cứ hóa đơn GTGT của bên cho vay.
4. Trường hợp hợp đồng cung cấp dịch vụ số hóa cho phía nước ngoài được ký kết trước ngày Thông tư này có hiệu lực thi hành thì thuế GTGT tiếp tục thực hiện như hướng dẫn tại văn bản quy phạm pháp luật tương ứng tại thời điểm ký kết hợp đồng. Trường hợp hợp đồng cung cấp dịch vụ số hóa cho phía nước ngoài được ký kết từ ngày 01/3/2012 thuộc đối tượng chịu thuế GTGT nay thuộc đối tượng áp dụng thuế suất 0% theo quy định tại Thông tư này thì áp dụng theo quy định tại Thông tư này kể từ ngày 01/3/2012.
5. Các nội dung không hướng dẫn tại Thông tư này và các nội dung không trái với nội dung hướng dẫn tại Thông tư này được thực hiện theo quy định tại Thông tư số 06/2012/TT-BTC ngày 11/01/2012 của Bộ Tài chính về thuế giá trị gia tăng.
Trong quá trình thực hiện, nếu có khó khăn, vướng mắc, đề nghị các đơn vị phản ánh về Bộ Tài chính để được hướng dẫn giải quyết kịp thời./.
 </t>
        </r>
      </text>
    </comment>
  </commentList>
</comments>
</file>

<file path=xl/sharedStrings.xml><?xml version="1.0" encoding="utf-8"?>
<sst xmlns="http://schemas.openxmlformats.org/spreadsheetml/2006/main" count="8330" uniqueCount="2367">
  <si>
    <t>BẢNG KÊ HOÁ ĐƠN CHỨNG TỪ HÀNG HOÁ, DỊCH VỤ MUA VÀO</t>
  </si>
  <si>
    <t>(Kèm theo Giấy đề nghị hoàn trả khoản thu NSNN số 02HT/18 ngày 17 tháng 05 năm 2018)</t>
  </si>
  <si>
    <t>[01] Kỳ phát sinh khoản đề nghị hoàn: Từ tháng 03 năm 2017 đến tháng 04 năm 2018</t>
  </si>
  <si>
    <t xml:space="preserve"> -------------------------</t>
  </si>
  <si>
    <r>
      <t>[02]</t>
    </r>
    <r>
      <rPr>
        <sz val="10"/>
        <rFont val="Times New Roman"/>
        <family val="1"/>
      </rPr>
      <t xml:space="preserve"> </t>
    </r>
    <r>
      <rPr>
        <b/>
        <sz val="10"/>
        <rFont val="Times New Roman"/>
        <family val="1"/>
      </rPr>
      <t>Tên người nộp thuế:</t>
    </r>
  </si>
  <si>
    <t>Công ty TNHH Đồi Thông Xanh</t>
  </si>
  <si>
    <r>
      <t>[03] Mã số thuế</t>
    </r>
    <r>
      <rPr>
        <sz val="13"/>
        <rFont val="Times New Roman"/>
        <family val="1"/>
      </rPr>
      <t>:</t>
    </r>
  </si>
  <si>
    <t>0303137349</t>
  </si>
  <si>
    <r>
      <t>[04]</t>
    </r>
    <r>
      <rPr>
        <sz val="10"/>
        <rFont val="Times New Roman"/>
        <family val="1"/>
      </rPr>
      <t xml:space="preserve"> </t>
    </r>
    <r>
      <rPr>
        <b/>
        <sz val="10"/>
        <rFont val="Times New Roman"/>
        <family val="1"/>
      </rPr>
      <t>Tên đại lý thuế:</t>
    </r>
  </si>
  <si>
    <t>[05] Mã số thuế:</t>
  </si>
  <si>
    <t>Đơn vị tiền: đồng Việt Nam</t>
  </si>
  <si>
    <t>STT</t>
  </si>
  <si>
    <t>Hoá đơn, chứng từ, biên lai nộp thuế</t>
  </si>
  <si>
    <t>Tên người bán</t>
  </si>
  <si>
    <t>Mã số thuế người bán</t>
  </si>
  <si>
    <t>Mặt hàng</t>
  </si>
  <si>
    <t xml:space="preserve">Giá trị HHDV
mua vào chưa có thuế
</t>
  </si>
  <si>
    <t xml:space="preserve">Thuế suất
(%)
</t>
  </si>
  <si>
    <t>Thuế GTGT</t>
  </si>
  <si>
    <t>Ghi chú</t>
  </si>
  <si>
    <t>Ký hiệu mẫu hóa đơn</t>
  </si>
  <si>
    <t xml:space="preserve">Ký hiệu </t>
  </si>
  <si>
    <t xml:space="preserve">Số </t>
  </si>
  <si>
    <t>Ngày, tháng, năm phát hành</t>
  </si>
  <si>
    <t>Thanh toán</t>
  </si>
  <si>
    <t>Kỳ báo cáo</t>
  </si>
  <si>
    <t>(1 )</t>
  </si>
  <si>
    <t>(2 )</t>
  </si>
  <si>
    <t>(3 )</t>
  </si>
  <si>
    <t>(4 )</t>
  </si>
  <si>
    <t>(5 )</t>
  </si>
  <si>
    <t>(6 )</t>
  </si>
  <si>
    <t>(7 )</t>
  </si>
  <si>
    <t>(8 )</t>
  </si>
  <si>
    <t>(9 )</t>
  </si>
  <si>
    <t>(10 )</t>
  </si>
  <si>
    <t>CT/16T</t>
  </si>
  <si>
    <t>1609</t>
  </si>
  <si>
    <t>Cty TNHH Cotecna Việt Nam</t>
  </si>
  <si>
    <t>0102056001</t>
  </si>
  <si>
    <t>Phí khử trùng</t>
  </si>
  <si>
    <t>1610</t>
  </si>
  <si>
    <t>TS/16E</t>
  </si>
  <si>
    <t>22065</t>
  </si>
  <si>
    <t>Cty TNHH Phát Triển Công nghệ Thái Sơn</t>
  </si>
  <si>
    <t>0101300842</t>
  </si>
  <si>
    <t>Phí dịch vụ Chữ ký số</t>
  </si>
  <si>
    <t>AA/14P</t>
  </si>
  <si>
    <t>4917</t>
  </si>
  <si>
    <t>Cty Cổ Phần O SEVEN</t>
  </si>
  <si>
    <t>3700550251</t>
  </si>
  <si>
    <t>Vật tư sơn</t>
  </si>
  <si>
    <t>(a)</t>
  </si>
  <si>
    <t>t3</t>
  </si>
  <si>
    <t>LG/17P</t>
  </si>
  <si>
    <t>128</t>
  </si>
  <si>
    <t>Cty Cổ Phần LIGENTIA Việt Nam</t>
  </si>
  <si>
    <t>0311861925</t>
  </si>
  <si>
    <t>Phí chứng từ,hải quan,xếp dỡ..</t>
  </si>
  <si>
    <t>4967</t>
  </si>
  <si>
    <t>1702</t>
  </si>
  <si>
    <t>VH/15P</t>
  </si>
  <si>
    <t>7674</t>
  </si>
  <si>
    <t>Công ty TNHH DV Vận tải và TM Việt Hoa</t>
  </si>
  <si>
    <t>0301972094</t>
  </si>
  <si>
    <t>Phí  dịch vụ hải quan T2/17</t>
  </si>
  <si>
    <t>4995</t>
  </si>
  <si>
    <t>230</t>
  </si>
  <si>
    <t>231</t>
  </si>
  <si>
    <t>DV/16P</t>
  </si>
  <si>
    <t>1272</t>
  </si>
  <si>
    <t>Cty Cổ Phần Giám Định Đại Việt</t>
  </si>
  <si>
    <t>0300561285</t>
  </si>
  <si>
    <t>1273</t>
  </si>
  <si>
    <t>TD/16P</t>
  </si>
  <si>
    <t>41</t>
  </si>
  <si>
    <t>Công Ty TNHH Dịch Vụ Văn Phòng Thanh Diệu</t>
  </si>
  <si>
    <t>0312340266</t>
  </si>
  <si>
    <t xml:space="preserve">Bảng HD lắp ráp </t>
  </si>
  <si>
    <t>42</t>
  </si>
  <si>
    <t>7825</t>
  </si>
  <si>
    <t>Phí  dịch vụ vận chuyển nâng hạ T3/17</t>
  </si>
  <si>
    <t>QV/16P</t>
  </si>
  <si>
    <t>4771</t>
  </si>
  <si>
    <t>Cty TNHH Quỳnh Vũ</t>
  </si>
  <si>
    <t>0303369205</t>
  </si>
  <si>
    <t>Phí gửi chứng từ</t>
  </si>
  <si>
    <t>AC/17E</t>
  </si>
  <si>
    <t>5656614</t>
  </si>
  <si>
    <t>Viettel TPHCM - CN Tập Đoàn Viễn thông  Quân Đội</t>
  </si>
  <si>
    <t>0100109106</t>
  </si>
  <si>
    <t>Cước điện thoại di động T2/2017</t>
  </si>
  <si>
    <t>5656619</t>
  </si>
  <si>
    <t>AA/16P</t>
  </si>
  <si>
    <t>52</t>
  </si>
  <si>
    <t>NT/16P</t>
  </si>
  <si>
    <t>110</t>
  </si>
  <si>
    <t>Công ty TNHH TM-DV Nhật Thể</t>
  </si>
  <si>
    <t>0304531154</t>
  </si>
  <si>
    <t>Keo VU-560</t>
  </si>
  <si>
    <t>NT/14P</t>
  </si>
  <si>
    <t>601</t>
  </si>
  <si>
    <t>Công Ty TNHH SX TM DV Đại Nam Thắng</t>
  </si>
  <si>
    <t>0310085148</t>
  </si>
  <si>
    <t>Nhám các loại.</t>
  </si>
  <si>
    <t>602</t>
  </si>
  <si>
    <t>Nhám Nhật xanh 240</t>
  </si>
  <si>
    <t>TN/14P</t>
  </si>
  <si>
    <t>666</t>
  </si>
  <si>
    <t>Cty TNHH TM DV Toàn Nguyễn</t>
  </si>
  <si>
    <t>0310610823</t>
  </si>
  <si>
    <t>áo bảo hộ lao động</t>
  </si>
  <si>
    <t>VC/17T</t>
  </si>
  <si>
    <t>U 1860094</t>
  </si>
  <si>
    <t>Ngân hàng TMCP Ngoại Thương Việt Nam -C/N Nam Sài Gòn</t>
  </si>
  <si>
    <t>0100112437</t>
  </si>
  <si>
    <t>Phí chuyển tiền</t>
  </si>
  <si>
    <t>U 1860095</t>
  </si>
  <si>
    <t>310</t>
  </si>
  <si>
    <t>TL/15P</t>
  </si>
  <si>
    <t>514</t>
  </si>
  <si>
    <t>CTy TNHH MTV-TM-XNK Thiên Lộc</t>
  </si>
  <si>
    <t>0309401913</t>
  </si>
  <si>
    <t>Gỗ thông 25x100/125/145mm.</t>
  </si>
  <si>
    <t>1526</t>
  </si>
  <si>
    <t>AK/16P</t>
  </si>
  <si>
    <t>2312282</t>
  </si>
  <si>
    <t>Cty XD KV 2 TNHH MTV XN Bán Lẻ Xăng Dầu</t>
  </si>
  <si>
    <t>0300555450-001</t>
  </si>
  <si>
    <t>Dầu D.O</t>
  </si>
  <si>
    <t>PD/15P</t>
  </si>
  <si>
    <t>41468</t>
  </si>
  <si>
    <t>CN 5 Cty TNHH Một Thành Viên Phổ Đình</t>
  </si>
  <si>
    <t>0308455031-005</t>
  </si>
  <si>
    <t>Thức ăn,uống</t>
  </si>
  <si>
    <t>102</t>
  </si>
  <si>
    <t>608</t>
  </si>
  <si>
    <t>CA/11P</t>
  </si>
  <si>
    <t>3771901</t>
  </si>
  <si>
    <t>Cty Dịch vụ Mobifone Khu Vực 2</t>
  </si>
  <si>
    <t>0100686209002</t>
  </si>
  <si>
    <t>3771902</t>
  </si>
  <si>
    <t>3771903</t>
  </si>
  <si>
    <t>3771904</t>
  </si>
  <si>
    <t>3771905</t>
  </si>
  <si>
    <t>XL780121</t>
  </si>
  <si>
    <t>VR/16P</t>
  </si>
  <si>
    <t>4116</t>
  </si>
  <si>
    <t>Cty TNHH Cao Su Việt</t>
  </si>
  <si>
    <t>3700600544</t>
  </si>
  <si>
    <t>Bọc cao su non</t>
  </si>
  <si>
    <t>611</t>
  </si>
  <si>
    <t>KQ/16P</t>
  </si>
  <si>
    <t>12241</t>
  </si>
  <si>
    <t>CN Cty TNHH MTV Lục Kim Quân</t>
  </si>
  <si>
    <t>0310298241-002</t>
  </si>
  <si>
    <t>Xăng RON 95</t>
  </si>
  <si>
    <t>AB/15P</t>
  </si>
  <si>
    <t>12498</t>
  </si>
  <si>
    <t>Cty TNHH TM DV Tân Nam Đô</t>
  </si>
  <si>
    <t>0301349147</t>
  </si>
  <si>
    <t>Kep ghép Titebond 160z-II</t>
  </si>
  <si>
    <t>AA/11P</t>
  </si>
  <si>
    <t>7262</t>
  </si>
  <si>
    <t>Cty TNHH Bao Bì Giấy Tân Long</t>
  </si>
  <si>
    <t>3700709823</t>
  </si>
  <si>
    <t>Thùng carton các loại.</t>
  </si>
  <si>
    <t>AA/17P</t>
  </si>
  <si>
    <t>11963</t>
  </si>
  <si>
    <t>Cty Cổ Phần Bảo Hiểm Nhà Rồng</t>
  </si>
  <si>
    <t>0301458065</t>
  </si>
  <si>
    <t>Bảo Hiểm TNDS,TPX.</t>
  </si>
  <si>
    <t>2487462</t>
  </si>
  <si>
    <t>45</t>
  </si>
  <si>
    <t>Bảng HD lắp ráp giường Hamilton 5'</t>
  </si>
  <si>
    <t>47</t>
  </si>
  <si>
    <t>Bảng hướng dẫn lắp ráp giường Minnever 3'</t>
  </si>
  <si>
    <t>528</t>
  </si>
  <si>
    <t>Gỗ thông 14x85-185mm.</t>
  </si>
  <si>
    <t>AB/16P</t>
  </si>
  <si>
    <t>67745</t>
  </si>
  <si>
    <t>Cty TNHH Sài Gòn Co.op Nam Sài Gòn</t>
  </si>
  <si>
    <t>0305770035</t>
  </si>
  <si>
    <t>Mua đồ dùng văn phòng</t>
  </si>
  <si>
    <t>U 1860078</t>
  </si>
  <si>
    <t>U 1860079</t>
  </si>
  <si>
    <t>U 1860080</t>
  </si>
  <si>
    <t>U 1860081</t>
  </si>
  <si>
    <t>U 1860082</t>
  </si>
  <si>
    <t>U 1860084</t>
  </si>
  <si>
    <t>U 1860086</t>
  </si>
  <si>
    <t>U 1860087</t>
  </si>
  <si>
    <t>U 1860093</t>
  </si>
  <si>
    <t>2487919</t>
  </si>
  <si>
    <t>HP/17T</t>
  </si>
  <si>
    <t>11</t>
  </si>
  <si>
    <t>Cty TNHH TM &amp; DV Anh Hùng Phát</t>
  </si>
  <si>
    <t>0303754581</t>
  </si>
  <si>
    <t>Mua văn phòng phẩm các loại</t>
  </si>
  <si>
    <t>152</t>
  </si>
  <si>
    <t>619</t>
  </si>
  <si>
    <t>2488278</t>
  </si>
  <si>
    <t>QV/17P</t>
  </si>
  <si>
    <t>34</t>
  </si>
  <si>
    <t>GM/15P</t>
  </si>
  <si>
    <t>108</t>
  </si>
  <si>
    <t>Công Ty TNHH GOMI</t>
  </si>
  <si>
    <t>0312276719</t>
  </si>
  <si>
    <t>Gỗ thông xẻ nhập khẩu 32mm .</t>
  </si>
  <si>
    <t>536</t>
  </si>
  <si>
    <t>Gỗ thông 17x75-190mm.</t>
  </si>
  <si>
    <t>539</t>
  </si>
  <si>
    <t>Gỗ thông Newzealand</t>
  </si>
  <si>
    <t>HY/16P</t>
  </si>
  <si>
    <t>171</t>
  </si>
  <si>
    <t>Công Ty TNHH Hưng Yên</t>
  </si>
  <si>
    <t>3700521469</t>
  </si>
  <si>
    <t>Uốn song giường Lancaster 4'6S.</t>
  </si>
  <si>
    <t>NS/16P</t>
  </si>
  <si>
    <t>2221</t>
  </si>
  <si>
    <t>Cty CP Đầu Tư Thương Mại DV Ô TÔ Nam Sài Gòn</t>
  </si>
  <si>
    <t>0313881275</t>
  </si>
  <si>
    <t>Phí sửa chữa,thay vật tư xe.</t>
  </si>
  <si>
    <t>2224</t>
  </si>
  <si>
    <t>XL780221</t>
  </si>
  <si>
    <t>XL780222</t>
  </si>
  <si>
    <t>TP/15P</t>
  </si>
  <si>
    <t>319</t>
  </si>
  <si>
    <t>Công Ty TNHH Cơ Khí TM Trung Phát</t>
  </si>
  <si>
    <t>0313236275</t>
  </si>
  <si>
    <t>Mũi khoan ren M8x6x10.5</t>
  </si>
  <si>
    <t>HP/15P</t>
  </si>
  <si>
    <t>1064</t>
  </si>
  <si>
    <t>Công ty TNHH Bao Bì Giấy Hoàng Phúc</t>
  </si>
  <si>
    <t>0309907227</t>
  </si>
  <si>
    <t>Bộ thùng carton các loại</t>
  </si>
  <si>
    <t>1065</t>
  </si>
  <si>
    <t>625</t>
  </si>
  <si>
    <t>1352</t>
  </si>
  <si>
    <t>Công Ty TNHH Thái Hoàng Phương</t>
  </si>
  <si>
    <t>0303601257</t>
  </si>
  <si>
    <t>Bulon,pat, tán ngang,vít các loại .</t>
  </si>
  <si>
    <t>TL/16P</t>
  </si>
  <si>
    <t>119</t>
  </si>
  <si>
    <t>Công Ty TNHH Nhật Thiên Lộc</t>
  </si>
  <si>
    <t>0312254151</t>
  </si>
  <si>
    <t>Đinh 1010J.</t>
  </si>
  <si>
    <t>211</t>
  </si>
  <si>
    <t>KH/14P</t>
  </si>
  <si>
    <t>1721</t>
  </si>
  <si>
    <t>Công ty TNHH CB NHS Khánh Hà</t>
  </si>
  <si>
    <t>0301482702</t>
  </si>
  <si>
    <t>Tiền  thuê xưởng,vp,rác sinh hoạt T03/2017.</t>
  </si>
  <si>
    <t>1722</t>
  </si>
  <si>
    <t>Tiền rút container T03/2017.</t>
  </si>
  <si>
    <t>1723</t>
  </si>
  <si>
    <t>Phí nâng hàng T03/2017.</t>
  </si>
  <si>
    <t>1858</t>
  </si>
  <si>
    <t>Cty Cổ Phần Kỹ Nghệ Gỗ Long Việt</t>
  </si>
  <si>
    <t>3700584807</t>
  </si>
  <si>
    <t>Phủ veneer Đầu,giường Morgan,Wilton,Cooper,cannes các loại.</t>
  </si>
  <si>
    <t>CA/17P</t>
  </si>
  <si>
    <t>65139</t>
  </si>
  <si>
    <t>Cước điện thoại di động T3/2017</t>
  </si>
  <si>
    <t>Tổng cộng</t>
  </si>
  <si>
    <t>5728</t>
  </si>
  <si>
    <t>Cty TNHH MAERSK Việt Nam</t>
  </si>
  <si>
    <t>0303728327</t>
  </si>
  <si>
    <t>Phí  chứng từ,xếp dỡ,niêm chì...</t>
  </si>
  <si>
    <t>1754</t>
  </si>
  <si>
    <t>8035</t>
  </si>
  <si>
    <t>Phí  dịch vụ hải quan T3/17</t>
  </si>
  <si>
    <t>2155</t>
  </si>
  <si>
    <t>DNTN Vĩ Đương</t>
  </si>
  <si>
    <t>3700533489</t>
  </si>
  <si>
    <t>Pat,bulon,khóa lục giác, các loại.</t>
  </si>
  <si>
    <t>t4</t>
  </si>
  <si>
    <t>129</t>
  </si>
  <si>
    <t>SG/17T</t>
  </si>
  <si>
    <t>164</t>
  </si>
  <si>
    <t>Cty TNHH T &amp; M Forwarding</t>
  </si>
  <si>
    <t>0300992919</t>
  </si>
  <si>
    <t>Phí  vận đơn,phụ phí,xếp dỡ..</t>
  </si>
  <si>
    <t>492</t>
  </si>
  <si>
    <t>530</t>
  </si>
  <si>
    <t>8331</t>
  </si>
  <si>
    <t>8402</t>
  </si>
  <si>
    <t>Phí  vận chuyển, nâng hạ T03/2017</t>
  </si>
  <si>
    <t>AE/17E</t>
  </si>
  <si>
    <t>0131907</t>
  </si>
  <si>
    <t>0131913</t>
  </si>
  <si>
    <t>SQ/15P</t>
  </si>
  <si>
    <t>2301</t>
  </si>
  <si>
    <t>Cty TNHH MTV Sông Quê Phú Mỹ</t>
  </si>
  <si>
    <t>0311957289</t>
  </si>
  <si>
    <t>40151</t>
  </si>
  <si>
    <t>Cty TNHH ẩm Thực Thái Dương</t>
  </si>
  <si>
    <t>0105205290-002</t>
  </si>
  <si>
    <t>10648</t>
  </si>
  <si>
    <t>43099</t>
  </si>
  <si>
    <t>2489463</t>
  </si>
  <si>
    <t>549</t>
  </si>
  <si>
    <t>Gỗ thông 17x90-145mm.</t>
  </si>
  <si>
    <t>PC/16T</t>
  </si>
  <si>
    <t>34875</t>
  </si>
  <si>
    <t>CN Cty TNHH Agrivina tại Tp.HCM</t>
  </si>
  <si>
    <t>5800000167-001</t>
  </si>
  <si>
    <t>Lẵng hoa để bàn tiếp khách</t>
  </si>
  <si>
    <t>632</t>
  </si>
  <si>
    <t>Nhám thùng 150.</t>
  </si>
  <si>
    <t>2304</t>
  </si>
  <si>
    <t>CN Cty TNHH Cao Bồi Nam Mỹ</t>
  </si>
  <si>
    <t>0307161166-004</t>
  </si>
  <si>
    <t>10804</t>
  </si>
  <si>
    <t>Cty TNHH DV và Thức Ăn Nguyên Tố</t>
  </si>
  <si>
    <t>0304731065</t>
  </si>
  <si>
    <t>Ăn uống</t>
  </si>
  <si>
    <t>13137</t>
  </si>
  <si>
    <t>Cty TNHH Lục Kim Quân - CHXD Tân Thuận Long</t>
  </si>
  <si>
    <t>Xăng Ron 95</t>
  </si>
  <si>
    <t>PT/16P</t>
  </si>
  <si>
    <t>09</t>
  </si>
  <si>
    <t>Công Ty TNHH Nhựa Phúc Thịnh</t>
  </si>
  <si>
    <t>0311465135</t>
  </si>
  <si>
    <t>Đầu chụp nhựa 9x70.5mm</t>
  </si>
  <si>
    <t>137</t>
  </si>
  <si>
    <t>289</t>
  </si>
  <si>
    <t>2160</t>
  </si>
  <si>
    <t>Pat,ốc cấy,khóa,bulon,vít các loại .</t>
  </si>
  <si>
    <t>4589</t>
  </si>
  <si>
    <t>Bọc cao su trục chà nhám</t>
  </si>
  <si>
    <t>2327</t>
  </si>
  <si>
    <t>43556</t>
  </si>
  <si>
    <t>Cty TNHH Một Thành Viên Phổ Đình</t>
  </si>
  <si>
    <t>0308455031</t>
  </si>
  <si>
    <t>1420</t>
  </si>
  <si>
    <t>Công ty Cổ Phần Tân Vĩnh Cửu</t>
  </si>
  <si>
    <t>3600524610</t>
  </si>
  <si>
    <t>Gỗ sồi sấy</t>
  </si>
  <si>
    <t>2393</t>
  </si>
  <si>
    <t>XL780207</t>
  </si>
  <si>
    <t>XL780209</t>
  </si>
  <si>
    <t>XL780289</t>
  </si>
  <si>
    <t>XL780290</t>
  </si>
  <si>
    <t>XL780291</t>
  </si>
  <si>
    <t>XL780292</t>
  </si>
  <si>
    <t>635</t>
  </si>
  <si>
    <t>Nhám nhật xanh 240</t>
  </si>
  <si>
    <t>2643381</t>
  </si>
  <si>
    <t>65225</t>
  </si>
  <si>
    <t>65226</t>
  </si>
  <si>
    <t>65227</t>
  </si>
  <si>
    <t>65228</t>
  </si>
  <si>
    <t>TP/16P</t>
  </si>
  <si>
    <t>Công Ty TNHH Một Thành Viên Mai Tuấn Phúc</t>
  </si>
  <si>
    <t>0311684641</t>
  </si>
  <si>
    <t>Xe đẩy hàng inox 1100x550x1100.</t>
  </si>
  <si>
    <t>732</t>
  </si>
  <si>
    <t>7392</t>
  </si>
  <si>
    <t>7393</t>
  </si>
  <si>
    <t>7401</t>
  </si>
  <si>
    <t>2643888</t>
  </si>
  <si>
    <t>Cty Xăng Dầu Khu Vực 2 TNHH MTV</t>
  </si>
  <si>
    <t>0300555450</t>
  </si>
  <si>
    <t>2643889</t>
  </si>
  <si>
    <t>43924</t>
  </si>
  <si>
    <t>DA/17P</t>
  </si>
  <si>
    <t>3635</t>
  </si>
  <si>
    <t>Cty TNHH TM DV đạt Minh Duy</t>
  </si>
  <si>
    <t>0311165364</t>
  </si>
  <si>
    <t>đồ ăn, uống</t>
  </si>
  <si>
    <t>233</t>
  </si>
  <si>
    <t>Chi Nhánh Công Ty CP Phú Tài</t>
  </si>
  <si>
    <t>4100259236007</t>
  </si>
  <si>
    <t>Ván MDF các loại.</t>
  </si>
  <si>
    <t>331</t>
  </si>
  <si>
    <t>640</t>
  </si>
  <si>
    <t>Nhám các loại</t>
  </si>
  <si>
    <t>2620</t>
  </si>
  <si>
    <t>13685</t>
  </si>
  <si>
    <t>2163</t>
  </si>
  <si>
    <t>Bulon,ốc cấy,khóa các loại.</t>
  </si>
  <si>
    <t>Z8160094</t>
  </si>
  <si>
    <t>Z8160096</t>
  </si>
  <si>
    <t>Z8160097</t>
  </si>
  <si>
    <t>Z8160098</t>
  </si>
  <si>
    <t>Z8160099</t>
  </si>
  <si>
    <t>Z8160118</t>
  </si>
  <si>
    <t>HD/16P</t>
  </si>
  <si>
    <t>5159</t>
  </si>
  <si>
    <t>Cty TNHH MTV ẩm Thực Hàng Dương</t>
  </si>
  <si>
    <t>0310978582</t>
  </si>
  <si>
    <t>55</t>
  </si>
  <si>
    <t>Bảng hướng dẫn giường Dakota 5'</t>
  </si>
  <si>
    <t>1517</t>
  </si>
  <si>
    <t>Gỗ sồi xẻ sấy</t>
  </si>
  <si>
    <t>7419</t>
  </si>
  <si>
    <t>7420</t>
  </si>
  <si>
    <t>2644484</t>
  </si>
  <si>
    <t>7427</t>
  </si>
  <si>
    <t>643</t>
  </si>
  <si>
    <t>195</t>
  </si>
  <si>
    <t>Văn phòng phẩm các loại</t>
  </si>
  <si>
    <t>364</t>
  </si>
  <si>
    <t>2601</t>
  </si>
  <si>
    <t>Cty CP đầu tư TM DV ô tô Nam Sài Gòn</t>
  </si>
  <si>
    <t>Thay loa trái, công thay</t>
  </si>
  <si>
    <t>2645228</t>
  </si>
  <si>
    <t>26</t>
  </si>
  <si>
    <t>Côngt Ty TNHH SX-TM Tân Á</t>
  </si>
  <si>
    <t>3700642199</t>
  </si>
  <si>
    <t>Vạt giường  các loại</t>
  </si>
  <si>
    <t>1780</t>
  </si>
  <si>
    <t>Cty TNHH MTV Nhựa Tý Liên</t>
  </si>
  <si>
    <t>1900414220</t>
  </si>
  <si>
    <t>Thùng đựng nước giữ lạnh nhựa các loại</t>
  </si>
  <si>
    <t>2167</t>
  </si>
  <si>
    <t>Pat,bulon,tán ngang,vít,khóa,ốc cấy các loại.</t>
  </si>
  <si>
    <t>10928</t>
  </si>
  <si>
    <t>SU/16P</t>
  </si>
  <si>
    <t>19282</t>
  </si>
  <si>
    <t>Cty TNHH SuShi Uraetei</t>
  </si>
  <si>
    <t>0313399745</t>
  </si>
  <si>
    <t>1101</t>
  </si>
  <si>
    <t>1102</t>
  </si>
  <si>
    <t>1412</t>
  </si>
  <si>
    <t>Pat,bulon,vít các loại .</t>
  </si>
  <si>
    <t>2084</t>
  </si>
  <si>
    <t>Phủ gỗ dán chi tiết các loại giường</t>
  </si>
  <si>
    <t>2085</t>
  </si>
  <si>
    <t>1789</t>
  </si>
  <si>
    <t>Tiền thuê xưởng,vp,rác sinh hoạt T04/2017.</t>
  </si>
  <si>
    <t>1790</t>
  </si>
  <si>
    <t>Tiền rút container T04/2017.</t>
  </si>
  <si>
    <t>1791</t>
  </si>
  <si>
    <t>Phí nâng hàng T04/2017.</t>
  </si>
  <si>
    <t>44868</t>
  </si>
  <si>
    <t>302</t>
  </si>
  <si>
    <t>t5</t>
  </si>
  <si>
    <t>MH/16P</t>
  </si>
  <si>
    <t>229856</t>
  </si>
  <si>
    <t>Cty TNHH Nhà Hàng Món Huế</t>
  </si>
  <si>
    <t>0304790141</t>
  </si>
  <si>
    <t>2621</t>
  </si>
  <si>
    <t>CN/17T</t>
  </si>
  <si>
    <t>186</t>
  </si>
  <si>
    <t>Chi Nhánh Cty TNHH Intertek Việt Nam</t>
  </si>
  <si>
    <t>0100773892-004</t>
  </si>
  <si>
    <t>Phí kiểm nghiệm mẫu hàng các loại (test giường wilton 5'; giường wilton guest bed, kệ morgan 6 hộc, giường wilton bunk xám từ ngày 17/4-19/04/17)</t>
  </si>
  <si>
    <t>346</t>
  </si>
  <si>
    <t>LG17P</t>
  </si>
  <si>
    <t>765</t>
  </si>
  <si>
    <t>Phí chứng từ,HQ,xếp dỡ,niêm chì,,,</t>
  </si>
  <si>
    <t>SG17T</t>
  </si>
  <si>
    <t>764</t>
  </si>
  <si>
    <t>8925</t>
  </si>
  <si>
    <t>Phí  dịch vụ hải quan T4/17</t>
  </si>
  <si>
    <t>TN/15P</t>
  </si>
  <si>
    <t>2749</t>
  </si>
  <si>
    <t>Công ty TNHH TM SX Thảo Nhân</t>
  </si>
  <si>
    <t>0304967222</t>
  </si>
  <si>
    <t>Giấy tự dính</t>
  </si>
  <si>
    <t>8930</t>
  </si>
  <si>
    <t>Phí vận chuyển, nâng hạ T4/17</t>
  </si>
  <si>
    <t>AH/17E</t>
  </si>
  <si>
    <t>3762303</t>
  </si>
  <si>
    <t>Cước điện thoại di động T4/2017</t>
  </si>
  <si>
    <t>3762310</t>
  </si>
  <si>
    <t>AB/17P</t>
  </si>
  <si>
    <t>6397</t>
  </si>
  <si>
    <t>Găng tay cao su, nước suối, bàn chải ….</t>
  </si>
  <si>
    <t>2645878</t>
  </si>
  <si>
    <t>XL780111</t>
  </si>
  <si>
    <t>VR/17P</t>
  </si>
  <si>
    <t>23</t>
  </si>
  <si>
    <t>328</t>
  </si>
  <si>
    <t>Mũi khoan,dao,sữa máy gỗ.</t>
  </si>
  <si>
    <t>918</t>
  </si>
  <si>
    <t>115</t>
  </si>
  <si>
    <t>Gỗ thông xẻ nhập khẩu 25mm .</t>
  </si>
  <si>
    <t>117156</t>
  </si>
  <si>
    <t>40</t>
  </si>
  <si>
    <t>Công Ty TNHH SX-TM Tân Á</t>
  </si>
  <si>
    <t>652</t>
  </si>
  <si>
    <t>7486</t>
  </si>
  <si>
    <t>1032</t>
  </si>
  <si>
    <t>MH/17P</t>
  </si>
  <si>
    <t>1355</t>
  </si>
  <si>
    <t>BD/15P</t>
  </si>
  <si>
    <t>1563</t>
  </si>
  <si>
    <t>Công Ty TNHH SX TM Phong Thạnh</t>
  </si>
  <si>
    <t>3700694165</t>
  </si>
  <si>
    <t>Càng bánh xe 50x21 vít  CT</t>
  </si>
  <si>
    <t>HS/17P</t>
  </si>
  <si>
    <t>163</t>
  </si>
  <si>
    <t>Công Ty TNHH Thương Mại Dịch Vụ Huyền Sang</t>
  </si>
  <si>
    <t>0313676741</t>
  </si>
  <si>
    <t>Mủ cao su Latex</t>
  </si>
  <si>
    <t>1652</t>
  </si>
  <si>
    <t>116</t>
  </si>
  <si>
    <t>Gỗ thông xẻ nhập khẩu 28mm .</t>
  </si>
  <si>
    <t>45516</t>
  </si>
  <si>
    <t>AK/17P</t>
  </si>
  <si>
    <t>117924</t>
  </si>
  <si>
    <t>Z8160068</t>
  </si>
  <si>
    <t>45580</t>
  </si>
  <si>
    <t>248563</t>
  </si>
  <si>
    <t>248564</t>
  </si>
  <si>
    <t>248565</t>
  </si>
  <si>
    <t>248566</t>
  </si>
  <si>
    <t>248567</t>
  </si>
  <si>
    <t>248568</t>
  </si>
  <si>
    <t>485</t>
  </si>
  <si>
    <t>BM/16P</t>
  </si>
  <si>
    <t>5654</t>
  </si>
  <si>
    <t>Cty TNHH MTV Khách Sạn Quốc Tế Bình Minh</t>
  </si>
  <si>
    <t>0312470480</t>
  </si>
  <si>
    <t>2228</t>
  </si>
  <si>
    <t>Phủ veneer giường,kệ,tủ Cooper, Morgan,Ollie,Ayton các loại</t>
  </si>
  <si>
    <t>118384</t>
  </si>
  <si>
    <t>3279</t>
  </si>
  <si>
    <t>170</t>
  </si>
  <si>
    <t>532</t>
  </si>
  <si>
    <t>7549</t>
  </si>
  <si>
    <t>7550</t>
  </si>
  <si>
    <t>119532</t>
  </si>
  <si>
    <t>XL440087</t>
  </si>
  <si>
    <t>Z8160031</t>
  </si>
  <si>
    <t>Z8160032</t>
  </si>
  <si>
    <t>Z8160033</t>
  </si>
  <si>
    <t>Z8160034</t>
  </si>
  <si>
    <t>Z8160035</t>
  </si>
  <si>
    <t>Z8160036</t>
  </si>
  <si>
    <t>Z8160038</t>
  </si>
  <si>
    <t>Z8160039</t>
  </si>
  <si>
    <t>Z8160040</t>
  </si>
  <si>
    <t>335</t>
  </si>
  <si>
    <t>1136</t>
  </si>
  <si>
    <t>1137</t>
  </si>
  <si>
    <t>612</t>
  </si>
  <si>
    <t>Gỗ thông 22x95-180mm.</t>
  </si>
  <si>
    <t>613</t>
  </si>
  <si>
    <t>Gỗ thông 19x75-105mm.</t>
  </si>
  <si>
    <t>46539</t>
  </si>
  <si>
    <t>BC/16E</t>
  </si>
  <si>
    <t>35877</t>
  </si>
  <si>
    <t>CN Cty CP TM Dịch Vụ Cổng Vàng(Tp Hà Nội)</t>
  </si>
  <si>
    <t>0102721191-001</t>
  </si>
  <si>
    <t>8R560017</t>
  </si>
  <si>
    <t>A 8450024</t>
  </si>
  <si>
    <t>1475</t>
  </si>
  <si>
    <t>Pat,vít các loại .</t>
  </si>
  <si>
    <t>37AP/11P</t>
  </si>
  <si>
    <t>7372</t>
  </si>
  <si>
    <t>Công Ty TNHH Lưỡi Cưa An Bình</t>
  </si>
  <si>
    <t>3702301317</t>
  </si>
  <si>
    <t>Lưỡi cưa ĐHK 305x4x48T</t>
  </si>
  <si>
    <t>279284</t>
  </si>
  <si>
    <t>67</t>
  </si>
  <si>
    <t>Bảng hướng dẫn giường White Bunk 3'</t>
  </si>
  <si>
    <t>68</t>
  </si>
  <si>
    <t>Bảng hướng dẫn lắp ráp giường Ayton 5'</t>
  </si>
  <si>
    <t>1871</t>
  </si>
  <si>
    <t>Thuê xưởng,vp,rác sinh hoạt T05/2017.</t>
  </si>
  <si>
    <t>1872</t>
  </si>
  <si>
    <t>Thuê xe nâng rút container T05/2017.</t>
  </si>
  <si>
    <t>1873</t>
  </si>
  <si>
    <t>Thuê xe nâng nâng hàng T05/2017.</t>
  </si>
  <si>
    <t>2361</t>
  </si>
  <si>
    <t>Phủ veneer giường,tủ,mẫu, Morgan,Wilton,Ayton các loại</t>
  </si>
  <si>
    <t>7373</t>
  </si>
  <si>
    <t>Lưỡi cưa ĐHK 355x4x100T</t>
  </si>
  <si>
    <t>7595</t>
  </si>
  <si>
    <t>14326</t>
  </si>
  <si>
    <t>BA/16P</t>
  </si>
  <si>
    <t>1312146</t>
  </si>
  <si>
    <t>Cty TNHH Cao Phong</t>
  </si>
  <si>
    <t>0302309845</t>
  </si>
  <si>
    <t>Quạt đứng Mitsubishi LV 16-RT</t>
  </si>
  <si>
    <t>229980</t>
  </si>
  <si>
    <t>2387</t>
  </si>
  <si>
    <t>KK/17P</t>
  </si>
  <si>
    <t>49</t>
  </si>
  <si>
    <t>Cty TNHH  Khang Khôi</t>
  </si>
  <si>
    <t>0309910540</t>
  </si>
  <si>
    <t>Áo đồng phục vp</t>
  </si>
  <si>
    <t>437</t>
  </si>
  <si>
    <t>t6</t>
  </si>
  <si>
    <t>14535</t>
  </si>
  <si>
    <t>2454</t>
  </si>
  <si>
    <t>1145</t>
  </si>
  <si>
    <t>Phí chứng từ,khai báo,xếp dỡ,niêm chì..</t>
  </si>
  <si>
    <t>14977</t>
  </si>
  <si>
    <t>2468</t>
  </si>
  <si>
    <t>RS/15P</t>
  </si>
  <si>
    <t>137372</t>
  </si>
  <si>
    <t>CN Tại Tp HCM-Cty CP Đầu Tư TM Quốc Tế Mặt Trời Đỏ(Tp HN)</t>
  </si>
  <si>
    <t>0102646635-001</t>
  </si>
  <si>
    <t>50</t>
  </si>
  <si>
    <t>AB/17T</t>
  </si>
  <si>
    <t>23242</t>
  </si>
  <si>
    <t>Cty SGS Việt Nam TNHH</t>
  </si>
  <si>
    <t>0100114025</t>
  </si>
  <si>
    <t>Phí đánh giá chứng nhận FSC COC năm đầu tiên</t>
  </si>
  <si>
    <t>1767</t>
  </si>
  <si>
    <t>15344</t>
  </si>
  <si>
    <t>3493</t>
  </si>
  <si>
    <t>DH/14P</t>
  </si>
  <si>
    <t>1118</t>
  </si>
  <si>
    <t>Cty TNHH Đức Hải</t>
  </si>
  <si>
    <t>3700612469</t>
  </si>
  <si>
    <t>Xe nâng tay AC-30</t>
  </si>
  <si>
    <t>9454</t>
  </si>
  <si>
    <t>15511</t>
  </si>
  <si>
    <t>9480</t>
  </si>
  <si>
    <t>Phí vận chuyển, nâng hạ T5/17</t>
  </si>
  <si>
    <t>617</t>
  </si>
  <si>
    <t>AB/17E</t>
  </si>
  <si>
    <t>7743801</t>
  </si>
  <si>
    <t>Cước điện thoại di động T5/2017</t>
  </si>
  <si>
    <t>7743803</t>
  </si>
  <si>
    <t>XL780095</t>
  </si>
  <si>
    <t>XL780139</t>
  </si>
  <si>
    <t>XL780140</t>
  </si>
  <si>
    <t>XL780141</t>
  </si>
  <si>
    <t>XL780142</t>
  </si>
  <si>
    <t>1485</t>
  </si>
  <si>
    <t>Bulon,vít,tán ngang,ốc cấy,bánh xe các loại .</t>
  </si>
  <si>
    <t>279686</t>
  </si>
  <si>
    <t>631</t>
  </si>
  <si>
    <t>47011</t>
  </si>
  <si>
    <t>173</t>
  </si>
  <si>
    <t>642</t>
  </si>
  <si>
    <t>7614</t>
  </si>
  <si>
    <t>1656</t>
  </si>
  <si>
    <t>3849</t>
  </si>
  <si>
    <t>XL780072</t>
  </si>
  <si>
    <t>681</t>
  </si>
  <si>
    <t>Chi Nhánh Cty TNHH Intertek Viện Nam</t>
  </si>
  <si>
    <t>Phí kiểm nghiệm hàng mẫu các loại.(test màu mẫu -02/06/17)</t>
  </si>
  <si>
    <t>điều chỉnh giảm tháng 03/2018</t>
  </si>
  <si>
    <t>33464</t>
  </si>
  <si>
    <t>899530</t>
  </si>
  <si>
    <t>Trung Tâm Đăng Kiểm Xe Cơ Giới Số 20-06V</t>
  </si>
  <si>
    <t>0100109120039</t>
  </si>
  <si>
    <t>Kiểm định xe Ô tô</t>
  </si>
  <si>
    <t>HA/15P</t>
  </si>
  <si>
    <t>1859</t>
  </si>
  <si>
    <t>Công Ty TNHH Trương Huỳnh Anh</t>
  </si>
  <si>
    <t>0310084708</t>
  </si>
  <si>
    <t>Máy chà nhám điện</t>
  </si>
  <si>
    <t>7634</t>
  </si>
  <si>
    <t>676</t>
  </si>
  <si>
    <t>16</t>
  </si>
  <si>
    <t>Đầu chụp,nối,nẹp  nhựa các loại.</t>
  </si>
  <si>
    <t>677</t>
  </si>
  <si>
    <t>248856</t>
  </si>
  <si>
    <t>248857</t>
  </si>
  <si>
    <t>248858</t>
  </si>
  <si>
    <t>248859</t>
  </si>
  <si>
    <t>281068</t>
  </si>
  <si>
    <t>U 1860008</t>
  </si>
  <si>
    <t>47787</t>
  </si>
  <si>
    <t>Dao 3 ly x6T</t>
  </si>
  <si>
    <t>703</t>
  </si>
  <si>
    <t>281345</t>
  </si>
  <si>
    <t>Cty Xăng Dầu Khu Vực II TNHH MTV Xí Nghiệp Bán Lẻ Xăng Dầu</t>
  </si>
  <si>
    <t>Dầu Diesel</t>
  </si>
  <si>
    <t>111126</t>
  </si>
  <si>
    <t>Cty Cổ Phần Thương Mại Nguyễn Kim</t>
  </si>
  <si>
    <t>0302286281</t>
  </si>
  <si>
    <t>Điện thoại di động iphone 7plus 128gb</t>
  </si>
  <si>
    <t>683</t>
  </si>
  <si>
    <t>718</t>
  </si>
  <si>
    <t>14838</t>
  </si>
  <si>
    <t>Bột giặt,giấy vệ sinh,nước khoáng</t>
  </si>
  <si>
    <t>281653</t>
  </si>
  <si>
    <t>73</t>
  </si>
  <si>
    <t>Bảng hướng dẫn các loại.</t>
  </si>
  <si>
    <t>Keo VU-560.</t>
  </si>
  <si>
    <t>1970</t>
  </si>
  <si>
    <t>Gỗ sồi  17 ABCo,24ABo.</t>
  </si>
  <si>
    <t>1977</t>
  </si>
  <si>
    <t>7685</t>
  </si>
  <si>
    <t>39206</t>
  </si>
  <si>
    <t>U 1860054</t>
  </si>
  <si>
    <t>U 1860056</t>
  </si>
  <si>
    <t>U 1860058</t>
  </si>
  <si>
    <t>U 1860059</t>
  </si>
  <si>
    <t>U 1860060</t>
  </si>
  <si>
    <t>U 1860061</t>
  </si>
  <si>
    <t>U 1860062</t>
  </si>
  <si>
    <t>U 1860064</t>
  </si>
  <si>
    <t>U 1860065</t>
  </si>
  <si>
    <t>U 1860068</t>
  </si>
  <si>
    <t>2007</t>
  </si>
  <si>
    <t>655</t>
  </si>
  <si>
    <t>Gỗ thông 17x90-150/145mm.</t>
  </si>
  <si>
    <t>661</t>
  </si>
  <si>
    <t>Gỗ sồi xẻ nhập khẩu 4/4 1C.</t>
  </si>
  <si>
    <t>662</t>
  </si>
  <si>
    <t>U 1860001</t>
  </si>
  <si>
    <t>U 1860010</t>
  </si>
  <si>
    <t>688</t>
  </si>
  <si>
    <t>23935</t>
  </si>
  <si>
    <t>74</t>
  </si>
  <si>
    <t>Bảng hướng dẫn giường Neptune 3'</t>
  </si>
  <si>
    <t>1184</t>
  </si>
  <si>
    <t>8R580011</t>
  </si>
  <si>
    <t>135</t>
  </si>
  <si>
    <t>769</t>
  </si>
  <si>
    <t>2584</t>
  </si>
  <si>
    <t>Phủ veneer giường,kệ, Morgan,Ollie,Ayton các loại.</t>
  </si>
  <si>
    <t>318</t>
  </si>
  <si>
    <t>Gỗ sồi trắng xẻ châu âu 22mm.</t>
  </si>
  <si>
    <t>1551</t>
  </si>
  <si>
    <t>Bulon,vít,khóa,ánh xe các loại .</t>
  </si>
  <si>
    <t>1552</t>
  </si>
  <si>
    <t>Pat,vít,ốc cấy các loại .</t>
  </si>
  <si>
    <t>1928</t>
  </si>
  <si>
    <t>Thuê xưởng,vp,rác sinh hoạt T06/2017.</t>
  </si>
  <si>
    <t>1929</t>
  </si>
  <si>
    <t>Thuê xe nâng rút container T06/2017.</t>
  </si>
  <si>
    <t>1930</t>
  </si>
  <si>
    <t>Thuê xe nâng nâng hàng T06/2017.</t>
  </si>
  <si>
    <t>48824</t>
  </si>
  <si>
    <t>VH/17P</t>
  </si>
  <si>
    <t>76</t>
  </si>
  <si>
    <t>Phí nâng hạ, vận chuyển  T6/17</t>
  </si>
  <si>
    <t>t7</t>
  </si>
  <si>
    <t>7741</t>
  </si>
  <si>
    <t>79</t>
  </si>
  <si>
    <t>693</t>
  </si>
  <si>
    <t>487874</t>
  </si>
  <si>
    <t>1178</t>
  </si>
  <si>
    <t>U 1860040</t>
  </si>
  <si>
    <t>49558</t>
  </si>
  <si>
    <t>210</t>
  </si>
  <si>
    <t>531166</t>
  </si>
  <si>
    <t>Cước điện thoại di động T6/2017</t>
  </si>
  <si>
    <t>531167</t>
  </si>
  <si>
    <t>531168</t>
  </si>
  <si>
    <t>531169</t>
  </si>
  <si>
    <t>188</t>
  </si>
  <si>
    <t>Cty TNHH Khang Khôi</t>
  </si>
  <si>
    <t>Đồng phục vp</t>
  </si>
  <si>
    <t>VQ/16P</t>
  </si>
  <si>
    <t>982</t>
  </si>
  <si>
    <t>Cty TNHH TM Dịch Vụ Ăn Uống Vườn Quê</t>
  </si>
  <si>
    <t>0313467385</t>
  </si>
  <si>
    <t>488394</t>
  </si>
  <si>
    <t>258</t>
  </si>
  <si>
    <t>Uốn song giường Lancaster 4'6S,5'S.</t>
  </si>
  <si>
    <t>NT/15P</t>
  </si>
  <si>
    <t>449</t>
  </si>
  <si>
    <t>Công Ty TNHH Sản Xuất INox Trang</t>
  </si>
  <si>
    <t>0313095507</t>
  </si>
  <si>
    <t>Thanh Inox</t>
  </si>
  <si>
    <t>702</t>
  </si>
  <si>
    <t>7803</t>
  </si>
  <si>
    <t>878</t>
  </si>
  <si>
    <t>488919</t>
  </si>
  <si>
    <t>LH/16P</t>
  </si>
  <si>
    <t>07</t>
  </si>
  <si>
    <t>Cty TNHH TM Đồng Lực Hưng</t>
  </si>
  <si>
    <t>0307101449</t>
  </si>
  <si>
    <t>Đầu ốc liên kết 12x10,5mm</t>
  </si>
  <si>
    <t>905374</t>
  </si>
  <si>
    <t>U 1860030</t>
  </si>
  <si>
    <t>U 1860031</t>
  </si>
  <si>
    <t>U 1860033</t>
  </si>
  <si>
    <t>U 1860034</t>
  </si>
  <si>
    <t>U 1860037</t>
  </si>
  <si>
    <t>U 1860039</t>
  </si>
  <si>
    <t>U 1860042</t>
  </si>
  <si>
    <t>U 1860049</t>
  </si>
  <si>
    <t>U 1860050</t>
  </si>
  <si>
    <t>U 1860052</t>
  </si>
  <si>
    <t>U 1860069</t>
  </si>
  <si>
    <t>U 1860088</t>
  </si>
  <si>
    <t>08</t>
  </si>
  <si>
    <t>Bản lề bật 7110A</t>
  </si>
  <si>
    <t>663162</t>
  </si>
  <si>
    <t>18</t>
  </si>
  <si>
    <t>663292</t>
  </si>
  <si>
    <t>663436</t>
  </si>
  <si>
    <t>904</t>
  </si>
  <si>
    <t>84</t>
  </si>
  <si>
    <t>Bảng HD lắp ráp giường Wilton CC 3'</t>
  </si>
  <si>
    <t>87</t>
  </si>
  <si>
    <t>Bảng HD lắp ráp đầu giường Cannes 3'</t>
  </si>
  <si>
    <t>337</t>
  </si>
  <si>
    <t>663676</t>
  </si>
  <si>
    <t>2273</t>
  </si>
  <si>
    <t>Cty Cổ Phần Tân Vĩnh Cửu</t>
  </si>
  <si>
    <t>Gỗ sồi 17 ABCO,22ABO,50BO.</t>
  </si>
  <si>
    <t>21228</t>
  </si>
  <si>
    <t>Trà,túi đựng rác các loại</t>
  </si>
  <si>
    <t>709</t>
  </si>
  <si>
    <t>883</t>
  </si>
  <si>
    <t>Chi Nhánh Công Ty  Cổ Phần Công Nghệ F5</t>
  </si>
  <si>
    <t>0102028438-001</t>
  </si>
  <si>
    <t>Máy hút bụi công nghiệp 80L.</t>
  </si>
  <si>
    <t>CT/15P</t>
  </si>
  <si>
    <t>1847</t>
  </si>
  <si>
    <t>Công Ty TNHH Gia Cường Thịnh</t>
  </si>
  <si>
    <t>0303324123</t>
  </si>
  <si>
    <t>Càng bánh xe 40x20 dđ  CT PU.</t>
  </si>
  <si>
    <t>91</t>
  </si>
  <si>
    <t>Bảng HD lắp ráp các loại.</t>
  </si>
  <si>
    <t>192</t>
  </si>
  <si>
    <t>692</t>
  </si>
  <si>
    <t>Gỗ thông xẻ nhập khẩu 25x98/135mm.</t>
  </si>
  <si>
    <t>Gỗ thông xẻ nhập khẩu 25x100mm.</t>
  </si>
  <si>
    <t>920</t>
  </si>
  <si>
    <t>7859</t>
  </si>
  <si>
    <t>U 1860191</t>
  </si>
  <si>
    <t>1221</t>
  </si>
  <si>
    <t>1222</t>
  </si>
  <si>
    <t>1223</t>
  </si>
  <si>
    <t>1620</t>
  </si>
  <si>
    <t>Bulon,pat,tán ngang,vít các loại .</t>
  </si>
  <si>
    <t>714</t>
  </si>
  <si>
    <t>1445</t>
  </si>
  <si>
    <t>Phí kiểm nghiệm kệ 6 H,tủ 2 cánh Wilton.</t>
  </si>
  <si>
    <t>1988</t>
  </si>
  <si>
    <t>Thuê xưởng,văn phòng,rác sinh hoạt T07/2017</t>
  </si>
  <si>
    <t>1989</t>
  </si>
  <si>
    <t>Thuê xe nâng nâng hàng tháng 07/2017.</t>
  </si>
  <si>
    <t>2829</t>
  </si>
  <si>
    <t>Phủ veneer tủ,kệ,giường Wilton,Cooper,Ayton,Morgan các loại</t>
  </si>
  <si>
    <t>2830</t>
  </si>
  <si>
    <t>Ván MDF 4.75x1220x2440 E2.</t>
  </si>
  <si>
    <t>AA/17E</t>
  </si>
  <si>
    <t>3865788</t>
  </si>
  <si>
    <t>Trung tâm KD VNPT TPHCM - CN Tổng Công ty DV Viễn Thông</t>
  </si>
  <si>
    <t>0106869738005</t>
  </si>
  <si>
    <t>Cước sử dụng dịch vụ  điện thoại T5/17</t>
  </si>
  <si>
    <t>2565</t>
  </si>
  <si>
    <t>209</t>
  </si>
  <si>
    <t>2587</t>
  </si>
  <si>
    <t>269</t>
  </si>
  <si>
    <t>4095</t>
  </si>
  <si>
    <t>16668</t>
  </si>
  <si>
    <t>Cty TNHHH MTV Lục Kim Quân</t>
  </si>
  <si>
    <t>0310298241</t>
  </si>
  <si>
    <t>Xăng Ron 95.</t>
  </si>
  <si>
    <t>2614</t>
  </si>
  <si>
    <t>KS/17T</t>
  </si>
  <si>
    <t>31480</t>
  </si>
  <si>
    <t>Cty TNHH Kuehne + Nagel</t>
  </si>
  <si>
    <t>0312658789</t>
  </si>
  <si>
    <t>4313</t>
  </si>
  <si>
    <t>14</t>
  </si>
  <si>
    <t>Phí dịch vụ hải quan T6/17</t>
  </si>
  <si>
    <t>16965</t>
  </si>
  <si>
    <t>AL/17E</t>
  </si>
  <si>
    <t>2862221</t>
  </si>
  <si>
    <t>Cước điện thoại</t>
  </si>
  <si>
    <t>2862241</t>
  </si>
  <si>
    <t>2226</t>
  </si>
  <si>
    <t>4955540</t>
  </si>
  <si>
    <t>Cước sử dụng dịch vụ  điện thoại T6/17</t>
  </si>
  <si>
    <t>830</t>
  </si>
  <si>
    <t>Vật tư sơn các loại.</t>
  </si>
  <si>
    <t>t8</t>
  </si>
  <si>
    <t>467</t>
  </si>
  <si>
    <t>2704</t>
  </si>
  <si>
    <t>AH/16E</t>
  </si>
  <si>
    <t>25372</t>
  </si>
  <si>
    <t>4710</t>
  </si>
  <si>
    <t>17648</t>
  </si>
  <si>
    <t>2716</t>
  </si>
  <si>
    <t>855</t>
  </si>
  <si>
    <t>PM/14P</t>
  </si>
  <si>
    <t>2322</t>
  </si>
  <si>
    <t>Cty TNHH Thương Mại Phan Minh FMC-V.N</t>
  </si>
  <si>
    <t>0312624282</t>
  </si>
  <si>
    <t>50060</t>
  </si>
  <si>
    <t>2743</t>
  </si>
  <si>
    <t>25614</t>
  </si>
  <si>
    <t>18102</t>
  </si>
  <si>
    <t>2760</t>
  </si>
  <si>
    <t>908</t>
  </si>
  <si>
    <t>359</t>
  </si>
  <si>
    <t>Phí dịch vụ khai hải quan T7/17</t>
  </si>
  <si>
    <t>557</t>
  </si>
  <si>
    <t>459</t>
  </si>
  <si>
    <t>Phí vận chuyển,nâng hạ T7/17</t>
  </si>
  <si>
    <t>664030</t>
  </si>
  <si>
    <t>2783</t>
  </si>
  <si>
    <t>50772</t>
  </si>
  <si>
    <t>TD/17P</t>
  </si>
  <si>
    <t>11772</t>
  </si>
  <si>
    <t>Cty TNHH Ẩm thực Thái Dương - CN Thành phố Hồ Chí Minh</t>
  </si>
  <si>
    <t>SA/17P</t>
  </si>
  <si>
    <t>1217</t>
  </si>
  <si>
    <t>Công ty TNHH Ô tô Ngôi Sao Việt Nam</t>
  </si>
  <si>
    <t>0303313001</t>
  </si>
  <si>
    <t>Ô tô con Meecedes -Benz GLC300 4 MATIC</t>
  </si>
  <si>
    <t>bct8</t>
  </si>
  <si>
    <t>1631</t>
  </si>
  <si>
    <t>Khóa,Bulon,pat,tán ngang,vít,bạt,bánh xe các loại .</t>
  </si>
  <si>
    <t>AN/17E</t>
  </si>
  <si>
    <t>5312506</t>
  </si>
  <si>
    <t>5312518</t>
  </si>
  <si>
    <t>184</t>
  </si>
  <si>
    <t>Xe đẩy 1100x500x1100</t>
  </si>
  <si>
    <t>717</t>
  </si>
  <si>
    <t>2803</t>
  </si>
  <si>
    <t>50915</t>
  </si>
  <si>
    <t>664581</t>
  </si>
  <si>
    <t>94</t>
  </si>
  <si>
    <t>997</t>
  </si>
  <si>
    <t>664932</t>
  </si>
  <si>
    <t>1019</t>
  </si>
  <si>
    <t>1627</t>
  </si>
  <si>
    <t>Cty TNHH Công Nghiệp Fusheng Việt Nam</t>
  </si>
  <si>
    <t>3600259881</t>
  </si>
  <si>
    <t>Dầu FS,ruột lọc khí,phao xả nước..</t>
  </si>
  <si>
    <t>6482226</t>
  </si>
  <si>
    <t>Cước sử dụng dịch vụ  điện thoại T7/17</t>
  </si>
  <si>
    <t>27186</t>
  </si>
  <si>
    <t>6581453</t>
  </si>
  <si>
    <t>6620864</t>
  </si>
  <si>
    <t>53050050</t>
  </si>
  <si>
    <t>XM 050148</t>
  </si>
  <si>
    <t>139</t>
  </si>
  <si>
    <t>Gỗ sồi xẻ nhập khẩu 4/4.</t>
  </si>
  <si>
    <t>57694</t>
  </si>
  <si>
    <t>Chi nhánh Cty TNHH Thực phẩm Tân Việt Nhật</t>
  </si>
  <si>
    <t>0306340691-001</t>
  </si>
  <si>
    <t>Thức ăn, thức uống</t>
  </si>
  <si>
    <t>531486</t>
  </si>
  <si>
    <t>Cước điện thoại di động T7/2017</t>
  </si>
  <si>
    <t>531487</t>
  </si>
  <si>
    <t>531488</t>
  </si>
  <si>
    <t>531489</t>
  </si>
  <si>
    <t>1541</t>
  </si>
  <si>
    <t>Phí kiểm nghiệm giường Wilton 150cm storage bed</t>
  </si>
  <si>
    <t>2982</t>
  </si>
  <si>
    <t>Phủ ván các loại.</t>
  </si>
  <si>
    <t>51739</t>
  </si>
  <si>
    <t>24670162</t>
  </si>
  <si>
    <t>24670163</t>
  </si>
  <si>
    <t>24670164</t>
  </si>
  <si>
    <t>24670165</t>
  </si>
  <si>
    <t>24670166</t>
  </si>
  <si>
    <t>24670170</t>
  </si>
  <si>
    <t>24670171</t>
  </si>
  <si>
    <t>24670172</t>
  </si>
  <si>
    <t>24670173</t>
  </si>
  <si>
    <t>24670174</t>
  </si>
  <si>
    <t>24670175</t>
  </si>
  <si>
    <t>24670177</t>
  </si>
  <si>
    <t>24670181</t>
  </si>
  <si>
    <t>XL78 152</t>
  </si>
  <si>
    <t>XL78 0154</t>
  </si>
  <si>
    <t>2414</t>
  </si>
  <si>
    <t>Keo ghép Titebond 160z-II</t>
  </si>
  <si>
    <t>PC/17T</t>
  </si>
  <si>
    <t>3087</t>
  </si>
  <si>
    <t>710</t>
  </si>
  <si>
    <t>Gỗ thông xẻ nhập khẩu 17x90-200mm.</t>
  </si>
  <si>
    <t>2429</t>
  </si>
  <si>
    <t>TN/16P</t>
  </si>
  <si>
    <t>4812</t>
  </si>
  <si>
    <t>CTY CP Tháp Ngà</t>
  </si>
  <si>
    <t>0310502585</t>
  </si>
  <si>
    <t>876221</t>
  </si>
  <si>
    <t>4820</t>
  </si>
  <si>
    <t>247</t>
  </si>
  <si>
    <t>876600</t>
  </si>
  <si>
    <t>1075</t>
  </si>
  <si>
    <t>731</t>
  </si>
  <si>
    <t>876905</t>
  </si>
  <si>
    <t>343</t>
  </si>
  <si>
    <t>Đắp dao bào,sữa chữa máy ghép.</t>
  </si>
  <si>
    <t>DB07 0129</t>
  </si>
  <si>
    <t>DB07 0130</t>
  </si>
  <si>
    <t>DB07 0132</t>
  </si>
  <si>
    <t>DB07 0135</t>
  </si>
  <si>
    <t>DB07 0136</t>
  </si>
  <si>
    <t>344</t>
  </si>
  <si>
    <t>Gia công cốt máy bào 4 mặt.</t>
  </si>
  <si>
    <t>1093</t>
  </si>
  <si>
    <t>877251</t>
  </si>
  <si>
    <t>8003</t>
  </si>
  <si>
    <t>VL/16P</t>
  </si>
  <si>
    <t>699</t>
  </si>
  <si>
    <t>Công Ty Cổ Phần IN Vườn Lài</t>
  </si>
  <si>
    <t>0301316335</t>
  </si>
  <si>
    <t>Tem các loại.</t>
  </si>
  <si>
    <t>1257</t>
  </si>
  <si>
    <t>1259</t>
  </si>
  <si>
    <t>1260</t>
  </si>
  <si>
    <t>1693</t>
  </si>
  <si>
    <t>Bulon,tán ngang,ốc cấy các loại .</t>
  </si>
  <si>
    <t>1694</t>
  </si>
  <si>
    <t>Pat vai,vít,khóa,ốc cấy,lò xo các loại .</t>
  </si>
  <si>
    <t>726</t>
  </si>
  <si>
    <t>Gỗ thông xẻ nhập khẩu 22x95-145mm.</t>
  </si>
  <si>
    <t>740</t>
  </si>
  <si>
    <t>952</t>
  </si>
  <si>
    <t>Phí dịch vụ khai hải quan T8/17</t>
  </si>
  <si>
    <t>1053</t>
  </si>
  <si>
    <t>1189</t>
  </si>
  <si>
    <t>Phí vận chuyển,nâng hạ T8/17</t>
  </si>
  <si>
    <t>2067</t>
  </si>
  <si>
    <t>Thuê xưởng,văn phòng,rác sinh hoạt T08.</t>
  </si>
  <si>
    <t>2068</t>
  </si>
  <si>
    <t>Thuê xe nâng  rút container T08/2017.</t>
  </si>
  <si>
    <t>2069</t>
  </si>
  <si>
    <t>Thuê xe nâng nâng hàng T08/2017.</t>
  </si>
  <si>
    <t>3100</t>
  </si>
  <si>
    <t>Phủ veneer Đầu,giường,tủ,kệ Cannes,Wilton cáo loại.</t>
  </si>
  <si>
    <t>2381</t>
  </si>
  <si>
    <t>Phí  vận đơn,xếp dỡ,seal</t>
  </si>
  <si>
    <t>2382</t>
  </si>
  <si>
    <t>Phí  giao hàng</t>
  </si>
  <si>
    <t>35690</t>
  </si>
  <si>
    <t>Phí  vận đơn,niêm chì,xếp dỡ..</t>
  </si>
  <si>
    <t>2626</t>
  </si>
  <si>
    <t>8177</t>
  </si>
  <si>
    <t>35866</t>
  </si>
  <si>
    <t>2796</t>
  </si>
  <si>
    <t>728</t>
  </si>
  <si>
    <t>8387</t>
  </si>
  <si>
    <t>50981</t>
  </si>
  <si>
    <t>45026</t>
  </si>
  <si>
    <t>SG/16P</t>
  </si>
  <si>
    <t>Cty Cổ Phần Thế Giới Hải Sản Sài Gòn</t>
  </si>
  <si>
    <t>0313896296</t>
  </si>
  <si>
    <t>DC/17E</t>
  </si>
  <si>
    <t>2005</t>
  </si>
  <si>
    <t>Cty Cổ Phần ẩm Thực Chảo Đỏ</t>
  </si>
  <si>
    <t>0303988050</t>
  </si>
  <si>
    <t>828</t>
  </si>
  <si>
    <t>Phí niêm chì,xếp dỡ,quản lý chứng từ..</t>
  </si>
  <si>
    <t>42074</t>
  </si>
  <si>
    <t>2859</t>
  </si>
  <si>
    <t>19289</t>
  </si>
  <si>
    <t>869</t>
  </si>
  <si>
    <t>CN/17P</t>
  </si>
  <si>
    <t>Chi Nhánh Cty TNHH Hải Sản 68</t>
  </si>
  <si>
    <t>0313492141-001</t>
  </si>
  <si>
    <t>8766</t>
  </si>
  <si>
    <t>19580</t>
  </si>
  <si>
    <t>929</t>
  </si>
  <si>
    <t>RS/17P</t>
  </si>
  <si>
    <t>28398</t>
  </si>
  <si>
    <t>877555</t>
  </si>
  <si>
    <t>46155</t>
  </si>
  <si>
    <t>1001</t>
  </si>
  <si>
    <t>2691</t>
  </si>
  <si>
    <t>Phí gửi hàng hóa.</t>
  </si>
  <si>
    <t>19811</t>
  </si>
  <si>
    <t>9187</t>
  </si>
  <si>
    <t>AQ/17E</t>
  </si>
  <si>
    <t>0487497</t>
  </si>
  <si>
    <t>0487511</t>
  </si>
  <si>
    <t>8R580031</t>
  </si>
  <si>
    <t>HN/17P</t>
  </si>
  <si>
    <t>705</t>
  </si>
  <si>
    <t>Cty TNHH ẩm Thực Hoàng Mao</t>
  </si>
  <si>
    <t>0313476950</t>
  </si>
  <si>
    <t>8039</t>
  </si>
  <si>
    <t>t9</t>
  </si>
  <si>
    <t>8040</t>
  </si>
  <si>
    <t>878158</t>
  </si>
  <si>
    <t>10</t>
  </si>
  <si>
    <t>Lưỡi cưa 305x4x25.4x100T</t>
  </si>
  <si>
    <t>1038</t>
  </si>
  <si>
    <t>3167</t>
  </si>
  <si>
    <t>Phủ veneer Đầu giường Cannes 4'6S.</t>
  </si>
  <si>
    <t>23707</t>
  </si>
  <si>
    <t>Cty TNHH Tin Học Thành Nhân</t>
  </si>
  <si>
    <t>0302802641</t>
  </si>
  <si>
    <t>Máy tính xách tay Acer</t>
  </si>
  <si>
    <t>Lưỡi cưa ĐHK 305x2.3x25.4x36T</t>
  </si>
  <si>
    <t>HP/17P</t>
  </si>
  <si>
    <t>255</t>
  </si>
  <si>
    <t>Cty TNHH TM SX Đồ Gỗ Huỳnh Phúc</t>
  </si>
  <si>
    <t>0312515477</t>
  </si>
  <si>
    <t>Bàn văn phòng 70x1.4</t>
  </si>
  <si>
    <t>1175</t>
  </si>
  <si>
    <t>8047</t>
  </si>
  <si>
    <t>57112</t>
  </si>
  <si>
    <t>Cty TNHH Sài Gòn Co-op Fairpice.</t>
  </si>
  <si>
    <t>0312263124</t>
  </si>
  <si>
    <t>Chổi ,trà,bàn chải...</t>
  </si>
  <si>
    <t>57113</t>
  </si>
  <si>
    <t>7413044</t>
  </si>
  <si>
    <t>147</t>
  </si>
  <si>
    <t>Đinh 1010J</t>
  </si>
  <si>
    <t>8054</t>
  </si>
  <si>
    <t>9296</t>
  </si>
  <si>
    <t>7751668</t>
  </si>
  <si>
    <t>7798806</t>
  </si>
  <si>
    <t>729</t>
  </si>
  <si>
    <t>Gỗ thông xẻ nhập khẩu 19x150-200mm.</t>
  </si>
  <si>
    <t>1061</t>
  </si>
  <si>
    <t>878644</t>
  </si>
  <si>
    <t>AS/16P</t>
  </si>
  <si>
    <t>581</t>
  </si>
  <si>
    <t>Cty TNHH MTV TM DV Như ý Abrasiver</t>
  </si>
  <si>
    <t>0313686926</t>
  </si>
  <si>
    <t>Vải nhám(xút giặt nhám).</t>
  </si>
  <si>
    <t>747</t>
  </si>
  <si>
    <t>BQ/16E</t>
  </si>
  <si>
    <t>16843</t>
  </si>
  <si>
    <t>8071</t>
  </si>
  <si>
    <t>531801</t>
  </si>
  <si>
    <t>Cước điện thoại di động T8/2017</t>
  </si>
  <si>
    <t>531802</t>
  </si>
  <si>
    <t>531803</t>
  </si>
  <si>
    <t>531804</t>
  </si>
  <si>
    <t>347</t>
  </si>
  <si>
    <t>Dao bào, router,mũi khoan,xi lanh.</t>
  </si>
  <si>
    <t>1071075</t>
  </si>
  <si>
    <t>8450009</t>
  </si>
  <si>
    <t>A 8450015</t>
  </si>
  <si>
    <t>20</t>
  </si>
  <si>
    <t>349</t>
  </si>
  <si>
    <t>Role áp xuất</t>
  </si>
  <si>
    <t>1071278</t>
  </si>
  <si>
    <t>Gỗ thông xẻ nhập khẩu 22x75-145mm.</t>
  </si>
  <si>
    <t>734</t>
  </si>
  <si>
    <t>Gỗ thông xẻ nhập khẩu 1 com 4/4.</t>
  </si>
  <si>
    <t>735</t>
  </si>
  <si>
    <t>109</t>
  </si>
  <si>
    <t>Bảng hướng dẫn kệ Wilton 6 hộc</t>
  </si>
  <si>
    <t>Bảng hướng dẫn giường Morgan 4'S.</t>
  </si>
  <si>
    <t>111</t>
  </si>
  <si>
    <t>Bảng hướng dẫn Kệ Morgan 6 hộc.</t>
  </si>
  <si>
    <t>146</t>
  </si>
  <si>
    <t>Gỗ thông xẻ nhập khẩu 25mm.</t>
  </si>
  <si>
    <t>1239</t>
  </si>
  <si>
    <t>3243</t>
  </si>
  <si>
    <t>Phủ veneer giường,tủ,kệ Wilton,Cooper,Morgan,Ollie,Hamilton</t>
  </si>
  <si>
    <t>1071597</t>
  </si>
  <si>
    <t>753</t>
  </si>
  <si>
    <t>2995</t>
  </si>
  <si>
    <t>3387</t>
  </si>
  <si>
    <t>1967</t>
  </si>
  <si>
    <t>1072074</t>
  </si>
  <si>
    <t>U 1860138</t>
  </si>
  <si>
    <t>U 1860139</t>
  </si>
  <si>
    <t>U 1860140</t>
  </si>
  <si>
    <t>U 1860141</t>
  </si>
  <si>
    <t>U 1860142</t>
  </si>
  <si>
    <t>U 1860144</t>
  </si>
  <si>
    <t>U 1860146</t>
  </si>
  <si>
    <t>741</t>
  </si>
  <si>
    <t>Gỗ thông xẻ nhập khẩu 19x85mm.</t>
  </si>
  <si>
    <t>3007</t>
  </si>
  <si>
    <t>22614</t>
  </si>
  <si>
    <t>3691</t>
  </si>
  <si>
    <t>Công Ty TNHH TECHBOND Việt Nam</t>
  </si>
  <si>
    <t>3700424401</t>
  </si>
  <si>
    <t>Keo Techbond L5570</t>
  </si>
  <si>
    <t>1113639</t>
  </si>
  <si>
    <t>Cước điện thoại di động T9/2017</t>
  </si>
  <si>
    <t>743</t>
  </si>
  <si>
    <t>Gỗ thông xẻ nhập khẩu 22x120mm.</t>
  </si>
  <si>
    <t>118</t>
  </si>
  <si>
    <t>122</t>
  </si>
  <si>
    <t>Bảng hướng dẫn giường Morgan Guest bed  3'S</t>
  </si>
  <si>
    <t>123</t>
  </si>
  <si>
    <t>Bảng hướng dẫn giường Juno Single 3'</t>
  </si>
  <si>
    <t>293</t>
  </si>
  <si>
    <t>1307</t>
  </si>
  <si>
    <t>Gỗ sồi xẻ nhập khẩu 1 Com 4/4.</t>
  </si>
  <si>
    <t>1662</t>
  </si>
  <si>
    <t>Phí vận chuyển,nâng hạ T9/17</t>
  </si>
  <si>
    <t>XL780052</t>
  </si>
  <si>
    <t>XL780053</t>
  </si>
  <si>
    <t>XL780054</t>
  </si>
  <si>
    <t>419</t>
  </si>
  <si>
    <t>Ván MDF E1,CP2.</t>
  </si>
  <si>
    <t>760</t>
  </si>
  <si>
    <t>761</t>
  </si>
  <si>
    <t>1306</t>
  </si>
  <si>
    <t>420</t>
  </si>
  <si>
    <t>Gỗ sồi 22mm FSC 100% AB.</t>
  </si>
  <si>
    <t>1765</t>
  </si>
  <si>
    <t>Bulon,pat các loại .</t>
  </si>
  <si>
    <t>1771</t>
  </si>
  <si>
    <t>2092</t>
  </si>
  <si>
    <t>Thuê xưởng,văn phòng,rác sinh hoạt T09.</t>
  </si>
  <si>
    <t>2093</t>
  </si>
  <si>
    <t>Thuê xe nâng  rút container T09.</t>
  </si>
  <si>
    <t>2094</t>
  </si>
  <si>
    <t>Thuên xe nâng nâng hàng T09.</t>
  </si>
  <si>
    <t>32433</t>
  </si>
  <si>
    <t>3798</t>
  </si>
  <si>
    <t>Phí vận đơn,phí seal,dỡ..</t>
  </si>
  <si>
    <t>47305</t>
  </si>
  <si>
    <t>Phí chứng từ,quản lý,xếp dỡ...</t>
  </si>
  <si>
    <t>1198</t>
  </si>
  <si>
    <t>1414</t>
  </si>
  <si>
    <t>Phí dịch vụ khai hải quan T9/17</t>
  </si>
  <si>
    <t>9525</t>
  </si>
  <si>
    <t>1255</t>
  </si>
  <si>
    <t>1120</t>
  </si>
  <si>
    <t>9546</t>
  </si>
  <si>
    <t>48349</t>
  </si>
  <si>
    <t>1726</t>
  </si>
  <si>
    <t>1073095</t>
  </si>
  <si>
    <t>AR/17E</t>
  </si>
  <si>
    <t>5346985</t>
  </si>
  <si>
    <t>5346994</t>
  </si>
  <si>
    <t>1298</t>
  </si>
  <si>
    <t>9997</t>
  </si>
  <si>
    <t>10010</t>
  </si>
  <si>
    <t>SH/16P</t>
  </si>
  <si>
    <t>Công Ty TNHH Tân Kim Sơn Hà</t>
  </si>
  <si>
    <t>3701400227</t>
  </si>
  <si>
    <t>Gỗ cao su xẻ sấy.</t>
  </si>
  <si>
    <t>t10</t>
  </si>
  <si>
    <t>1073678</t>
  </si>
  <si>
    <t>1073694</t>
  </si>
  <si>
    <t>XL78006</t>
  </si>
  <si>
    <t>XL78007</t>
  </si>
  <si>
    <t>XL780107</t>
  </si>
  <si>
    <t>XL780108</t>
  </si>
  <si>
    <t>767</t>
  </si>
  <si>
    <t>8236827</t>
  </si>
  <si>
    <t>PM/17P</t>
  </si>
  <si>
    <t>410</t>
  </si>
  <si>
    <t>Công Ty TNHH Thương Mại Dịch Vụ Đầu Tư Phi Mã</t>
  </si>
  <si>
    <t>0313858445</t>
  </si>
  <si>
    <t>Mủ Latex</t>
  </si>
  <si>
    <t>756</t>
  </si>
  <si>
    <t>Gỗ thông xẻ nhập khẩu qui cách 25x75mm.</t>
  </si>
  <si>
    <t>758</t>
  </si>
  <si>
    <t>Gỗ thông xẻ nhập khẩu qui cách 16x100/125/145mm.</t>
  </si>
  <si>
    <t>LA/17P</t>
  </si>
  <si>
    <t>5506</t>
  </si>
  <si>
    <t>Chi Nhánh Công Ty TNHH Đỉnh Vàng</t>
  </si>
  <si>
    <t>0200269921-011</t>
  </si>
  <si>
    <t>Keo BuGJO AT9000</t>
  </si>
  <si>
    <t>1215041</t>
  </si>
  <si>
    <t>8846378</t>
  </si>
  <si>
    <t>8906837</t>
  </si>
  <si>
    <t>1407</t>
  </si>
  <si>
    <t>U 1860100</t>
  </si>
  <si>
    <t>U 1860126</t>
  </si>
  <si>
    <t>352</t>
  </si>
  <si>
    <t>Đắp,mua dao Roure,khoan,nối ren,xilanh các loại.</t>
  </si>
  <si>
    <t>PD/17P</t>
  </si>
  <si>
    <t>1794</t>
  </si>
  <si>
    <t>1215346</t>
  </si>
  <si>
    <t>1215541</t>
  </si>
  <si>
    <t>4267</t>
  </si>
  <si>
    <t>1134187</t>
  </si>
  <si>
    <t>1134188</t>
  </si>
  <si>
    <t>1134189</t>
  </si>
  <si>
    <t>1215715</t>
  </si>
  <si>
    <t>AB 760103</t>
  </si>
  <si>
    <t>2934</t>
  </si>
  <si>
    <t>Gỗ sồi 18-19-20x80-300*1200-3000.</t>
  </si>
  <si>
    <t>3461</t>
  </si>
  <si>
    <t>Phủ veneer giường,tủ,kệ Wilton,Cooper,Morgan,Ollie.</t>
  </si>
  <si>
    <t>8232</t>
  </si>
  <si>
    <t>8233</t>
  </si>
  <si>
    <t>64157</t>
  </si>
  <si>
    <t>Cty CP Đầu tư và thương mại Nguyễn Kim</t>
  </si>
  <si>
    <t>Máy ảnh Sony KTS DSC (sử dụng dưới xưởng)</t>
  </si>
  <si>
    <t>1216255</t>
  </si>
  <si>
    <t>XL780253</t>
  </si>
  <si>
    <t>XL780255</t>
  </si>
  <si>
    <t>XL 780248</t>
  </si>
  <si>
    <t>XL 780249</t>
  </si>
  <si>
    <t>XL 780250</t>
  </si>
  <si>
    <t>XL 780251</t>
  </si>
  <si>
    <t>XL 780252</t>
  </si>
  <si>
    <t>XL 780254</t>
  </si>
  <si>
    <t>XL 780256</t>
  </si>
  <si>
    <t>XL 780262</t>
  </si>
  <si>
    <t>1216620</t>
  </si>
  <si>
    <t>2999</t>
  </si>
  <si>
    <t>Gỗ sồi 17-20x80-300*1200-3000.</t>
  </si>
  <si>
    <t>4260</t>
  </si>
  <si>
    <t>U 1860096</t>
  </si>
  <si>
    <t>U 1860098</t>
  </si>
  <si>
    <t>783</t>
  </si>
  <si>
    <t>770</t>
  </si>
  <si>
    <t>Gỗ thông xẻ nhập khẩu qui cách 22x95-145mm.</t>
  </si>
  <si>
    <t>1217032</t>
  </si>
  <si>
    <t>26528</t>
  </si>
  <si>
    <t>Cty Cổ Phần Thương Mại Nam Sài Gòn</t>
  </si>
  <si>
    <t>0301447874</t>
  </si>
  <si>
    <t>131</t>
  </si>
  <si>
    <t>133</t>
  </si>
  <si>
    <t>Bảng hướng dẫn kệ Ollie 0 hộc</t>
  </si>
  <si>
    <t>2860</t>
  </si>
  <si>
    <t>6213</t>
  </si>
  <si>
    <t>Keo AT9000,M-500</t>
  </si>
  <si>
    <t>XL 780163</t>
  </si>
  <si>
    <t>790</t>
  </si>
  <si>
    <t>2227</t>
  </si>
  <si>
    <t>Phí dịch vụ khai Hải quan tháng 10/2017</t>
  </si>
  <si>
    <t>2271</t>
  </si>
  <si>
    <t>Gỗ sồi 26x120-300*1200-3000.</t>
  </si>
  <si>
    <t>1336</t>
  </si>
  <si>
    <t>1844</t>
  </si>
  <si>
    <t>Pat,ốc cấy,Vít các loại .</t>
  </si>
  <si>
    <t>1845</t>
  </si>
  <si>
    <t>Vít các loại .</t>
  </si>
  <si>
    <t>8310</t>
  </si>
  <si>
    <t>8311</t>
  </si>
  <si>
    <t>1339</t>
  </si>
  <si>
    <t>HP/15</t>
  </si>
  <si>
    <t>1340</t>
  </si>
  <si>
    <t>1341</t>
  </si>
  <si>
    <t>1850</t>
  </si>
  <si>
    <t>Vít,bạt,bánh xe,bulon,khóa,pat các loại .</t>
  </si>
  <si>
    <t>2141</t>
  </si>
  <si>
    <t>Tiền thuê xưởng,vp,rác sinh hoạt T10/2017.</t>
  </si>
  <si>
    <t>2142</t>
  </si>
  <si>
    <t>Tiền rút container T10/2017.</t>
  </si>
  <si>
    <t>2143</t>
  </si>
  <si>
    <t>Phí nâng hàng T10/2017.</t>
  </si>
  <si>
    <t>3560</t>
  </si>
  <si>
    <t>Phủ veneer giường,tủ,kệ Morgan,Ollie,Cooper,Wilton.</t>
  </si>
  <si>
    <t>PV/17T</t>
  </si>
  <si>
    <t>379210</t>
  </si>
  <si>
    <t>Cty Cổ Phần Thương Mại Dịch Vụ Phong Vũ</t>
  </si>
  <si>
    <t>0304998358</t>
  </si>
  <si>
    <t>Bàn phím và chuột máy tính</t>
  </si>
  <si>
    <t>1217772</t>
  </si>
  <si>
    <t>XL 780223</t>
  </si>
  <si>
    <t>XL 780224</t>
  </si>
  <si>
    <t>XL 780225</t>
  </si>
  <si>
    <t>TV/17P</t>
  </si>
  <si>
    <t>29</t>
  </si>
  <si>
    <t>Công Ty TNHH Thương mại Xăng Dầu Trần Vinh</t>
  </si>
  <si>
    <t>0314569453</t>
  </si>
  <si>
    <t>Dầu DO.</t>
  </si>
  <si>
    <t>1395</t>
  </si>
  <si>
    <t>t11</t>
  </si>
  <si>
    <t>3068</t>
  </si>
  <si>
    <t>3081</t>
  </si>
  <si>
    <t>202</t>
  </si>
  <si>
    <t>1378</t>
  </si>
  <si>
    <t>BC/17E</t>
  </si>
  <si>
    <t>3360</t>
  </si>
  <si>
    <t>1425</t>
  </si>
  <si>
    <t>10379</t>
  </si>
  <si>
    <t>Phí trử trùng</t>
  </si>
  <si>
    <t>1491</t>
  </si>
  <si>
    <t>2761</t>
  </si>
  <si>
    <t>1511</t>
  </si>
  <si>
    <t>10617</t>
  </si>
  <si>
    <t>2313</t>
  </si>
  <si>
    <t>Phí dịch vụ nâng hạ, vận chuyển T10/17</t>
  </si>
  <si>
    <t>1553</t>
  </si>
  <si>
    <t>AT/17E</t>
  </si>
  <si>
    <t>0788818</t>
  </si>
  <si>
    <t>0788829</t>
  </si>
  <si>
    <t>2457</t>
  </si>
  <si>
    <t>Phí kiểm nghiệm giường Morgan các loại,Neotune,Hamilton</t>
  </si>
  <si>
    <t>1599</t>
  </si>
  <si>
    <t>1572</t>
  </si>
  <si>
    <t>8361</t>
  </si>
  <si>
    <t>796</t>
  </si>
  <si>
    <t>10936</t>
  </si>
  <si>
    <t>1583</t>
  </si>
  <si>
    <t>1422598</t>
  </si>
  <si>
    <t>9565052</t>
  </si>
  <si>
    <t>9681868</t>
  </si>
  <si>
    <t>A 8450176</t>
  </si>
  <si>
    <t>A 8450177</t>
  </si>
  <si>
    <t>789</t>
  </si>
  <si>
    <t>Gỗ thông xẻ nhập khẩu qui cách 17x75-175mm.</t>
  </si>
  <si>
    <t>0323401</t>
  </si>
  <si>
    <t>160</t>
  </si>
  <si>
    <t>Gỗ thông xẻ nhập khẩu 17mm.</t>
  </si>
  <si>
    <t>357</t>
  </si>
  <si>
    <t>Đắp,mua dao bào, tupi các loại,gia công máy.</t>
  </si>
  <si>
    <t>538</t>
  </si>
  <si>
    <t>799</t>
  </si>
  <si>
    <t>70</t>
  </si>
  <si>
    <t>8398</t>
  </si>
  <si>
    <t>1422929</t>
  </si>
  <si>
    <t>1423042</t>
  </si>
  <si>
    <t>2518</t>
  </si>
  <si>
    <t>Phí dịch vụ khai HQ T11/17</t>
  </si>
  <si>
    <t>SP/17P</t>
  </si>
  <si>
    <t>121</t>
  </si>
  <si>
    <t>Công Ty TNHH Sản Xuất TMDV SPC</t>
  </si>
  <si>
    <t>0312788795</t>
  </si>
  <si>
    <t>Bánh xe các loại.</t>
  </si>
  <si>
    <t>162</t>
  </si>
  <si>
    <t>Gỗ sồi xẻ nhập khẩu 4/4 1C</t>
  </si>
  <si>
    <t>808</t>
  </si>
  <si>
    <t>Gỗ thông xẻ nhập khẩu qui cách 19x90mm.</t>
  </si>
  <si>
    <t>3220</t>
  </si>
  <si>
    <t>5055</t>
  </si>
  <si>
    <t>XM050111</t>
  </si>
  <si>
    <t>XM050119</t>
  </si>
  <si>
    <t>XM05 0106</t>
  </si>
  <si>
    <t>XM 05 0105</t>
  </si>
  <si>
    <t>1134545</t>
  </si>
  <si>
    <t>Cước điện thoại di động T10/2017</t>
  </si>
  <si>
    <t>1134546</t>
  </si>
  <si>
    <t>1134547</t>
  </si>
  <si>
    <t>814</t>
  </si>
  <si>
    <t>1616</t>
  </si>
  <si>
    <t>815</t>
  </si>
  <si>
    <t>Gỗ thông xẻ nhập khẩu qui cách 17x90-185mm.</t>
  </si>
  <si>
    <t>816</t>
  </si>
  <si>
    <t>Gỗ thông xẻ nhập khẩu qui cách 19x90-140mm.</t>
  </si>
  <si>
    <t>254</t>
  </si>
  <si>
    <t>Gỗ sồi 26x80-300*1200-3000.</t>
  </si>
  <si>
    <t>818</t>
  </si>
  <si>
    <t>1423733</t>
  </si>
  <si>
    <t>U 1860024</t>
  </si>
  <si>
    <t>U 1860027</t>
  </si>
  <si>
    <t>499</t>
  </si>
  <si>
    <t>LL/17T</t>
  </si>
  <si>
    <t>10461</t>
  </si>
  <si>
    <t>Chi Nhánh 3-Cty Cổ Phần Capella-D1-Nhà hàng San Fu Lou</t>
  </si>
  <si>
    <t>0311936673</t>
  </si>
  <si>
    <t>1424043</t>
  </si>
  <si>
    <t>810</t>
  </si>
  <si>
    <t>4434</t>
  </si>
  <si>
    <t>141</t>
  </si>
  <si>
    <t>Bảng hướng dẫn giường Morgan 3'S</t>
  </si>
  <si>
    <t>142</t>
  </si>
  <si>
    <t>Bảng hướng dẫn Wiltonbedstead 5'</t>
  </si>
  <si>
    <t>143</t>
  </si>
  <si>
    <t>Bảng HD lắp ráp giường Wilton Guestbed(Top CC)</t>
  </si>
  <si>
    <t>3698</t>
  </si>
  <si>
    <t>XL 78133</t>
  </si>
  <si>
    <t>XL 780117</t>
  </si>
  <si>
    <t>XL 780118</t>
  </si>
  <si>
    <t>XL 780181</t>
  </si>
  <si>
    <t>6893</t>
  </si>
  <si>
    <t>Cty TNHH P.A Việt Nam</t>
  </si>
  <si>
    <t>0302431595</t>
  </si>
  <si>
    <t>Phí dịch vụ tên miền và dịch vụ gia tăng internet</t>
  </si>
  <si>
    <t>8462</t>
  </si>
  <si>
    <t>1424458</t>
  </si>
  <si>
    <t>2692</t>
  </si>
  <si>
    <t>512</t>
  </si>
  <si>
    <t>Thanh,Bát Inox.</t>
  </si>
  <si>
    <t>324</t>
  </si>
  <si>
    <t>Gỗ sồi 17-18x80-300*1200-3000.</t>
  </si>
  <si>
    <t>1365</t>
  </si>
  <si>
    <t>1908</t>
  </si>
  <si>
    <t>Bánh xe,bulon,khóa,pat các loại .</t>
  </si>
  <si>
    <t>1909</t>
  </si>
  <si>
    <t>ốc cấy,tán ngang,bulo,vít các loại .</t>
  </si>
  <si>
    <t>819</t>
  </si>
  <si>
    <t>1366</t>
  </si>
  <si>
    <t>1367</t>
  </si>
  <si>
    <t>2198</t>
  </si>
  <si>
    <t>Tiền thuê xưởng,vp,rác sinh hoạt T11/2017.</t>
  </si>
  <si>
    <t>2199</t>
  </si>
  <si>
    <t>Tiền rút container T11/2017.</t>
  </si>
  <si>
    <t>2200</t>
  </si>
  <si>
    <t>Phí nâng hàng T11/2017.</t>
  </si>
  <si>
    <t>2794</t>
  </si>
  <si>
    <t>Phí vận chuyển,nâng hạ T11/17</t>
  </si>
  <si>
    <t>3822</t>
  </si>
  <si>
    <t>U 1860083</t>
  </si>
  <si>
    <t>XL 780008</t>
  </si>
  <si>
    <t>1392</t>
  </si>
  <si>
    <t>AB/16E</t>
  </si>
  <si>
    <t>17435</t>
  </si>
  <si>
    <t>3086</t>
  </si>
  <si>
    <t>2376</t>
  </si>
  <si>
    <t>HD/17P</t>
  </si>
  <si>
    <t>4784</t>
  </si>
  <si>
    <t>5433</t>
  </si>
  <si>
    <t>464</t>
  </si>
  <si>
    <t>Xăng 95-II.</t>
  </si>
  <si>
    <t>3179</t>
  </si>
  <si>
    <t>1581</t>
  </si>
  <si>
    <t>t12</t>
  </si>
  <si>
    <t>3581</t>
  </si>
  <si>
    <t>1626</t>
  </si>
  <si>
    <t>Phí chứng từ,quản lý,xếp dỡ ,vân đơn...</t>
  </si>
  <si>
    <t>3207</t>
  </si>
  <si>
    <t>1664</t>
  </si>
  <si>
    <t>1696</t>
  </si>
  <si>
    <t>11277</t>
  </si>
  <si>
    <t>653</t>
  </si>
  <si>
    <t>1654</t>
  </si>
  <si>
    <t>7818</t>
  </si>
  <si>
    <t>1560131</t>
  </si>
  <si>
    <t>742</t>
  </si>
  <si>
    <t>1801</t>
  </si>
  <si>
    <t>3296</t>
  </si>
  <si>
    <t>11567</t>
  </si>
  <si>
    <t>MD/17P</t>
  </si>
  <si>
    <t>Cty TNHH N M D</t>
  </si>
  <si>
    <t>0310677176</t>
  </si>
  <si>
    <t>AU/17E</t>
  </si>
  <si>
    <t>3138876</t>
  </si>
  <si>
    <t>3138891</t>
  </si>
  <si>
    <t>798</t>
  </si>
  <si>
    <t>1733</t>
  </si>
  <si>
    <t>637625</t>
  </si>
  <si>
    <t>1560848</t>
  </si>
  <si>
    <t>QN/17P</t>
  </si>
  <si>
    <t>8235</t>
  </si>
  <si>
    <t>CN Cty TNHH Anh Em Anh Lê-Nhà Hàng Quê Nhà</t>
  </si>
  <si>
    <t>0309300418-006</t>
  </si>
  <si>
    <t>30427</t>
  </si>
  <si>
    <t>Cty TNHH MTV Sài Gòn Coop Nam Sài Gòn</t>
  </si>
  <si>
    <t>Trà,nước lau sàn,bàn chải,giấy vệ sinh.</t>
  </si>
  <si>
    <t>30428</t>
  </si>
  <si>
    <t>930565</t>
  </si>
  <si>
    <t>1012623</t>
  </si>
  <si>
    <t>1560982</t>
  </si>
  <si>
    <t>U 18600168</t>
  </si>
  <si>
    <t>U 18600169</t>
  </si>
  <si>
    <t>U 18600170</t>
  </si>
  <si>
    <t>U 18600173</t>
  </si>
  <si>
    <t>U 18600192</t>
  </si>
  <si>
    <t>825</t>
  </si>
  <si>
    <t>11768</t>
  </si>
  <si>
    <t>14054</t>
  </si>
  <si>
    <t>Cty TNHH DAMCO Việt Nam</t>
  </si>
  <si>
    <t>03139335315</t>
  </si>
  <si>
    <t>Phí  chứng từ,quản lý,xếp dở,niêm chì...</t>
  </si>
  <si>
    <t>1561129</t>
  </si>
  <si>
    <t>150</t>
  </si>
  <si>
    <t>Bảng HD lắp ráp giường Ollie 4'6</t>
  </si>
  <si>
    <t>151</t>
  </si>
  <si>
    <t>Bảng hướng dẫn lắp ráp giường Minnever 4'6</t>
  </si>
  <si>
    <t>5248</t>
  </si>
  <si>
    <t>175</t>
  </si>
  <si>
    <t>521</t>
  </si>
  <si>
    <t>Ván MDF CP2.</t>
  </si>
  <si>
    <t>848</t>
  </si>
  <si>
    <t>Gỗ sồi xẻ nhập khẩu qui cách 2ACom4/4mm.</t>
  </si>
  <si>
    <t>30745</t>
  </si>
  <si>
    <t>Nước suối Aquafina</t>
  </si>
  <si>
    <t>1561420</t>
  </si>
  <si>
    <t>168</t>
  </si>
  <si>
    <t>854</t>
  </si>
  <si>
    <t>Gỗ thông xẻ nhập khẩu qui cách 17x90-140mm.</t>
  </si>
  <si>
    <t>Gỗ thông xẻ nhập khẩu qui cách 22x95-180mm.</t>
  </si>
  <si>
    <t>1784</t>
  </si>
  <si>
    <t>Phí dịch vụ khai Hải quan tháng 12/2017</t>
  </si>
  <si>
    <t>8551</t>
  </si>
  <si>
    <t>1134852</t>
  </si>
  <si>
    <t>Cước điện thoại di động T11/2017</t>
  </si>
  <si>
    <t>1134853</t>
  </si>
  <si>
    <t>1134854</t>
  </si>
  <si>
    <t>832</t>
  </si>
  <si>
    <t>910</t>
  </si>
  <si>
    <t>5741</t>
  </si>
  <si>
    <t>6090</t>
  </si>
  <si>
    <t>1561966</t>
  </si>
  <si>
    <t>362</t>
  </si>
  <si>
    <t>Dao R5x6TxP65</t>
  </si>
  <si>
    <t>363</t>
  </si>
  <si>
    <t>Mũi khoan 3 mm</t>
  </si>
  <si>
    <t>835</t>
  </si>
  <si>
    <t>CC/16E</t>
  </si>
  <si>
    <t>1514411</t>
  </si>
  <si>
    <t>Công ty Tân Cảng Sài Gòn</t>
  </si>
  <si>
    <t>0300514849</t>
  </si>
  <si>
    <t>Phí đổi thông tin tàu xuất,cảng chuyển tải.</t>
  </si>
  <si>
    <t>XL78 0106</t>
  </si>
  <si>
    <t>TP/17P</t>
  </si>
  <si>
    <t>103</t>
  </si>
  <si>
    <t>Công Ty TNHH TMDV Cơ Khí An Thịnh Phát</t>
  </si>
  <si>
    <t>3702520164</t>
  </si>
  <si>
    <t>Cốt đầu khoan 3CW 20</t>
  </si>
  <si>
    <t>104</t>
  </si>
  <si>
    <t>Đầu lắc mộng</t>
  </si>
  <si>
    <t>3353</t>
  </si>
  <si>
    <t>3971</t>
  </si>
  <si>
    <t>Phủ veneer giường,tủ, kệ Morgan,Ollie,Wilton,Cannes các loại</t>
  </si>
  <si>
    <t>839</t>
  </si>
  <si>
    <t>1820</t>
  </si>
  <si>
    <t>1562376</t>
  </si>
  <si>
    <t>551</t>
  </si>
  <si>
    <t>Gỗ sồi 19-20x80-300*1200-3000.</t>
  </si>
  <si>
    <t>1931</t>
  </si>
  <si>
    <t>866</t>
  </si>
  <si>
    <t>Gỗ sồi xẻ nhập khẩu qui cách 1Com/Comsel 4/4.</t>
  </si>
  <si>
    <t>8597</t>
  </si>
  <si>
    <t>8598</t>
  </si>
  <si>
    <t>1562694</t>
  </si>
  <si>
    <t>12114</t>
  </si>
  <si>
    <t>U 1860133</t>
  </si>
  <si>
    <t>U 1860134</t>
  </si>
  <si>
    <t>U 1860136</t>
  </si>
  <si>
    <t>U 1860137</t>
  </si>
  <si>
    <t>U 1860178</t>
  </si>
  <si>
    <t>870</t>
  </si>
  <si>
    <t>871</t>
  </si>
  <si>
    <t>1562952</t>
  </si>
  <si>
    <t>Đầu chụp,nối nhựa các loại.</t>
  </si>
  <si>
    <t>1096</t>
  </si>
  <si>
    <t>177</t>
  </si>
  <si>
    <t>372</t>
  </si>
  <si>
    <t>Lưỡi cưa các loại.</t>
  </si>
  <si>
    <t>4325</t>
  </si>
  <si>
    <t>Công Ty TNHH Cao Su Việt</t>
  </si>
  <si>
    <t>6412</t>
  </si>
  <si>
    <t>373</t>
  </si>
  <si>
    <t>AT/17T</t>
  </si>
  <si>
    <t>17572</t>
  </si>
  <si>
    <t>Cty TNHH Tiger Holdings</t>
  </si>
  <si>
    <t>0313828747</t>
  </si>
  <si>
    <t>AA/15P</t>
  </si>
  <si>
    <t>29527</t>
  </si>
  <si>
    <t>Cty TNHH MTV DV Công Ích Quận 1</t>
  </si>
  <si>
    <t>0300853312</t>
  </si>
  <si>
    <t>Thu phí dịch vụ công ích Q.1</t>
  </si>
  <si>
    <t>1728382</t>
  </si>
  <si>
    <t>377</t>
  </si>
  <si>
    <t>Gia công cốt máy.</t>
  </si>
  <si>
    <t>1086</t>
  </si>
  <si>
    <t>8629</t>
  </si>
  <si>
    <t>8630</t>
  </si>
  <si>
    <t>368</t>
  </si>
  <si>
    <t>Đắp dao bào 200x4T</t>
  </si>
  <si>
    <t>1893</t>
  </si>
  <si>
    <t>3305</t>
  </si>
  <si>
    <t>Phí vận chuyển,nâng hạ T12/17</t>
  </si>
  <si>
    <t>1728589</t>
  </si>
  <si>
    <t>179</t>
  </si>
  <si>
    <t>365</t>
  </si>
  <si>
    <t>477</t>
  </si>
  <si>
    <t>478</t>
  </si>
  <si>
    <t>847</t>
  </si>
  <si>
    <t>2022</t>
  </si>
  <si>
    <t>3346</t>
  </si>
  <si>
    <t>XL 78007</t>
  </si>
  <si>
    <t>370</t>
  </si>
  <si>
    <t>Lưỡi cưa, bao hút bụi</t>
  </si>
  <si>
    <t>1398</t>
  </si>
  <si>
    <t>1979</t>
  </si>
  <si>
    <t>Bánh xe,bulon,khóa,lò xo,pat các loại .</t>
  </si>
  <si>
    <t>2080</t>
  </si>
  <si>
    <t>5356</t>
  </si>
  <si>
    <t>TN/17P</t>
  </si>
  <si>
    <t>ổ cứng máy tính</t>
  </si>
  <si>
    <t>Thuê gia công phủ veneer giường,tủ,kệ Morgan,Ollie các loại.</t>
  </si>
  <si>
    <t>1400</t>
  </si>
  <si>
    <t>1401</t>
  </si>
  <si>
    <t>1981</t>
  </si>
  <si>
    <t>Pat ,tán ngang,vítcác loại .</t>
  </si>
  <si>
    <t>2258</t>
  </si>
  <si>
    <t>Tiền thuê xưởng,vp,rác sinh hoạt tháng 12/2017.</t>
  </si>
  <si>
    <t>2259</t>
  </si>
  <si>
    <t>Tiền rút container tháng 12/2017.</t>
  </si>
  <si>
    <t>2260</t>
  </si>
  <si>
    <t>Phí nâng hàng tháng 12/2017.</t>
  </si>
  <si>
    <t>8670</t>
  </si>
  <si>
    <t>12403</t>
  </si>
  <si>
    <t>4238</t>
  </si>
  <si>
    <t>Phí gửi mẫu sơn.</t>
  </si>
  <si>
    <t>5185108</t>
  </si>
  <si>
    <t>5185442</t>
  </si>
  <si>
    <t>885</t>
  </si>
  <si>
    <t>t1.18</t>
  </si>
  <si>
    <t>2107</t>
  </si>
  <si>
    <t>Phí chứng từ,quản lý,xếp dỡ..</t>
  </si>
  <si>
    <t>4131</t>
  </si>
  <si>
    <t>CN Cty Cổ Phần Pizza 4ps-Nhà Hàng Pizza 4PS Q.7</t>
  </si>
  <si>
    <t>0313168515-005</t>
  </si>
  <si>
    <t>12530</t>
  </si>
  <si>
    <t>1729421</t>
  </si>
  <si>
    <t>6520</t>
  </si>
  <si>
    <t>185</t>
  </si>
  <si>
    <t>Gỗ thông xẻ nhập khẩu 25/32mm.</t>
  </si>
  <si>
    <t>1574551</t>
  </si>
  <si>
    <t>1729702</t>
  </si>
  <si>
    <t>1995</t>
  </si>
  <si>
    <t>1729976</t>
  </si>
  <si>
    <t>2015082</t>
  </si>
  <si>
    <t>2158205</t>
  </si>
  <si>
    <t>HT/16P</t>
  </si>
  <si>
    <t>793</t>
  </si>
  <si>
    <t>Chi Nhánh Cty TNHH Vỏ Xe Ô Tô Hải Triều</t>
  </si>
  <si>
    <t>0302539983-001</t>
  </si>
  <si>
    <t>Nhớt Castrol</t>
  </si>
  <si>
    <t>2001</t>
  </si>
  <si>
    <t>7333</t>
  </si>
  <si>
    <t>VC/18T</t>
  </si>
  <si>
    <t>DL85 0005</t>
  </si>
  <si>
    <t>891</t>
  </si>
  <si>
    <t>1516198</t>
  </si>
  <si>
    <t>Cước điện thoại di động T12/2017</t>
  </si>
  <si>
    <t>1516199</t>
  </si>
  <si>
    <t>1516200</t>
  </si>
  <si>
    <t>1730621</t>
  </si>
  <si>
    <t>234</t>
  </si>
  <si>
    <t>Thuê gia công phủ veneer kệ,tủ giường Ollie,Morgan,Cooper cá</t>
  </si>
  <si>
    <t>862</t>
  </si>
  <si>
    <t>Nhám nhật xanh 400</t>
  </si>
  <si>
    <t>HH/17P</t>
  </si>
  <si>
    <t>1642</t>
  </si>
  <si>
    <t>Công Ty TNHH Xuất Nhập Khẩu Hiếu Hân</t>
  </si>
  <si>
    <t>0303581956</t>
  </si>
  <si>
    <t>Máy khoan</t>
  </si>
  <si>
    <t>930966</t>
  </si>
  <si>
    <t>Trung Tâm Đăng Kiểm Xe Cơ Giới số 50-06V</t>
  </si>
  <si>
    <t>0100109120</t>
  </si>
  <si>
    <t>Kiểm định xe tải 54Y-5103.</t>
  </si>
  <si>
    <t>1923218</t>
  </si>
  <si>
    <t>587</t>
  </si>
  <si>
    <t>Ván MDF 6mm CP2.</t>
  </si>
  <si>
    <t>890</t>
  </si>
  <si>
    <t>XL7800094</t>
  </si>
  <si>
    <t>Bảng HD lắp ráp đầu giường Cole 4'6.</t>
  </si>
  <si>
    <t>864</t>
  </si>
  <si>
    <t>2074</t>
  </si>
  <si>
    <t>8783</t>
  </si>
  <si>
    <t>LP/17P</t>
  </si>
  <si>
    <t>267</t>
  </si>
  <si>
    <t>Công Ty TNHH Kim Lợi Phong</t>
  </si>
  <si>
    <t>3702308908</t>
  </si>
  <si>
    <t>Lưỡi cưa 355x4x100T</t>
  </si>
  <si>
    <t>1923740</t>
  </si>
  <si>
    <t>Gỗ thông xẻ nhập khẩu qui cách 22x100-135mm.</t>
  </si>
  <si>
    <t>909</t>
  </si>
  <si>
    <t>Gỗ thông xẻ nhập khẩu qui cách 17x90-130mm.</t>
  </si>
  <si>
    <t>1197</t>
  </si>
  <si>
    <t>2091</t>
  </si>
  <si>
    <t>Đầu mang cá longer</t>
  </si>
  <si>
    <t>DD44006520</t>
  </si>
  <si>
    <t>Nhám thùng 25x60 P40</t>
  </si>
  <si>
    <t>TB/17P</t>
  </si>
  <si>
    <t>5051</t>
  </si>
  <si>
    <t>CN Cty TNHH Xây Dựng Kinh Doanh Nhà &amp; Khách Sạn Thái Bình</t>
  </si>
  <si>
    <t>0302030346</t>
  </si>
  <si>
    <t>Thức ăn, uống</t>
  </si>
  <si>
    <t>6696</t>
  </si>
  <si>
    <t>1924147</t>
  </si>
  <si>
    <t>351</t>
  </si>
  <si>
    <t>Thuê gia công phủ veneer các loại</t>
  </si>
  <si>
    <t>dc thang 3/18</t>
  </si>
  <si>
    <t>1436</t>
  </si>
  <si>
    <t>1437</t>
  </si>
  <si>
    <t>8816</t>
  </si>
  <si>
    <t>9455</t>
  </si>
  <si>
    <t>375</t>
  </si>
  <si>
    <t>2316</t>
  </si>
  <si>
    <t>Công Ty TNHH TM CB NHS Khánh Hà</t>
  </si>
  <si>
    <t>Tiền thuê xưởng,vp,rác sinh hoạt T01/18.</t>
  </si>
  <si>
    <t>2317</t>
  </si>
  <si>
    <t>Tiền rút container T01/18.</t>
  </si>
  <si>
    <t>9512</t>
  </si>
  <si>
    <t>Keo AT9000.</t>
  </si>
  <si>
    <t>1218</t>
  </si>
  <si>
    <t>21774</t>
  </si>
  <si>
    <t>1270</t>
  </si>
  <si>
    <t>7470</t>
  </si>
  <si>
    <t>12748</t>
  </si>
  <si>
    <t>3617</t>
  </si>
  <si>
    <t>Phí khai thuê hải quan T1/18</t>
  </si>
  <si>
    <t>2170</t>
  </si>
  <si>
    <t>2180</t>
  </si>
  <si>
    <t>5628</t>
  </si>
  <si>
    <t>2281</t>
  </si>
  <si>
    <t>1426</t>
  </si>
  <si>
    <t>3906</t>
  </si>
  <si>
    <t>3931</t>
  </si>
  <si>
    <t>Phí dịch vụ vận chuyển nâng hạ T1/18</t>
  </si>
  <si>
    <t>t2.18</t>
  </si>
  <si>
    <t>2338</t>
  </si>
  <si>
    <t>4921</t>
  </si>
  <si>
    <t>AY/17T</t>
  </si>
  <si>
    <t>4372396</t>
  </si>
  <si>
    <t>4374186</t>
  </si>
  <si>
    <t>75416</t>
  </si>
  <si>
    <t>1925101</t>
  </si>
  <si>
    <t>582</t>
  </si>
  <si>
    <t>Gia công máy.</t>
  </si>
  <si>
    <t>1857</t>
  </si>
  <si>
    <t>Cty TNHH Nhà Hàng Đức 30</t>
  </si>
  <si>
    <t>0313126219</t>
  </si>
  <si>
    <t>1925315</t>
  </si>
  <si>
    <t>1925366</t>
  </si>
  <si>
    <t>XL 780228</t>
  </si>
  <si>
    <t>XLX780229</t>
  </si>
  <si>
    <t>2183</t>
  </si>
  <si>
    <t>Vật tư sơn các loại</t>
  </si>
  <si>
    <t>588</t>
  </si>
  <si>
    <t>Lưõi cưa,dao finger các loại.</t>
  </si>
  <si>
    <t>1866</t>
  </si>
  <si>
    <t>9015</t>
  </si>
  <si>
    <t>YJ 630133</t>
  </si>
  <si>
    <t>YJ 630143</t>
  </si>
  <si>
    <t>YJ 630147</t>
  </si>
  <si>
    <t>YJ 630172</t>
  </si>
  <si>
    <t>YJ 630173</t>
  </si>
  <si>
    <t>1487</t>
  </si>
  <si>
    <t>38761</t>
  </si>
  <si>
    <t>76151</t>
  </si>
  <si>
    <t>3194919</t>
  </si>
  <si>
    <t>3212820</t>
  </si>
  <si>
    <t>191</t>
  </si>
  <si>
    <t>Gỗ sồi xẻ nhập khẩu 4/4 mm.</t>
  </si>
  <si>
    <t>PL/17P</t>
  </si>
  <si>
    <t>788</t>
  </si>
  <si>
    <t>Cty TNHH Tân Phát Lợi</t>
  </si>
  <si>
    <t>0303122938</t>
  </si>
  <si>
    <t>Bình ắc qui GS N100</t>
  </si>
  <si>
    <t>928</t>
  </si>
  <si>
    <t>Gỗ sồi xẻ nhập khẩu qui cách 1Com 4/4.</t>
  </si>
  <si>
    <t>1539</t>
  </si>
  <si>
    <t>VR/18P</t>
  </si>
  <si>
    <t>126</t>
  </si>
  <si>
    <t>1900</t>
  </si>
  <si>
    <t>YJ 630094</t>
  </si>
  <si>
    <t>YJ 630095</t>
  </si>
  <si>
    <t>2202</t>
  </si>
  <si>
    <t>1592</t>
  </si>
  <si>
    <t>4119</t>
  </si>
  <si>
    <t>Phí dịch vụ vận chuyển nâng hạ T2/18</t>
  </si>
  <si>
    <t>1516535</t>
  </si>
  <si>
    <t>Cước điện thoại di động T1/2018</t>
  </si>
  <si>
    <t>1516536</t>
  </si>
  <si>
    <t>1516537</t>
  </si>
  <si>
    <t>AK/18P</t>
  </si>
  <si>
    <t>Công Ty TNHH TM PT An Kim</t>
  </si>
  <si>
    <t>0314506407</t>
  </si>
  <si>
    <t>Nhớt máy.</t>
  </si>
  <si>
    <t>1455</t>
  </si>
  <si>
    <t>2206</t>
  </si>
  <si>
    <t>XL 78078</t>
  </si>
  <si>
    <t>XL 780095</t>
  </si>
  <si>
    <t>XL 780097</t>
  </si>
  <si>
    <t>XL 780098</t>
  </si>
  <si>
    <t>508</t>
  </si>
  <si>
    <t>Thuê gia côngphủ veneer giường Cooper,Morgan,Cannes các loại</t>
  </si>
  <si>
    <t>933</t>
  </si>
  <si>
    <t>934</t>
  </si>
  <si>
    <t>2071</t>
  </si>
  <si>
    <t>ốc cấy,vít các loại.</t>
  </si>
  <si>
    <t>2072</t>
  </si>
  <si>
    <t>Bánh xe,bulon,khóa,lò xo,pat các loại.</t>
  </si>
  <si>
    <t>2368</t>
  </si>
  <si>
    <t>Tiền thuê xưởng,VP,rác sinh hoạt T02/18.</t>
  </si>
  <si>
    <t>2369</t>
  </si>
  <si>
    <t>Tiền rút container T02/18.</t>
  </si>
  <si>
    <t>2370</t>
  </si>
  <si>
    <t>Phí nâng hàng T02/18.</t>
  </si>
  <si>
    <t>2232</t>
  </si>
  <si>
    <t>SG/17E</t>
  </si>
  <si>
    <t>28987</t>
  </si>
  <si>
    <t>DV/18P</t>
  </si>
  <si>
    <t>1538</t>
  </si>
  <si>
    <t>2377</t>
  </si>
  <si>
    <t>Phí chứng từ,quản lý,hải quan..</t>
  </si>
  <si>
    <t>1650</t>
  </si>
  <si>
    <t>2399</t>
  </si>
  <si>
    <t>4201</t>
  </si>
  <si>
    <t>Phí thuê dịch vụ khai hải quan T2/18</t>
  </si>
  <si>
    <t>2166955</t>
  </si>
  <si>
    <t>169</t>
  </si>
  <si>
    <t>Bảng HD lắp ráp đầu giường Cannes 4'6</t>
  </si>
  <si>
    <t>1191</t>
  </si>
  <si>
    <t>Gỗ sồi 17x80-300*1200-3000.</t>
  </si>
  <si>
    <t>t3.18</t>
  </si>
  <si>
    <t>3675</t>
  </si>
  <si>
    <t>8937</t>
  </si>
  <si>
    <t>8938</t>
  </si>
  <si>
    <t>10429</t>
  </si>
  <si>
    <t>2168084</t>
  </si>
  <si>
    <t>8R 580016</t>
  </si>
  <si>
    <t>10665</t>
  </si>
  <si>
    <t>10670</t>
  </si>
  <si>
    <t>BV/18T</t>
  </si>
  <si>
    <t>7934</t>
  </si>
  <si>
    <t>Cty TNHH Bureau Vertas Consumer Products Services VN</t>
  </si>
  <si>
    <t>0304046704</t>
  </si>
  <si>
    <t>Phí kiểm định ván MDF</t>
  </si>
  <si>
    <t>8963</t>
  </si>
  <si>
    <t>2284</t>
  </si>
  <si>
    <t>2168733</t>
  </si>
  <si>
    <t>CV/18T</t>
  </si>
  <si>
    <t>XL 780064</t>
  </si>
  <si>
    <t>XL 780070</t>
  </si>
  <si>
    <t>8007</t>
  </si>
  <si>
    <t>1709751</t>
  </si>
  <si>
    <t>Cước điện thoại di động T2/2018</t>
  </si>
  <si>
    <t>1709752</t>
  </si>
  <si>
    <t>1709753</t>
  </si>
  <si>
    <t>10513</t>
  </si>
  <si>
    <t>4569</t>
  </si>
  <si>
    <t>Phí thuê dịch vụ khai hải quan T3/18</t>
  </si>
  <si>
    <t>648</t>
  </si>
  <si>
    <t>Phủ veneer kệ,giường Ayton,Cooper,Morgan,Wilton,Ollie ..</t>
  </si>
  <si>
    <t>11164</t>
  </si>
  <si>
    <t>174</t>
  </si>
  <si>
    <t>176</t>
  </si>
  <si>
    <t>Bảng hướng dẫn Kệ Morgan 2 hộc</t>
  </si>
  <si>
    <t>11201</t>
  </si>
  <si>
    <t>120220</t>
  </si>
  <si>
    <t>2322211</t>
  </si>
  <si>
    <t>2322434</t>
  </si>
  <si>
    <t>1381</t>
  </si>
  <si>
    <t>25</t>
  </si>
  <si>
    <t>Đầu chụp,nối,nẹp nhựa các loại.</t>
  </si>
  <si>
    <t>964</t>
  </si>
  <si>
    <t>KM/16P</t>
  </si>
  <si>
    <t>29967</t>
  </si>
  <si>
    <t>Công Ty TNHH Kim Minh C.L</t>
  </si>
  <si>
    <t>0303059323</t>
  </si>
  <si>
    <t>Máy mài Makita GA4031.</t>
  </si>
  <si>
    <t>XL 78004</t>
  </si>
  <si>
    <t>XL780027</t>
  </si>
  <si>
    <t>XL780028</t>
  </si>
  <si>
    <t>XL780029</t>
  </si>
  <si>
    <t>XL780030</t>
  </si>
  <si>
    <t>XL780031</t>
  </si>
  <si>
    <t>XL 780011</t>
  </si>
  <si>
    <t>XL 780013</t>
  </si>
  <si>
    <t>970</t>
  </si>
  <si>
    <t>2333</t>
  </si>
  <si>
    <t>06</t>
  </si>
  <si>
    <t>378</t>
  </si>
  <si>
    <t>Lưỡi cưa 305x2x100T</t>
  </si>
  <si>
    <t>2323265</t>
  </si>
  <si>
    <t>42424</t>
  </si>
  <si>
    <t>Trà,giấy vệ sinh,túi đựng rác..</t>
  </si>
  <si>
    <t>2323467</t>
  </si>
  <si>
    <t>U 1860070</t>
  </si>
  <si>
    <t>U 1860071</t>
  </si>
  <si>
    <t>689</t>
  </si>
  <si>
    <t>902</t>
  </si>
  <si>
    <t>4875</t>
  </si>
  <si>
    <t>4939</t>
  </si>
  <si>
    <t>Phí vận chuyển, nâng hạ T3/18</t>
  </si>
  <si>
    <t>745</t>
  </si>
  <si>
    <t>Phủ veneer kệ,giường Wilton,Morgan,Cooper các loại</t>
  </si>
  <si>
    <t>1488</t>
  </si>
  <si>
    <t>1489</t>
  </si>
  <si>
    <t>2118</t>
  </si>
  <si>
    <t>Bánh xe,bulon,ốc cấy,tán ngang,vít các loại.</t>
  </si>
  <si>
    <t>2423</t>
  </si>
  <si>
    <t>Tiền thuê xưởng,vp,rác sinh hoạt T03/18.</t>
  </si>
  <si>
    <t>2424</t>
  </si>
  <si>
    <t>Tiền rút container T03/18.</t>
  </si>
  <si>
    <t>2425</t>
  </si>
  <si>
    <t>Phí nâng hàngT03/18.</t>
  </si>
  <si>
    <t>DV/17P</t>
  </si>
  <si>
    <t>28653</t>
  </si>
  <si>
    <t>0313935315</t>
  </si>
  <si>
    <t>Phí niêm chì,quản lý,dịch vụ...</t>
  </si>
  <si>
    <t>AB/18E</t>
  </si>
  <si>
    <t>6634418</t>
  </si>
  <si>
    <t>6647353</t>
  </si>
  <si>
    <t>1763</t>
  </si>
  <si>
    <t>Dầu Do.</t>
  </si>
  <si>
    <t>AA/18E</t>
  </si>
  <si>
    <t>424470</t>
  </si>
  <si>
    <t>0906627</t>
  </si>
  <si>
    <t>1037788</t>
  </si>
  <si>
    <t>8271</t>
  </si>
  <si>
    <t>SQ15P</t>
  </si>
  <si>
    <t>3699</t>
  </si>
  <si>
    <t>LG/18P</t>
  </si>
  <si>
    <t>3714</t>
  </si>
  <si>
    <t>78</t>
  </si>
  <si>
    <t>2175</t>
  </si>
  <si>
    <t>11335</t>
  </si>
  <si>
    <t>SG/18T</t>
  </si>
  <si>
    <t>273</t>
  </si>
  <si>
    <t>2321</t>
  </si>
  <si>
    <t>3767</t>
  </si>
  <si>
    <t>1947</t>
  </si>
  <si>
    <t>KS/18P</t>
  </si>
  <si>
    <t>1261</t>
  </si>
  <si>
    <t>2442</t>
  </si>
  <si>
    <t>204</t>
  </si>
  <si>
    <t>555</t>
  </si>
  <si>
    <t>Chi Nhánh Cty TNHH Dịch Vụ Thế Giới Nướng</t>
  </si>
  <si>
    <t>0313262123-001</t>
  </si>
  <si>
    <t>AC/18E</t>
  </si>
  <si>
    <t>8460096</t>
  </si>
  <si>
    <t>8463493</t>
  </si>
  <si>
    <t>85</t>
  </si>
  <si>
    <t>86</t>
  </si>
  <si>
    <t>425</t>
  </si>
  <si>
    <t>Uống song giường Lancaster 5'S.</t>
  </si>
  <si>
    <t>3804</t>
  </si>
  <si>
    <t>AN/18E</t>
  </si>
  <si>
    <t>6269</t>
  </si>
  <si>
    <t>200</t>
  </si>
  <si>
    <t>914</t>
  </si>
  <si>
    <t>Công Ty TNHH Một Thành Viên Gỗ Hoa Sen</t>
  </si>
  <si>
    <t>3702021662</t>
  </si>
  <si>
    <t>Gỗ sồi trắng sấy.</t>
  </si>
  <si>
    <t>915</t>
  </si>
  <si>
    <t>996</t>
  </si>
  <si>
    <t>08/05/2018, 11/04/18</t>
  </si>
  <si>
    <t>8626</t>
  </si>
  <si>
    <t>26570</t>
  </si>
  <si>
    <t>1523088</t>
  </si>
  <si>
    <t>628</t>
  </si>
  <si>
    <t>2436</t>
  </si>
  <si>
    <t>50801</t>
  </si>
  <si>
    <t>1737317</t>
  </si>
  <si>
    <t>1878708</t>
  </si>
  <si>
    <t>2439</t>
  </si>
  <si>
    <t>2774</t>
  </si>
  <si>
    <t>11463</t>
  </si>
  <si>
    <t>XL78005</t>
  </si>
  <si>
    <t>2011556</t>
  </si>
  <si>
    <t>Cước điện thoại di động T3/2018</t>
  </si>
  <si>
    <t>2011557</t>
  </si>
  <si>
    <t>2011558</t>
  </si>
  <si>
    <t>198</t>
  </si>
  <si>
    <t>Gỗ sồi xẻ nhập khẩu 4/4  2C.</t>
  </si>
  <si>
    <t>1571</t>
  </si>
  <si>
    <t>Gỗ sồi 19x80-300*1200-3000.</t>
  </si>
  <si>
    <t>86417</t>
  </si>
  <si>
    <t>922</t>
  </si>
  <si>
    <t>HQ/17P</t>
  </si>
  <si>
    <t>11860</t>
  </si>
  <si>
    <t>Cty TNHH TM Dịch Vụ Hiệp Quế</t>
  </si>
  <si>
    <t>0303172752</t>
  </si>
  <si>
    <t>TL/18P</t>
  </si>
  <si>
    <t>12</t>
  </si>
  <si>
    <t>Gỗ sồi 25mm.</t>
  </si>
  <si>
    <t>TV/18P</t>
  </si>
  <si>
    <t>105772</t>
  </si>
  <si>
    <t>19</t>
  </si>
  <si>
    <t>Gỗ thông 25mm.</t>
  </si>
  <si>
    <t>2484</t>
  </si>
  <si>
    <t>926</t>
  </si>
  <si>
    <t>27909</t>
  </si>
  <si>
    <t>126832</t>
  </si>
  <si>
    <t>XL780171</t>
  </si>
  <si>
    <t>XL780173</t>
  </si>
  <si>
    <t>XL780180</t>
  </si>
  <si>
    <t>XL780182</t>
  </si>
  <si>
    <t>XL780183</t>
  </si>
  <si>
    <t>XL780187</t>
  </si>
  <si>
    <t>XL780191</t>
  </si>
  <si>
    <t>XL780192</t>
  </si>
  <si>
    <t>XL780195</t>
  </si>
  <si>
    <t>XL780196</t>
  </si>
  <si>
    <t>XL 780177</t>
  </si>
  <si>
    <t>XL 780190</t>
  </si>
  <si>
    <t>XL78 0176</t>
  </si>
  <si>
    <t>XL78 0178</t>
  </si>
  <si>
    <t>XL78 0179</t>
  </si>
  <si>
    <t>138928</t>
  </si>
  <si>
    <t>2497</t>
  </si>
  <si>
    <t>Gỗ sồi 4/1 1C.</t>
  </si>
  <si>
    <t>35127</t>
  </si>
  <si>
    <t>930</t>
  </si>
  <si>
    <t>Tán ngang,vít các loại.</t>
  </si>
  <si>
    <t>2164</t>
  </si>
  <si>
    <t>Bánh xe,khóa,bulon,ốc cấy các loại.</t>
  </si>
  <si>
    <t>187</t>
  </si>
  <si>
    <t>993</t>
  </si>
  <si>
    <t>Phủ veneer đầu,tủ,kệ,giường Cannes,Wilton,Morgan,Ollie.</t>
  </si>
  <si>
    <t>22</t>
  </si>
  <si>
    <t>2460</t>
  </si>
  <si>
    <t>Tiền thuê xưởng,vp,rác sinh hoạt T04/18.</t>
  </si>
  <si>
    <t>2461</t>
  </si>
  <si>
    <t>Tiền rút container T04/18.</t>
  </si>
  <si>
    <t>TỔNG CỘNG</t>
  </si>
  <si>
    <t xml:space="preserve">  Doanh nghiệp cam kết những hoá đơn có giá trị 20.000.000 VND trở lên Công ty thực hiện thanh toán qua ngân hàng theo đúng công văn số 2710/CT-KKT&amp;PC ngày 13/04/2009.</t>
  </si>
  <si>
    <t>Ghi chú:</t>
  </si>
  <si>
    <t>Hoá đơn giá trị gia tăng đã có chứng từ thanh toán qua ngân hàng</t>
  </si>
  <si>
    <t>(b)</t>
  </si>
  <si>
    <t>Hoá đơn giá trị gia tăng chưa đến thời điểm thanh toán theo hợp đồng trả chậm, trả góp</t>
  </si>
  <si>
    <t>(c)</t>
  </si>
  <si>
    <t>Hoá đơn giá trị gia tăng theo phương thức thanh toán bù trừ</t>
  </si>
  <si>
    <t>Ngày           tháng            năm 2018</t>
  </si>
  <si>
    <t>Người lập</t>
  </si>
  <si>
    <t>Kế toán trưởng</t>
  </si>
  <si>
    <t>Giám đốc</t>
  </si>
  <si>
    <t>Mai Thị Điệp</t>
  </si>
  <si>
    <t>Nguyễn Thị Thu Thường</t>
  </si>
  <si>
    <t>Huỳnh Thanh Tuấn</t>
  </si>
  <si>
    <t>BỘ TÀI CHÍNH</t>
  </si>
  <si>
    <t>CỘNG HÒA XÃ HỘI CHỦ NGHĨA VIỆT NAM</t>
  </si>
  <si>
    <t>TỔNG CỤC THUẾ</t>
  </si>
  <si>
    <t>Độc lập - Tự do - Hạnh phúc</t>
  </si>
  <si>
    <t>--------</t>
  </si>
  <si>
    <t>----------------</t>
  </si>
  <si>
    <t>Số: 4122/TCT-CS</t>
  </si>
  <si>
    <t>Hà Nội, ngày 19 tháng 11 năm 2012</t>
  </si>
  <si>
    <t>V/v Chính sách thuế.</t>
  </si>
  <si>
    <r>
      <t>Kính gửi: </t>
    </r>
    <r>
      <rPr>
        <sz val="10"/>
        <color indexed="8"/>
        <rFont val="Verdana"/>
        <family val="2"/>
      </rPr>
      <t>Cục thuế thành phố Hà Nội</t>
    </r>
  </si>
  <si>
    <t>Tổng cục Thuế nhận được công văn số 26681/CT-HTr ngày 18/10/2012, công văn số 19449/CT-HTr ngày 31/7/2012 của Cục thuế thành phố Hà Nội đề nghị hướng dẫn về việc sử dụng hoá đơn GTGT của Công ty cổ phần Siêu thị Thiên Anh và công văn số 17260/CT-HTr ngày 9/7/2012 của Cục thuế thành phố Hà Nội đề nghị hướng dẫn về chính sách thuế của Công ty cổ phần đá ốp lát cao cấp Vinaconex, Công ty cổ phần khóa Việt Tiệp và Ngân hàng TMCP Hàng Hải. Về việc này, Tổng cục Thuế có ý kiến như sau:</t>
  </si>
  <si>
    <t>1. Trường hợp Công ty cổ phần đá ốp lát cao cấp Vinaconex đề nghị hướng dẫn về thuế GTGT đầu vào của hàng hóa, dịch vụ xuất khẩu hoàn theo tháng và thuế GTGT được hoàn theo tỷ lệ tương ứng với doanh thu xuất khẩu.</t>
  </si>
  <si>
    <t>Tại khoản 4, Điều 18 Thông tư số 06/2012/TT-BTC ngày 11/01/2012 của Bộ Tài chính quy định: “Cơ sở kinh doanh trong tháng có hàng hóa, dịch vụ xuất khẩu nếu thuế GTGT đầu vào của hàng hóa xuất khẩu phát sinh trong tháng chưa được khấu trừ từ 200 triệu đồng trở lên thì được xét hoàn thuế theo tháng.</t>
  </si>
  <si>
    <t>Cơ sở kinh doanh trong tháng vừa có hàng hóa, dịch vụ xuất khẩu, vừa có hàng hóa, dịch vụ bán trong nước, có số thuế GTGT đầu vào của hàng hóa, dịch vụ xuất khẩu phát sinh trong tháng chưa được khấu trừ từ 200 triệu đồng trở lên, nhưng sau khi bù trừ với số thuế GTGT đầu ra của hàng hóa, dịch vụ bán trong nước trên tờ khai của tháng phát sinh, nếu số thuế GTGT đầu vào của hàng hóa, dịch vụ xuất khẩu chưa được khấu trừ nhỏ hơn 200 triệu đồng thì cơ sở kinh doanh không được xét hoàn thuế theo tháng, nếu số thuế GTGT đầu vào của hàng hóa, dịch vụ xuất khẩu chưa được khấu trừ từ 200 triệu đồng trở lên thì cơ sở kinh doanh được hoàn thuế GTGT theo tháng đối với hàng hóa, dịch vụ xuất khẩu.</t>
  </si>
  <si>
    <t>Trường hợp không hạch toán riêng được số thuế GTGT đầu vào của hàng hóa, dịch vụ xuất khẩu thì số thuế GTGT đầu vào của hàng hóa, dịch vụ xuất khẩu được phân bổ theo tỷ lệ (%) giữa doanh thu hàng hóa, dịch vụ xuất khẩu trong kỳ với tổng doanh thu của cơ sở kinh doanh trong kỳ”.</t>
  </si>
  <si>
    <t>Căn cứ hướng dẫn trên, Công ty cổ phần đá ốp lát cao cấp Vinaconex trong tháng có hàng hóa, dịch vụ xuất khẩu có thuế GTGT đầu vào của hàng hóa xuất khẩu phát sinh trong tháng chưa được khấu trừ từ 200 triệu đồng trở lên thì Công ty được xét hoàn thuế theo tháng đối với hàng hóa, dịch vụ xuất khẩu.</t>
  </si>
  <si>
    <t>Trường hợp Công ty cổ phần đá ốp lát cao cấp Vinaconex đã làm hồ sơ hoàn thuế GTGT theo tỷ lệ tương ứng với doanh thu xuất khẩu thì số thuế GTGT còn lại chưa được hoàn được tiếp tục đưa vào hồ sơ hoàn thuế kỳ tiếp theo.</t>
  </si>
  <si>
    <t>2. Trường hợp của Công ty cổ phần khóa Việt Tiệp và Công ty cổ phần Siêu thị Thiên Anh:</t>
  </si>
  <si>
    <t>Tại Điểm 2.8 Phụ lục 4 ban hành kèm theo Thông tư số 153/2010/TT-BTC ngày 28/9/2010 của Bộ Tài chính hướng dẫn:</t>
  </si>
  <si>
    <t>“2.8. Tổ chức, cá nhân mua hàng hóa, người bán đã xuất hóa đơn, người mua đã nhận hàng, nhưng sau đó người mua phát hiện hàng hóa không đúng quy cách, chất lượng phải trả lại toàn bộ hay một phần hàng hóa, khi xuất hàng trả lại cho người bán, cơ sở phải lập hóa đơn, trên hóa đơn ghi rõ hàng hóa trả lại người bán do không đúng quy cách, chất lượng, tiền thuế GTGT.</t>
  </si>
  <si>
    <t>Trường hợp người mua là đối tượng không có hóa đơn, khi trả lại hàng hóa, bên mua và bên bán phải lập biên bản ghi rõ loại hàng hóa, số lượng, giá trị hàng trả lại theo giá không có thuế GTGT, tiền thuế GTGT theo hóa đơn bán hàng (số ký hiệu, ngày, tháng của hóa đơn), lý do trả hàng và bên bán thu hồi hóa đơn đã lập.”</t>
  </si>
  <si>
    <t>Căn cứ hướng dẫn trên, Tổng cục Thuế nhất trí với đề xuất của Cục thuế thành phố Hà Nội tại mục II công văn số 17260/CT-HTr ngày 9/7/2012 và công văn số 19449/CT-HTr ngày 31/7/2012, cụ thể: việc kê khai thuế GTGT trong trường hợp hàng bán bị trả lại, trong đó người bán dùng hóa đơn mẫu 01/GTKT, khách hàng trả lại là đối tượng sử dụng hóa đơn mẫu 02/GTTT thì xử lý tương tự như trường hợp người mua là đối tượng không có hóa đơn quy định tại Điểm 2.8, Phụ lục 4 Thông tư số 153/2010/TT-BTC ngày 28/9/2010 của Bộ Tài chính. Cục thuế căn cứ vào tình hình cụ thể của doanh nghiệp để hướng dẫn thực hiện.</t>
  </si>
  <si>
    <t>3. Trường hợp Ngân hàng TMCP Hàng Hải đề nghị hướng dẫn các loại phí liên quan đến thẻ tín dụng có thuộc đối tượng không chịu thuế GTGT?</t>
  </si>
  <si>
    <t>Về vấn đề này, Tổng cục Thuế đang tập hợp, báo cáo Bộ Tài chính để có hướng dẫn chung.</t>
  </si>
  <si>
    <t>Tổng cục Thuế thông báo để Cục thuế thành phố Hà Nội được biết./.</t>
  </si>
  <si>
    <t>KT. TỔNG CỤC TRƯỞNG</t>
  </si>
  <si>
    <t>Nơi nhận:</t>
  </si>
  <si>
    <t>PHÓ TỔNG CỤC TRƯỞNG</t>
  </si>
  <si>
    <t>- Như trên;</t>
  </si>
  <si>
    <t>- Vụ PC-BTC;</t>
  </si>
  <si>
    <t>- Vụ PC-TCT;</t>
  </si>
  <si>
    <t>- Lưu: VT, CS (2b).</t>
  </si>
  <si>
    <t>Cao Anh Tuấn</t>
  </si>
  <si>
    <t>BẢNG KÊ HOÁ ĐƠN CHỨNG TỪ HÀNG HOÁ, DỊCH VỤ BÁN RA</t>
  </si>
  <si>
    <t>Hoá đơn, chứng từ bán</t>
  </si>
  <si>
    <t>Tên người mua</t>
  </si>
  <si>
    <t>Mã số thuế người mua</t>
  </si>
  <si>
    <t>Doanh số bán chưa có thuế</t>
  </si>
  <si>
    <t>Thuế suất</t>
  </si>
  <si>
    <t>Ký hiệu</t>
  </si>
  <si>
    <t>Số</t>
  </si>
  <si>
    <t>(11 )</t>
  </si>
  <si>
    <t>1</t>
  </si>
  <si>
    <t>06HDXK3/001</t>
  </si>
  <si>
    <t>GA/13P</t>
  </si>
  <si>
    <t>297</t>
  </si>
  <si>
    <t>FWG Sales Limited</t>
  </si>
  <si>
    <t>Giường Wilton bunk, giường Ollie, kệ Ollie, kệ Morgan 2 hộc</t>
  </si>
  <si>
    <t>2</t>
  </si>
  <si>
    <t>298</t>
  </si>
  <si>
    <t>Giường Jupiter Single bed, giường Neptune 3ft</t>
  </si>
  <si>
    <t>3</t>
  </si>
  <si>
    <t>299</t>
  </si>
  <si>
    <t xml:space="preserve">Hủy </t>
  </si>
  <si>
    <t>4</t>
  </si>
  <si>
    <t>300</t>
  </si>
  <si>
    <t>Hủy</t>
  </si>
  <si>
    <t>5</t>
  </si>
  <si>
    <t>301</t>
  </si>
  <si>
    <t>Giường Wilton 4', 4'6</t>
  </si>
  <si>
    <t>6</t>
  </si>
  <si>
    <t>Giường tầng Morgan 3ft, giường Morgan LFE 4'6, 5' màu sồi</t>
  </si>
  <si>
    <t>7</t>
  </si>
  <si>
    <t>303</t>
  </si>
  <si>
    <t>Giường Dakota 3ft, Montreal 4'6, 5ft, Lancaster 5ft</t>
  </si>
  <si>
    <t>8</t>
  </si>
  <si>
    <t>304</t>
  </si>
  <si>
    <t>Giường Neptune 3ft trắng</t>
  </si>
  <si>
    <t>9</t>
  </si>
  <si>
    <t>305</t>
  </si>
  <si>
    <t>306</t>
  </si>
  <si>
    <t>Giường Morgan 3ft sồi, giường Wilton 4ft, 5ft</t>
  </si>
  <si>
    <t>307</t>
  </si>
  <si>
    <t>Giường Wilton Bunk, đầu giường Cannes, Cole các loại</t>
  </si>
  <si>
    <t>308</t>
  </si>
  <si>
    <t>Giường Wilton 4'6 vàng, xậm, giường Cooper 4'6, 5'</t>
  </si>
  <si>
    <t>309</t>
  </si>
  <si>
    <t>Giường Hmilton 5' sồi, Ayton 4'6 sồi, Lancaster 5' sồi, Montreal 4'6 trắng</t>
  </si>
  <si>
    <t>Giường Wilton bunk, đầu giường Cannes, Cole các loại</t>
  </si>
  <si>
    <t>311</t>
  </si>
  <si>
    <t>Giường Minerve, giường Dakota các loại</t>
  </si>
  <si>
    <t>312</t>
  </si>
  <si>
    <t>Giường Dakota 4'6, Ayton 4'6, Lancaster 4'6, Montreal 5'</t>
  </si>
  <si>
    <t>17</t>
  </si>
  <si>
    <t>313</t>
  </si>
  <si>
    <t>Giường Cooper 4'6, Wilton 4'6, Kệ Morgan 6 hộc, đều giường Cole 4'6 trắng</t>
  </si>
  <si>
    <t>314</t>
  </si>
  <si>
    <t>Giường Morgan các loại, kệ Morgan 2 hộc</t>
  </si>
  <si>
    <t>315</t>
  </si>
  <si>
    <t>Giường Morgan, Cooper, kệ Ollie, kệ Morgan 2 hộc, tủ Morgan 2 cánh</t>
  </si>
  <si>
    <t>316</t>
  </si>
  <si>
    <t>Giường Dakota. Minerve các loại</t>
  </si>
  <si>
    <t>21</t>
  </si>
  <si>
    <t>317</t>
  </si>
  <si>
    <t>Giường Morgan guest bed 3', giường Wilton Truckle, Wilton guest bed các loại.</t>
  </si>
  <si>
    <t>Next Retail LTD</t>
  </si>
  <si>
    <t>Giường tầng White Bunk 3ft</t>
  </si>
  <si>
    <t>24</t>
  </si>
  <si>
    <t>320</t>
  </si>
  <si>
    <t>Giường Wilton CC 3', wilton 5' vàng, Wilton bunk, Kệ Ollie</t>
  </si>
  <si>
    <t>321</t>
  </si>
  <si>
    <t>Giường Morgan 3', 4'; giường sồi Ollie 5'; kệ morgan 2 hộc</t>
  </si>
  <si>
    <t>322</t>
  </si>
  <si>
    <t>27</t>
  </si>
  <si>
    <t>323</t>
  </si>
  <si>
    <t>Giường Ayton 4'6, 5', giường Montreal 4'6</t>
  </si>
  <si>
    <t>28</t>
  </si>
  <si>
    <t>01GTKT3/001</t>
  </si>
  <si>
    <t>DA/11P</t>
  </si>
  <si>
    <t>165</t>
  </si>
  <si>
    <t>166</t>
  </si>
  <si>
    <t>30</t>
  </si>
  <si>
    <t>167</t>
  </si>
  <si>
    <t>31</t>
  </si>
  <si>
    <t>Người mua không lấy hóa đơn</t>
  </si>
  <si>
    <t xml:space="preserve">Kệ 1 hộc, 3 hộc Devon màu các loại; Tủ Devon 1 cánh màu các loại </t>
  </si>
  <si>
    <t>32</t>
  </si>
  <si>
    <t>Mẫu Kệ Wilton 2 hộc, 6 hộc, tủ 2 cánh (hàng làm mẫu không thu tiền)</t>
  </si>
  <si>
    <t>33</t>
  </si>
  <si>
    <t>325</t>
  </si>
  <si>
    <t>Giường Ayton 4'6, 5'.</t>
  </si>
  <si>
    <t>35</t>
  </si>
  <si>
    <t>326</t>
  </si>
  <si>
    <t>Giường Juno Single bed 3ft</t>
  </si>
  <si>
    <t>36</t>
  </si>
  <si>
    <t>327</t>
  </si>
  <si>
    <t>Giường Neptune 3ft trắng, Jupiter Single bed CC</t>
  </si>
  <si>
    <t>37</t>
  </si>
  <si>
    <t>Giường Montreal 3'ft, Minerve 3', 4'6; Ayton 4'6</t>
  </si>
  <si>
    <t>38</t>
  </si>
  <si>
    <t>329</t>
  </si>
  <si>
    <t>Giường Montreal 4'6,5';  Minerve 5', 4'6.</t>
  </si>
  <si>
    <t>39</t>
  </si>
  <si>
    <t>330</t>
  </si>
  <si>
    <t>Giường Montreal 4'6, Minerve 5'; Ayton 5', Lancaster 5'</t>
  </si>
  <si>
    <t>Giường Wilton CC 3' vàng, Wilton 4' vàng, Wilton 4'6 vàng, Wilton 4'6 xậm</t>
  </si>
  <si>
    <t xml:space="preserve">Tủ Devon 1 cánh màu các loại </t>
  </si>
  <si>
    <t>Kệ Devon 3 hộc màu các loại</t>
  </si>
  <si>
    <t>43</t>
  </si>
  <si>
    <t>332</t>
  </si>
  <si>
    <t>Giường Wilton 5', Wilton bunk 3' vàng, xám, Morgan 5' sồi</t>
  </si>
  <si>
    <t>333</t>
  </si>
  <si>
    <t>Giường Keswick 4'6,5'</t>
  </si>
  <si>
    <t>334</t>
  </si>
  <si>
    <t>Giường Cooper, tủ Morgan, kệ Morgan, Kệ Ollie, giường Morgan các loại</t>
  </si>
  <si>
    <t>Kệ Wilton 2 hộc, 6 hộc, tủ Wilton 2 cánh</t>
  </si>
  <si>
    <t>336</t>
  </si>
  <si>
    <t>Giường Wilton Truckle guest bed màu natural, trắng, Wilton Guest bed trắng</t>
  </si>
  <si>
    <t>Giường Morgan guest bed 3', Giường Wilton guest bed màu natural</t>
  </si>
  <si>
    <t>338</t>
  </si>
  <si>
    <t>Đầu giường Cannes, đầu giường Fawley, đầu giường Cole</t>
  </si>
  <si>
    <t>339</t>
  </si>
  <si>
    <t>Giường Jupiter Single, giường Neptune 3'</t>
  </si>
  <si>
    <t>172</t>
  </si>
  <si>
    <t>Kệ Devon 1 hộc, 3 hộc  màu các loại, tủ Devon 1 cánh màu vàng</t>
  </si>
  <si>
    <t>Kệ Devon 1 hộc màu vàng, trắng</t>
  </si>
  <si>
    <t>53</t>
  </si>
  <si>
    <t>340</t>
  </si>
  <si>
    <t xml:space="preserve">Kệ Wilton 6 hộc, Tủ Wilton 2 cánh </t>
  </si>
  <si>
    <t>341</t>
  </si>
  <si>
    <t>Giường Jupiter trắng, giường Neptune 3' trắng</t>
  </si>
  <si>
    <t>342</t>
  </si>
  <si>
    <t>Giường Wilton 2PL Natural 90cm, 150cm; Giường Wilton bunk 3' trắng, xám</t>
  </si>
  <si>
    <t>Giường Wilton 2PL Natural 90cm, Giường Cooper 4'6, 5'; Giường Morgan các loại.</t>
  </si>
  <si>
    <t>345</t>
  </si>
  <si>
    <t>Giường Dakota, Hamilton, Lancaster các loại</t>
  </si>
  <si>
    <t>Giường Wilton 2PL Natural 135cm, giường Wilton 2PL 135cm màu xậm</t>
  </si>
  <si>
    <t>Kệ Morgan 2 hộc, 6 hộc; giường tầng Morgan 3' sồi; giường Ollie 4'6, 5'; kệ ollie, giường Wilton 2PL Natural 135cm</t>
  </si>
  <si>
    <t>Kệ Devon 1 hộc màu trắng</t>
  </si>
  <si>
    <t>59</t>
  </si>
  <si>
    <t>348</t>
  </si>
  <si>
    <t>Giường Wilton 2PL Natural 90cm, 120cm, 135cm</t>
  </si>
  <si>
    <t>60</t>
  </si>
  <si>
    <t>Giường Wilton 2PL Natural 90cm, Wilton 2PL Dark 90cm, 135cm</t>
  </si>
  <si>
    <t>61</t>
  </si>
  <si>
    <t>350</t>
  </si>
  <si>
    <t>Giường Wilton Natural Storage 135cm, 150cm</t>
  </si>
  <si>
    <t>62</t>
  </si>
  <si>
    <t>Giường Wilton 2PL Dark 150cm, giường Wilton bunk các loại</t>
  </si>
  <si>
    <t>63</t>
  </si>
  <si>
    <t>Giường Wilton 2PL Natural 150cm, giường Ollie, kệ Ollie, giường Morgan, đầu giường Cole các loại</t>
  </si>
  <si>
    <t>64</t>
  </si>
  <si>
    <t>353</t>
  </si>
  <si>
    <t>Giường Morgan guest bed 3' sồi, đầu giường Cole các loại</t>
  </si>
  <si>
    <t>65</t>
  </si>
  <si>
    <t>354</t>
  </si>
  <si>
    <t>Giường Morgan 3, 4', 4'6' sồi, Kệ Morgan 6 hộc</t>
  </si>
  <si>
    <t>66</t>
  </si>
  <si>
    <t>355</t>
  </si>
  <si>
    <t>Giường Wilton 2PL Natural 150cm, giường Cooper 4'6, 5' sồi</t>
  </si>
  <si>
    <t>356</t>
  </si>
  <si>
    <t>Giường, tủ, kệ Morgan các loại</t>
  </si>
  <si>
    <t>Giường Wilton, Wilton Truckle, Wilton Guest các loại</t>
  </si>
  <si>
    <t>69</t>
  </si>
  <si>
    <t>358</t>
  </si>
  <si>
    <t>Giường Wilton Natural Storage 135cm, Wilton Dark 135cm</t>
  </si>
  <si>
    <t>71</t>
  </si>
  <si>
    <t>360</t>
  </si>
  <si>
    <t>Đầu giường Cannes, Cole các loại</t>
  </si>
  <si>
    <t>72</t>
  </si>
  <si>
    <t>361</t>
  </si>
  <si>
    <t>Giường Wilton, Wilton Bunk các loại</t>
  </si>
  <si>
    <t>Giường Wilton, Cooper các loại</t>
  </si>
  <si>
    <t>75</t>
  </si>
  <si>
    <t>Giường Morgan 4ft, giường Morgan 5ft, kệ Morgan hộc, giường Morgan guest bed, đầu giường Fawley ...</t>
  </si>
  <si>
    <t>Giường, kệ Morgan các loại; giường, kệ Ollie các loại</t>
  </si>
  <si>
    <t>77</t>
  </si>
  <si>
    <t>366</t>
  </si>
  <si>
    <t>Giường Wilton 4ft, 46ft, 5ft; kệ Wilton 2 hộc, 6 hộc</t>
  </si>
  <si>
    <t>367</t>
  </si>
  <si>
    <t>Giường Ayton 4'6, 5'; giường Hamilton 4'6, 5'</t>
  </si>
  <si>
    <t>80</t>
  </si>
  <si>
    <t>369</t>
  </si>
  <si>
    <t>Giường Wilton 3ft màu Natural, sâm, giường Wilton 4ft Natural</t>
  </si>
  <si>
    <t>81</t>
  </si>
  <si>
    <t>82</t>
  </si>
  <si>
    <t>371</t>
  </si>
  <si>
    <t xml:space="preserve">Giường Jupiter CC Single Bed </t>
  </si>
  <si>
    <t>83</t>
  </si>
  <si>
    <t>Giường Morgan bunk 3ft sồi, Tủ Wilton 2 cánh, Kệ Wilton 2 hộc</t>
  </si>
  <si>
    <t>Giường Wilton Truckle Guest 3ft, Wilton Guest 3ft</t>
  </si>
  <si>
    <t>374</t>
  </si>
  <si>
    <t>Giường Lena Guest bed 90cm,  Montreal 3ft, Ayton 5ft, Lancaster 4'6ft</t>
  </si>
  <si>
    <t>Giường Ollie, Kệ Ollie, giường Morgan các loại</t>
  </si>
  <si>
    <t>376</t>
  </si>
  <si>
    <t>Giường Morgan, Cooper các loại</t>
  </si>
  <si>
    <t>88</t>
  </si>
  <si>
    <t>89</t>
  </si>
  <si>
    <t xml:space="preserve">Giường Neptune 3ft; Giường Jupiter CC Single Bed </t>
  </si>
  <si>
    <t>90</t>
  </si>
  <si>
    <t>379</t>
  </si>
  <si>
    <t>380</t>
  </si>
  <si>
    <t>Kệ Wilton 6 hộc - natural, Kệ Wilton 2 hộc - natural, Tủ Wilton 2 cánh- natural</t>
  </si>
  <si>
    <t>92</t>
  </si>
  <si>
    <t>381</t>
  </si>
  <si>
    <t>Giường Wilton 4'6 natural</t>
  </si>
  <si>
    <t>93</t>
  </si>
  <si>
    <t>382</t>
  </si>
  <si>
    <t>Giường Wilton bunk 3' các loại, giường sối Ollie 5'.</t>
  </si>
  <si>
    <t>383</t>
  </si>
  <si>
    <t>Giường Wilton 4' màu natural, màu dark; giường Wilton 4'6 màu dark, giường Wilton 5' natural</t>
  </si>
  <si>
    <t>95</t>
  </si>
  <si>
    <t>384</t>
  </si>
  <si>
    <t>Giường Wilton 3' dark, giường Cooper 4'6, 5'; đầu giường Cannes, Coles các loại</t>
  </si>
  <si>
    <t>96</t>
  </si>
  <si>
    <t>385</t>
  </si>
  <si>
    <t>Giường Wilton Truck 3' natural, trắng</t>
  </si>
  <si>
    <t>97</t>
  </si>
  <si>
    <t>386</t>
  </si>
  <si>
    <t>Giường Ayton 4'6, 5'; giường Minerve 4'6 trắng kem</t>
  </si>
  <si>
    <t>98</t>
  </si>
  <si>
    <t>387</t>
  </si>
  <si>
    <t>Giường Cooper 4'6, 5'</t>
  </si>
  <si>
    <t>99</t>
  </si>
  <si>
    <t>388</t>
  </si>
  <si>
    <t>Giường White Bunk Bed 3ft trắng</t>
  </si>
  <si>
    <t>100</t>
  </si>
  <si>
    <t>389</t>
  </si>
  <si>
    <t>Giường Morgan các loại, Wilton Truckle Guest 3' natural, trắng</t>
  </si>
  <si>
    <t>390</t>
  </si>
  <si>
    <t>Kệ Wilton 2 hộc, kệ Wilton 6 hộc, giường Cooper 4'6, Wilton bunk 3' trăng</t>
  </si>
  <si>
    <t>391</t>
  </si>
  <si>
    <t>392</t>
  </si>
  <si>
    <t>Đầu giường Cole, Cannes các loại</t>
  </si>
  <si>
    <t>393</t>
  </si>
  <si>
    <t>Giường Wilton 4'6; 5' màu natural</t>
  </si>
  <si>
    <t>394</t>
  </si>
  <si>
    <t>Giường Wilton 90cm, 120cm, 135cm màu natural</t>
  </si>
  <si>
    <t>395</t>
  </si>
  <si>
    <t>396</t>
  </si>
  <si>
    <t>Giường Dakota, Montreal, Hamilton</t>
  </si>
  <si>
    <t>397</t>
  </si>
  <si>
    <t>Giường Lena guest bed, Minerve, Ayton, Lancaster</t>
  </si>
  <si>
    <t>398</t>
  </si>
  <si>
    <t>Giường Ayton 4'6; 5'</t>
  </si>
  <si>
    <t>399</t>
  </si>
  <si>
    <t>Giường Morgan 3', 4', kệ Ollie, tủ morgan 2 cánh 1 hộc,  giường Wilton 4'6 natural</t>
  </si>
  <si>
    <t>400</t>
  </si>
  <si>
    <t>Giường Wilton 135cm, 150 cm màu natural; giường Wilton bunk trắng, xám</t>
  </si>
  <si>
    <t>Ngày             tháng          năm 2018</t>
  </si>
  <si>
    <t>sua doi thong tu 06</t>
  </si>
  <si>
    <t>CCT quan ly</t>
  </si>
  <si>
    <t>AAAA</t>
  </si>
  <si>
    <t>VVVVV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</si>
</sst>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dd/mm/yy"/>
    <numFmt numFmtId="165" formatCode="_(* #,##0_);_(* \(#,##0\);_(* &quot;-&quot;??_);_(@_)"/>
    <numFmt numFmtId="166" formatCode="\$#,##0\ ;\(\$#,##0\)"/>
    <numFmt numFmtId="167" formatCode="&quot;C&quot;#,##0.00_);\(&quot;C&quot;#,##0.00\)"/>
    <numFmt numFmtId="168" formatCode="&quot;£&quot;#,##0.00;\-&quot;£&quot;#,##0.00"/>
    <numFmt numFmtId="169" formatCode="&quot;\&quot;#,##0;[Red]&quot;\&quot;&quot;\&quot;\-#,##0"/>
    <numFmt numFmtId="170" formatCode="&quot;\&quot;#,##0.00;[Red]&quot;\&quot;&quot;\&quot;&quot;\&quot;&quot;\&quot;&quot;\&quot;&quot;\&quot;\-#,##0.00"/>
    <numFmt numFmtId="171" formatCode="&quot;\&quot;#,##0.00;[Red]&quot;\&quot;\-#,##0.00"/>
    <numFmt numFmtId="172" formatCode="&quot;\&quot;#,##0;[Red]&quot;\&quot;\-#,##0"/>
    <numFmt numFmtId="173" formatCode="_(* #,##0.0000_);_(* \(#,##0.0000\);_(* &quot;-&quot;??_);_(@_)"/>
    <numFmt numFmtId="174" formatCode="_(* #,##0.00000_);_(* \(#,##0.00000\);_(* &quot;-&quot;??_);_(@_)"/>
  </numFmts>
  <fonts count="51">
    <font>
      <sz val="10"/>
      <name val="Arial"/>
      <family val="2"/>
    </font>
    <font>
      <sz val="11"/>
      <color theme="1"/>
      <name val="Calibri"/>
      <family val="2"/>
      <scheme val="minor"/>
    </font>
    <font>
      <sz val="11"/>
      <color theme="1"/>
      <name val="Calibri"/>
      <family val="2"/>
      <scheme val="minor"/>
    </font>
    <font>
      <sz val="10"/>
      <name val="Arial"/>
      <family val="2"/>
    </font>
    <font>
      <sz val="10"/>
      <color indexed="56"/>
      <name val="Times New Roman"/>
      <family val="1"/>
    </font>
    <font>
      <b/>
      <sz val="14"/>
      <color indexed="56"/>
      <name val="Times New Roman"/>
      <family val="1"/>
    </font>
    <font>
      <b/>
      <sz val="11"/>
      <color indexed="56"/>
      <name val="Times New Roman"/>
      <family val="1"/>
    </font>
    <font>
      <sz val="10"/>
      <name val="VNI-Times"/>
    </font>
    <font>
      <b/>
      <i/>
      <sz val="10"/>
      <color indexed="63"/>
      <name val="Times New Roman"/>
      <family val="1"/>
    </font>
    <font>
      <sz val="10"/>
      <color indexed="63"/>
      <name val="Times New Roman"/>
      <family val="1"/>
    </font>
    <font>
      <b/>
      <sz val="10"/>
      <color indexed="56"/>
      <name val="Times New Roman"/>
      <family val="1"/>
    </font>
    <font>
      <sz val="10"/>
      <name val="Times New Roman"/>
      <family val="1"/>
    </font>
    <font>
      <b/>
      <sz val="10"/>
      <name val="Times New Roman"/>
      <family val="1"/>
    </font>
    <font>
      <sz val="13"/>
      <name val="Times New Roman"/>
      <family val="1"/>
    </font>
    <font>
      <b/>
      <sz val="10"/>
      <color indexed="63"/>
      <name val="Times New Roman"/>
      <family val="1"/>
    </font>
    <font>
      <sz val="10"/>
      <name val=".VnTime"/>
      <family val="2"/>
    </font>
    <font>
      <sz val="10"/>
      <color rgb="FFFF0000"/>
      <name val=".VnTime"/>
      <family val="2"/>
    </font>
    <font>
      <b/>
      <u/>
      <sz val="10"/>
      <color indexed="63"/>
      <name val="Times New Roman"/>
      <family val="1"/>
    </font>
    <font>
      <i/>
      <sz val="10"/>
      <color indexed="63"/>
      <name val="Times New Roman"/>
      <family val="1"/>
    </font>
    <font>
      <sz val="10"/>
      <color rgb="FF000000"/>
      <name val="Verdana"/>
      <family val="2"/>
    </font>
    <font>
      <b/>
      <sz val="10"/>
      <color rgb="FF000000"/>
      <name val="Verdana"/>
      <family val="2"/>
    </font>
    <font>
      <i/>
      <sz val="10"/>
      <color rgb="FF000000"/>
      <name val="Verdana"/>
      <family val="2"/>
    </font>
    <font>
      <i/>
      <sz val="8"/>
      <color rgb="FF000000"/>
      <name val="Verdana"/>
      <family val="2"/>
    </font>
    <font>
      <sz val="10"/>
      <color indexed="8"/>
      <name val="Verdana"/>
      <family val="2"/>
    </font>
    <font>
      <b/>
      <i/>
      <sz val="10"/>
      <color rgb="FF000000"/>
      <name val="Verdana"/>
      <family val="2"/>
    </font>
    <font>
      <sz val="8"/>
      <color rgb="FF000000"/>
      <name val="Verdana"/>
      <family val="2"/>
    </font>
    <font>
      <b/>
      <sz val="9"/>
      <color indexed="81"/>
      <name val="Tahoma"/>
      <family val="2"/>
    </font>
    <font>
      <sz val="9"/>
      <color indexed="81"/>
      <name val="Tahoma"/>
      <family val="2"/>
    </font>
    <font>
      <sz val="8"/>
      <name val="Arial"/>
      <family val="2"/>
    </font>
    <font>
      <b/>
      <sz val="18"/>
      <name val="Arial"/>
      <family val="2"/>
    </font>
    <font>
      <b/>
      <sz val="12"/>
      <name val="Arial"/>
      <family val="2"/>
    </font>
    <font>
      <sz val="10"/>
      <name val="MS Sans Serif"/>
      <family val="2"/>
    </font>
    <font>
      <sz val="10"/>
      <name val="VNI-Centur"/>
    </font>
    <font>
      <sz val="10"/>
      <name val="Courier New"/>
      <family val="3"/>
    </font>
    <font>
      <sz val="14"/>
      <name val="뼻뮝"/>
      <family val="3"/>
      <charset val="129"/>
    </font>
    <font>
      <sz val="12"/>
      <name val="뼻뮝"/>
      <family val="1"/>
      <charset val="129"/>
    </font>
    <font>
      <sz val="12"/>
      <name val="바탕체"/>
      <family val="1"/>
      <charset val="129"/>
    </font>
    <font>
      <sz val="10"/>
      <name val="굴림체"/>
      <family val="3"/>
      <charset val="129"/>
    </font>
    <font>
      <b/>
      <sz val="9"/>
      <color indexed="56"/>
      <name val="Times New Roman"/>
      <family val="1"/>
    </font>
    <font>
      <b/>
      <sz val="12"/>
      <color indexed="63"/>
      <name val="Times New Roman"/>
      <family val="1"/>
    </font>
    <font>
      <b/>
      <sz val="10"/>
      <color indexed="18"/>
      <name val="Times New Roman"/>
      <family val="1"/>
    </font>
    <font>
      <sz val="10"/>
      <color indexed="18"/>
      <name val="Times New Roman"/>
      <family val="1"/>
    </font>
    <font>
      <b/>
      <sz val="10"/>
      <color theme="0"/>
      <name val="Times New Roman"/>
      <family val="1"/>
    </font>
    <font>
      <i/>
      <sz val="10"/>
      <name val="Times New Roman"/>
      <family val="1"/>
    </font>
    <font>
      <sz val="9"/>
      <name val="Times New Roman"/>
      <family val="1"/>
    </font>
    <font>
      <sz val="10"/>
      <color rgb="FFFF0000"/>
      <name val="Times New Roman"/>
      <family val="1"/>
    </font>
    <font>
      <sz val="10"/>
      <color theme="0"/>
      <name val="Times New Roman"/>
      <family val="1"/>
    </font>
    <font>
      <sz val="10"/>
      <color rgb="FF0070C0"/>
      <name val="Times New Roman"/>
      <family val="1"/>
    </font>
    <font>
      <b/>
      <sz val="8"/>
      <color indexed="81"/>
      <name val="Tahoma"/>
      <family val="2"/>
    </font>
    <font>
      <sz val="8"/>
      <color indexed="81"/>
      <name val="Tahoma"/>
      <family val="2"/>
    </font>
    <font>
      <sz val="12"/>
      <name val="Times New Roman"/>
      <family val="1"/>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FFFFFF"/>
        <bgColor indexed="64"/>
      </patternFill>
    </fill>
    <fill>
      <patternFill patternType="solid">
        <fgColor indexed="22"/>
        <bgColor indexed="64"/>
      </patternFill>
    </fill>
    <fill>
      <patternFill patternType="solid">
        <fgColor indexed="26"/>
        <bgColor indexed="64"/>
      </patternFill>
    </fill>
  </fills>
  <borders count="23">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top style="medium">
        <color indexed="64"/>
      </top>
      <bottom/>
      <diagonal/>
    </border>
    <border>
      <left/>
      <right/>
      <top style="double">
        <color indexed="64"/>
      </top>
      <bottom/>
      <diagonal/>
    </border>
    <border>
      <left style="thin">
        <color indexed="64"/>
      </left>
      <right style="thin">
        <color indexed="64"/>
      </right>
      <top style="dashed">
        <color indexed="64"/>
      </top>
      <bottom style="dashed">
        <color indexed="64"/>
      </bottom>
      <diagonal/>
    </border>
    <border>
      <left style="thin">
        <color indexed="64"/>
      </left>
      <right/>
      <top/>
      <bottom/>
      <diagonal/>
    </border>
  </borders>
  <cellStyleXfs count="66">
    <xf numFmtId="0" fontId="0" fillId="0" borderId="0"/>
    <xf numFmtId="43" fontId="3" fillId="0" borderId="0" applyFont="0" applyFill="0" applyBorder="0" applyAlignment="0" applyProtection="0"/>
    <xf numFmtId="0" fontId="7" fillId="0" borderId="0"/>
    <xf numFmtId="0" fontId="3" fillId="0" borderId="0"/>
    <xf numFmtId="4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38" fontId="28" fillId="6" borderId="0" applyNumberFormat="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10" fontId="28" fillId="7" borderId="6" applyNumberFormat="0" applyBorder="0" applyAlignment="0" applyProtection="0"/>
    <xf numFmtId="38" fontId="31" fillId="0" borderId="0" applyFont="0" applyFill="0" applyBorder="0" applyAlignment="0" applyProtection="0"/>
    <xf numFmtId="40" fontId="31" fillId="0" borderId="0" applyFont="0" applyFill="0" applyBorder="0" applyAlignment="0" applyProtection="0"/>
    <xf numFmtId="167" fontId="32" fillId="0" borderId="0" applyFont="0" applyFill="0" applyBorder="0" applyAlignment="0" applyProtection="0"/>
    <xf numFmtId="167" fontId="32" fillId="0" borderId="0" applyFont="0" applyFill="0" applyBorder="0" applyAlignment="0" applyProtection="0"/>
    <xf numFmtId="168" fontId="3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applyFont="0" applyFill="0" applyBorder="0" applyAlignment="0" applyProtection="0"/>
    <xf numFmtId="9" fontId="3" fillId="0" borderId="0" applyFont="0" applyFill="0" applyBorder="0" applyAlignment="0" applyProtection="0"/>
    <xf numFmtId="9" fontId="31" fillId="0" borderId="19" applyNumberFormat="0" applyBorder="0"/>
    <xf numFmtId="0" fontId="3" fillId="0" borderId="20" applyNumberFormat="0" applyFont="0" applyFill="0" applyAlignment="0" applyProtection="0"/>
    <xf numFmtId="40" fontId="34" fillId="0" borderId="0" applyFont="0" applyFill="0" applyBorder="0" applyAlignment="0" applyProtection="0"/>
    <xf numFmtId="38" fontId="34" fillId="0" borderId="0" applyFont="0" applyFill="0" applyBorder="0" applyAlignment="0" applyProtection="0"/>
    <xf numFmtId="0" fontId="34" fillId="0" borderId="0" applyFont="0" applyFill="0" applyBorder="0" applyAlignment="0" applyProtection="0"/>
    <xf numFmtId="0" fontId="34" fillId="0" borderId="0" applyFont="0" applyFill="0" applyBorder="0" applyAlignment="0" applyProtection="0"/>
    <xf numFmtId="10" fontId="3" fillId="0" borderId="0" applyFont="0" applyFill="0" applyBorder="0" applyAlignment="0" applyProtection="0"/>
    <xf numFmtId="0" fontId="35" fillId="0" borderId="0"/>
    <xf numFmtId="169" fontId="3" fillId="0" borderId="0" applyFont="0" applyFill="0" applyBorder="0" applyAlignment="0" applyProtection="0"/>
    <xf numFmtId="170" fontId="3" fillId="0" borderId="0" applyFont="0" applyFill="0" applyBorder="0" applyAlignment="0" applyProtection="0"/>
    <xf numFmtId="171" fontId="36" fillId="0" borderId="0" applyFont="0" applyFill="0" applyBorder="0" applyAlignment="0" applyProtection="0"/>
    <xf numFmtId="172" fontId="36" fillId="0" borderId="0" applyFont="0" applyFill="0" applyBorder="0" applyAlignment="0" applyProtection="0"/>
    <xf numFmtId="0" fontId="37" fillId="0" borderId="0"/>
    <xf numFmtId="9" fontId="3" fillId="0" borderId="0" applyFont="0" applyFill="0" applyBorder="0" applyAlignment="0" applyProtection="0"/>
    <xf numFmtId="0" fontId="3" fillId="0" borderId="0"/>
    <xf numFmtId="0" fontId="1" fillId="0" borderId="0"/>
    <xf numFmtId="0" fontId="13" fillId="0" borderId="0"/>
  </cellStyleXfs>
  <cellXfs count="256">
    <xf numFmtId="0" fontId="0" fillId="0" borderId="0" xfId="0"/>
    <xf numFmtId="0" fontId="4" fillId="0" borderId="0" xfId="0" applyNumberFormat="1" applyFont="1" applyAlignment="1">
      <alignment horizontal="center"/>
    </xf>
    <xf numFmtId="0" fontId="5" fillId="0" borderId="0" xfId="0" applyFont="1" applyAlignment="1">
      <alignment horizontal="center"/>
    </xf>
    <xf numFmtId="14" fontId="4" fillId="0" borderId="0" xfId="0" applyNumberFormat="1" applyFont="1" applyFill="1"/>
    <xf numFmtId="0" fontId="4" fillId="0" borderId="0" xfId="0" applyNumberFormat="1" applyFont="1"/>
    <xf numFmtId="0" fontId="4" fillId="0" borderId="0" xfId="0" applyFont="1"/>
    <xf numFmtId="0" fontId="6" fillId="0" borderId="0" xfId="0" applyFont="1" applyAlignment="1">
      <alignment horizontal="center"/>
    </xf>
    <xf numFmtId="0" fontId="8" fillId="0" borderId="0" xfId="2" applyFont="1" applyFill="1" applyAlignment="1">
      <alignment horizontal="center"/>
    </xf>
    <xf numFmtId="14" fontId="9" fillId="0" borderId="0" xfId="0" applyNumberFormat="1" applyFont="1" applyFill="1" applyBorder="1"/>
    <xf numFmtId="0" fontId="9" fillId="0" borderId="0" xfId="0" applyNumberFormat="1" applyFont="1" applyFill="1" applyBorder="1"/>
    <xf numFmtId="0" fontId="9" fillId="0" borderId="0" xfId="0" applyFont="1" applyFill="1" applyBorder="1"/>
    <xf numFmtId="0" fontId="9" fillId="0" borderId="0" xfId="2" applyNumberFormat="1" applyFont="1" applyFill="1" applyAlignment="1">
      <alignment horizontal="center"/>
    </xf>
    <xf numFmtId="164" fontId="10" fillId="0" borderId="0" xfId="0" applyNumberFormat="1" applyFont="1" applyAlignment="1"/>
    <xf numFmtId="164" fontId="10" fillId="0" borderId="0" xfId="0" applyNumberFormat="1" applyFont="1" applyFill="1" applyAlignment="1"/>
    <xf numFmtId="0" fontId="4" fillId="0" borderId="0" xfId="0" applyFont="1" applyAlignment="1"/>
    <xf numFmtId="0" fontId="11" fillId="0" borderId="0" xfId="0" applyFont="1" applyAlignment="1">
      <alignment horizontal="center"/>
    </xf>
    <xf numFmtId="0" fontId="4" fillId="0" borderId="0" xfId="0" applyFont="1" applyBorder="1" applyAlignment="1">
      <alignment horizontal="right"/>
    </xf>
    <xf numFmtId="0" fontId="10" fillId="0" borderId="10" xfId="0" applyNumberFormat="1" applyFont="1" applyBorder="1" applyAlignment="1">
      <alignment horizontal="center" vertical="center" wrapText="1"/>
    </xf>
    <xf numFmtId="49" fontId="10" fillId="0" borderId="10" xfId="0" applyNumberFormat="1" applyFont="1" applyBorder="1" applyAlignment="1">
      <alignment horizontal="center" vertical="center" wrapText="1"/>
    </xf>
    <xf numFmtId="49" fontId="10" fillId="0" borderId="10" xfId="0" applyNumberFormat="1" applyFont="1" applyFill="1" applyBorder="1" applyAlignment="1">
      <alignment horizontal="center" vertical="center" wrapText="1"/>
    </xf>
    <xf numFmtId="164" fontId="10" fillId="0" borderId="10" xfId="0" applyNumberFormat="1" applyFont="1" applyBorder="1" applyAlignment="1">
      <alignment horizontal="center" vertical="center" wrapText="1"/>
    </xf>
    <xf numFmtId="49" fontId="12" fillId="0" borderId="6" xfId="0" applyNumberFormat="1" applyFont="1" applyBorder="1" applyAlignment="1">
      <alignment vertical="center" wrapText="1"/>
    </xf>
    <xf numFmtId="49" fontId="12" fillId="0" borderId="6" xfId="0" applyNumberFormat="1" applyFont="1" applyBorder="1" applyAlignment="1">
      <alignment horizontal="center" vertical="center" wrapText="1"/>
    </xf>
    <xf numFmtId="0" fontId="14" fillId="0" borderId="6" xfId="2" applyNumberFormat="1" applyFont="1" applyFill="1" applyBorder="1" applyAlignment="1">
      <alignment horizontal="center"/>
    </xf>
    <xf numFmtId="49" fontId="14" fillId="0" borderId="6" xfId="2" applyNumberFormat="1" applyFont="1" applyFill="1" applyBorder="1" applyAlignment="1">
      <alignment horizontal="center"/>
    </xf>
    <xf numFmtId="164" fontId="14" fillId="0" borderId="6" xfId="2" applyNumberFormat="1" applyFont="1" applyFill="1" applyBorder="1" applyAlignment="1">
      <alignment horizontal="center"/>
    </xf>
    <xf numFmtId="3" fontId="14" fillId="0" borderId="6" xfId="2" applyNumberFormat="1" applyFont="1" applyFill="1" applyBorder="1" applyAlignment="1">
      <alignment horizontal="center"/>
    </xf>
    <xf numFmtId="38" fontId="14" fillId="0" borderId="6" xfId="2" applyNumberFormat="1" applyFont="1" applyFill="1" applyBorder="1" applyAlignment="1">
      <alignment horizontal="center"/>
    </xf>
    <xf numFmtId="38" fontId="14" fillId="0" borderId="6" xfId="2" applyNumberFormat="1" applyFont="1" applyFill="1" applyBorder="1" applyAlignment="1">
      <alignment horizontal="center"/>
    </xf>
    <xf numFmtId="38" fontId="15" fillId="0" borderId="11" xfId="0" applyNumberFormat="1" applyFont="1" applyFill="1" applyBorder="1" applyAlignment="1">
      <alignment vertical="center"/>
    </xf>
    <xf numFmtId="49" fontId="11" fillId="0" borderId="11" xfId="0" applyNumberFormat="1" applyFont="1" applyFill="1" applyBorder="1" applyAlignment="1">
      <alignment vertical="center"/>
    </xf>
    <xf numFmtId="164" fontId="15" fillId="0" borderId="11" xfId="0" applyNumberFormat="1" applyFont="1" applyFill="1" applyBorder="1" applyAlignment="1">
      <alignment vertical="center"/>
    </xf>
    <xf numFmtId="38" fontId="15" fillId="0" borderId="12" xfId="3" applyNumberFormat="1" applyFont="1" applyFill="1" applyBorder="1" applyAlignment="1">
      <alignment vertical="center"/>
    </xf>
    <xf numFmtId="14" fontId="15" fillId="0" borderId="12" xfId="3" applyNumberFormat="1" applyFont="1" applyFill="1" applyBorder="1" applyAlignment="1">
      <alignment vertical="center"/>
    </xf>
    <xf numFmtId="3" fontId="3" fillId="0" borderId="12" xfId="3" applyNumberFormat="1" applyFont="1" applyFill="1" applyBorder="1" applyAlignment="1">
      <alignment horizontal="center"/>
    </xf>
    <xf numFmtId="165" fontId="11" fillId="0" borderId="0" xfId="1" applyNumberFormat="1" applyFont="1" applyFill="1" applyBorder="1" applyAlignment="1">
      <alignment vertical="center"/>
    </xf>
    <xf numFmtId="38" fontId="12" fillId="0" borderId="0" xfId="0" applyNumberFormat="1" applyFont="1" applyFill="1" applyBorder="1" applyAlignment="1">
      <alignment vertical="center"/>
    </xf>
    <xf numFmtId="0" fontId="12" fillId="0" borderId="0" xfId="0" applyFont="1" applyFill="1" applyBorder="1" applyAlignment="1">
      <alignment vertical="center"/>
    </xf>
    <xf numFmtId="38" fontId="15" fillId="0" borderId="11" xfId="3" applyNumberFormat="1" applyFont="1" applyFill="1" applyBorder="1" applyAlignment="1">
      <alignment vertical="center"/>
    </xf>
    <xf numFmtId="14" fontId="15" fillId="0" borderId="11" xfId="3" applyNumberFormat="1" applyFont="1" applyFill="1" applyBorder="1" applyAlignment="1">
      <alignment vertical="center"/>
    </xf>
    <xf numFmtId="3" fontId="3" fillId="0" borderId="11" xfId="3" applyNumberFormat="1" applyFont="1" applyFill="1" applyBorder="1" applyAlignment="1">
      <alignment horizontal="center"/>
    </xf>
    <xf numFmtId="38" fontId="15" fillId="0" borderId="13" xfId="3" applyNumberFormat="1" applyFont="1" applyFill="1" applyBorder="1" applyAlignment="1">
      <alignment vertical="center"/>
    </xf>
    <xf numFmtId="14" fontId="15" fillId="0" borderId="13" xfId="3" applyNumberFormat="1" applyFont="1" applyFill="1" applyBorder="1" applyAlignment="1">
      <alignment vertical="center"/>
    </xf>
    <xf numFmtId="38" fontId="12" fillId="0" borderId="6" xfId="0" applyNumberFormat="1" applyFont="1" applyFill="1" applyBorder="1" applyAlignment="1">
      <alignment vertical="center"/>
    </xf>
    <xf numFmtId="38" fontId="15" fillId="0" borderId="6" xfId="0" applyNumberFormat="1" applyFont="1" applyFill="1" applyBorder="1" applyAlignment="1">
      <alignment horizontal="center" vertical="center"/>
    </xf>
    <xf numFmtId="14" fontId="15" fillId="0" borderId="6" xfId="3" applyNumberFormat="1" applyFont="1" applyFill="1" applyBorder="1" applyAlignment="1">
      <alignment vertical="center"/>
    </xf>
    <xf numFmtId="38" fontId="15" fillId="0" borderId="11" xfId="0" applyNumberFormat="1" applyFont="1" applyFill="1" applyBorder="1" applyAlignment="1">
      <alignment horizontal="center" vertical="center"/>
    </xf>
    <xf numFmtId="38" fontId="15" fillId="0" borderId="14" xfId="3" applyNumberFormat="1" applyFont="1" applyFill="1" applyBorder="1" applyAlignment="1">
      <alignment vertical="center"/>
    </xf>
    <xf numFmtId="14" fontId="15" fillId="0" borderId="14" xfId="3" applyNumberFormat="1" applyFont="1" applyFill="1" applyBorder="1" applyAlignment="1">
      <alignment vertical="center"/>
    </xf>
    <xf numFmtId="38" fontId="12" fillId="2" borderId="0" xfId="0" applyNumberFormat="1" applyFont="1" applyFill="1" applyBorder="1" applyAlignment="1">
      <alignment vertical="center"/>
    </xf>
    <xf numFmtId="38" fontId="15" fillId="0" borderId="13" xfId="0" applyNumberFormat="1" applyFont="1" applyFill="1" applyBorder="1" applyAlignment="1">
      <alignment vertical="center"/>
    </xf>
    <xf numFmtId="38" fontId="15" fillId="0" borderId="14" xfId="0" applyNumberFormat="1" applyFont="1" applyFill="1" applyBorder="1" applyAlignment="1">
      <alignment vertical="center"/>
    </xf>
    <xf numFmtId="38" fontId="15" fillId="3" borderId="11" xfId="0" applyNumberFormat="1" applyFont="1" applyFill="1" applyBorder="1" applyAlignment="1">
      <alignment vertical="center"/>
    </xf>
    <xf numFmtId="38" fontId="12" fillId="4" borderId="0" xfId="0" applyNumberFormat="1" applyFont="1" applyFill="1" applyBorder="1" applyAlignment="1">
      <alignment vertical="center"/>
    </xf>
    <xf numFmtId="38" fontId="15" fillId="2" borderId="11" xfId="0" applyNumberFormat="1" applyFont="1" applyFill="1" applyBorder="1" applyAlignment="1">
      <alignment vertical="center"/>
    </xf>
    <xf numFmtId="49" fontId="11" fillId="2" borderId="11" xfId="0" applyNumberFormat="1" applyFont="1" applyFill="1" applyBorder="1" applyAlignment="1">
      <alignment vertical="center"/>
    </xf>
    <xf numFmtId="164" fontId="15" fillId="2" borderId="11" xfId="0" applyNumberFormat="1" applyFont="1" applyFill="1" applyBorder="1" applyAlignment="1">
      <alignment vertical="center"/>
    </xf>
    <xf numFmtId="38" fontId="15" fillId="2" borderId="11" xfId="3" applyNumberFormat="1" applyFont="1" applyFill="1" applyBorder="1" applyAlignment="1">
      <alignment vertical="center"/>
    </xf>
    <xf numFmtId="14" fontId="15" fillId="2" borderId="11" xfId="3" applyNumberFormat="1" applyFont="1" applyFill="1" applyBorder="1" applyAlignment="1">
      <alignment vertical="center"/>
    </xf>
    <xf numFmtId="3" fontId="3" fillId="2" borderId="11" xfId="3" applyNumberFormat="1" applyFont="1" applyFill="1" applyBorder="1" applyAlignment="1">
      <alignment horizontal="center"/>
    </xf>
    <xf numFmtId="165" fontId="11" fillId="2" borderId="0" xfId="1" applyNumberFormat="1" applyFont="1" applyFill="1" applyBorder="1" applyAlignment="1">
      <alignment vertical="center"/>
    </xf>
    <xf numFmtId="0" fontId="12" fillId="2" borderId="0" xfId="0" applyFont="1" applyFill="1" applyBorder="1" applyAlignment="1">
      <alignment vertical="center"/>
    </xf>
    <xf numFmtId="38" fontId="12" fillId="3" borderId="6" xfId="0" applyNumberFormat="1" applyFont="1" applyFill="1" applyBorder="1" applyAlignment="1">
      <alignment vertical="center"/>
    </xf>
    <xf numFmtId="38" fontId="16" fillId="0" borderId="11" xfId="0" applyNumberFormat="1" applyFont="1" applyFill="1" applyBorder="1" applyAlignment="1">
      <alignment vertical="center"/>
    </xf>
    <xf numFmtId="164" fontId="16" fillId="2" borderId="11" xfId="0" applyNumberFormat="1" applyFont="1" applyFill="1" applyBorder="1" applyAlignment="1">
      <alignment vertical="center"/>
    </xf>
    <xf numFmtId="38" fontId="15" fillId="4" borderId="11" xfId="0" applyNumberFormat="1" applyFont="1" applyFill="1" applyBorder="1" applyAlignment="1">
      <alignment vertical="center"/>
    </xf>
    <xf numFmtId="3" fontId="14" fillId="0" borderId="6" xfId="1" applyNumberFormat="1" applyFont="1" applyFill="1" applyBorder="1"/>
    <xf numFmtId="38" fontId="11" fillId="0" borderId="10" xfId="2" applyNumberFormat="1" applyFont="1" applyFill="1" applyBorder="1" applyAlignment="1">
      <alignment horizontal="center"/>
    </xf>
    <xf numFmtId="38" fontId="11" fillId="0" borderId="18" xfId="2" applyNumberFormat="1" applyFont="1" applyFill="1" applyBorder="1" applyAlignment="1">
      <alignment horizontal="center"/>
    </xf>
    <xf numFmtId="0" fontId="17" fillId="0" borderId="0" xfId="0" applyNumberFormat="1" applyFont="1" applyFill="1" applyBorder="1" applyAlignment="1">
      <alignment horizontal="center"/>
    </xf>
    <xf numFmtId="0" fontId="17" fillId="0" borderId="0" xfId="0" applyFont="1" applyFill="1" applyBorder="1" applyAlignment="1">
      <alignment horizontal="center"/>
    </xf>
    <xf numFmtId="164" fontId="17" fillId="0" borderId="0" xfId="0" applyNumberFormat="1" applyFont="1" applyFill="1" applyBorder="1" applyAlignment="1">
      <alignment horizontal="center"/>
    </xf>
    <xf numFmtId="3" fontId="14" fillId="0" borderId="0" xfId="1" applyNumberFormat="1" applyFont="1" applyFill="1" applyBorder="1"/>
    <xf numFmtId="38" fontId="11" fillId="0" borderId="0" xfId="2" applyNumberFormat="1" applyFont="1" applyFill="1" applyAlignment="1">
      <alignment horizontal="center"/>
    </xf>
    <xf numFmtId="0" fontId="12" fillId="0" borderId="0" xfId="0" applyNumberFormat="1" applyFont="1" applyFill="1" applyBorder="1" applyAlignment="1">
      <alignment vertical="center"/>
    </xf>
    <xf numFmtId="0" fontId="9" fillId="0" borderId="0" xfId="0" applyNumberFormat="1" applyFont="1" applyFill="1" applyBorder="1" applyAlignment="1">
      <alignment horizontal="left"/>
    </xf>
    <xf numFmtId="49" fontId="9" fillId="0" borderId="0" xfId="0" applyNumberFormat="1" applyFont="1" applyFill="1" applyBorder="1" applyAlignment="1">
      <alignment horizontal="left"/>
    </xf>
    <xf numFmtId="38" fontId="15" fillId="0" borderId="0" xfId="0" applyNumberFormat="1" applyFont="1" applyAlignment="1">
      <alignment vertical="center"/>
    </xf>
    <xf numFmtId="0" fontId="9" fillId="0" borderId="0" xfId="0" applyNumberFormat="1" applyFont="1" applyFill="1" applyBorder="1" applyAlignment="1">
      <alignment horizontal="center"/>
    </xf>
    <xf numFmtId="49" fontId="9" fillId="0" borderId="0" xfId="0" applyNumberFormat="1" applyFont="1" applyFill="1" applyBorder="1" applyAlignment="1">
      <alignment horizontal="center"/>
    </xf>
    <xf numFmtId="165" fontId="9" fillId="0" borderId="0" xfId="1" applyNumberFormat="1" applyFont="1" applyFill="1" applyBorder="1" applyAlignment="1">
      <alignment horizontal="center"/>
    </xf>
    <xf numFmtId="49" fontId="8" fillId="0" borderId="0" xfId="0" applyNumberFormat="1" applyFont="1" applyFill="1" applyBorder="1" applyAlignment="1">
      <alignment horizontal="center"/>
    </xf>
    <xf numFmtId="43" fontId="8" fillId="0" borderId="0" xfId="1" applyNumberFormat="1" applyFont="1" applyFill="1" applyBorder="1" applyAlignment="1">
      <alignment horizontal="center"/>
    </xf>
    <xf numFmtId="38" fontId="9" fillId="0" borderId="0" xfId="0" applyNumberFormat="1" applyFont="1" applyFill="1" applyBorder="1"/>
    <xf numFmtId="38" fontId="9" fillId="0" borderId="0" xfId="2" applyNumberFormat="1" applyFont="1" applyFill="1"/>
    <xf numFmtId="165" fontId="8" fillId="0" borderId="0" xfId="1" applyNumberFormat="1" applyFont="1" applyFill="1" applyBorder="1" applyAlignment="1">
      <alignment horizontal="center"/>
    </xf>
    <xf numFmtId="0" fontId="8" fillId="0" borderId="0" xfId="0" applyNumberFormat="1" applyFont="1" applyFill="1" applyBorder="1" applyAlignment="1">
      <alignment horizontal="center"/>
    </xf>
    <xf numFmtId="0" fontId="9" fillId="0" borderId="0" xfId="2" applyFont="1" applyFill="1"/>
    <xf numFmtId="164" fontId="9" fillId="0" borderId="0" xfId="2" applyNumberFormat="1" applyFont="1" applyFill="1"/>
    <xf numFmtId="0" fontId="9" fillId="0" borderId="0" xfId="2" applyFont="1" applyFill="1" applyAlignment="1">
      <alignment horizontal="center"/>
    </xf>
    <xf numFmtId="3" fontId="9" fillId="0" borderId="0" xfId="2" applyNumberFormat="1" applyFont="1" applyFill="1" applyAlignment="1">
      <alignment horizontal="center"/>
    </xf>
    <xf numFmtId="4" fontId="9" fillId="0" borderId="0" xfId="2" applyNumberFormat="1" applyFont="1" applyFill="1"/>
    <xf numFmtId="3" fontId="9" fillId="0" borderId="0" xfId="2" applyNumberFormat="1" applyFont="1" applyFill="1"/>
    <xf numFmtId="2" fontId="9" fillId="0" borderId="0" xfId="2" applyNumberFormat="1" applyFont="1" applyFill="1"/>
    <xf numFmtId="43" fontId="9" fillId="0" borderId="0" xfId="1" applyNumberFormat="1" applyFont="1" applyFill="1"/>
    <xf numFmtId="165" fontId="9" fillId="0" borderId="0" xfId="1" applyNumberFormat="1" applyFont="1" applyFill="1"/>
    <xf numFmtId="0" fontId="9" fillId="0" borderId="0" xfId="0" applyNumberFormat="1" applyFont="1" applyFill="1" applyBorder="1" applyAlignment="1">
      <alignment horizontal="center" vertical="center"/>
    </xf>
    <xf numFmtId="49" fontId="9" fillId="0" borderId="0" xfId="0" applyNumberFormat="1" applyFont="1" applyFill="1" applyBorder="1" applyAlignment="1">
      <alignment vertical="center"/>
    </xf>
    <xf numFmtId="164" fontId="9" fillId="0" borderId="0" xfId="0" applyNumberFormat="1" applyFont="1" applyFill="1" applyBorder="1" applyAlignment="1">
      <alignment vertical="center"/>
    </xf>
    <xf numFmtId="165" fontId="9" fillId="0" borderId="0" xfId="1" applyNumberFormat="1" applyFont="1" applyFill="1" applyBorder="1" applyAlignment="1">
      <alignment vertical="center"/>
    </xf>
    <xf numFmtId="38" fontId="9" fillId="0" borderId="0" xfId="0" applyNumberFormat="1" applyFont="1" applyFill="1" applyBorder="1" applyAlignment="1">
      <alignment vertical="center"/>
    </xf>
    <xf numFmtId="0" fontId="19" fillId="5" borderId="0" xfId="0" applyFont="1" applyFill="1" applyAlignment="1">
      <alignment horizontal="center" vertical="center" wrapText="1"/>
    </xf>
    <xf numFmtId="0" fontId="20" fillId="5" borderId="0" xfId="0" applyFont="1" applyFill="1" applyAlignment="1">
      <alignment horizontal="center" vertical="center" wrapText="1"/>
    </xf>
    <xf numFmtId="0" fontId="19" fillId="5" borderId="0" xfId="0" applyFont="1" applyFill="1" applyAlignment="1">
      <alignment vertical="center" wrapText="1"/>
    </xf>
    <xf numFmtId="0" fontId="22" fillId="5" borderId="0" xfId="0" applyFont="1" applyFill="1" applyAlignment="1">
      <alignment vertical="center" wrapText="1"/>
    </xf>
    <xf numFmtId="0" fontId="19" fillId="0" borderId="0" xfId="0" applyFont="1" applyAlignment="1">
      <alignment horizontal="justify" vertical="center" wrapText="1"/>
    </xf>
    <xf numFmtId="0" fontId="20" fillId="0" borderId="0" xfId="0" applyFont="1" applyAlignment="1">
      <alignment horizontal="center" vertical="center" wrapText="1"/>
    </xf>
    <xf numFmtId="0" fontId="24" fillId="5" borderId="0" xfId="0" applyFont="1" applyFill="1" applyAlignment="1">
      <alignment vertical="center" wrapText="1"/>
    </xf>
    <xf numFmtId="0" fontId="17" fillId="0" borderId="0" xfId="2" applyNumberFormat="1" applyFont="1" applyFill="1" applyAlignment="1">
      <alignment horizontal="center"/>
    </xf>
    <xf numFmtId="49" fontId="9" fillId="0" borderId="0" xfId="2" applyNumberFormat="1" applyFont="1" applyFill="1"/>
    <xf numFmtId="0" fontId="25" fillId="5" borderId="0" xfId="0" applyFont="1" applyFill="1" applyAlignment="1">
      <alignment vertical="center" wrapText="1"/>
    </xf>
    <xf numFmtId="0" fontId="0" fillId="5" borderId="0" xfId="0" applyFill="1" applyAlignment="1">
      <alignment horizontal="center" vertical="center" wrapText="1"/>
    </xf>
    <xf numFmtId="0" fontId="0" fillId="5" borderId="0" xfId="0" applyFill="1" applyAlignment="1">
      <alignment vertical="top" wrapText="1"/>
    </xf>
    <xf numFmtId="49" fontId="9" fillId="0" borderId="0" xfId="2" applyNumberFormat="1" applyFont="1" applyFill="1" applyAlignment="1">
      <alignment horizontal="left"/>
    </xf>
    <xf numFmtId="0" fontId="14" fillId="0" borderId="0" xfId="2" applyNumberFormat="1" applyFont="1" applyFill="1" applyAlignment="1">
      <alignment horizontal="center"/>
    </xf>
    <xf numFmtId="0" fontId="14" fillId="0" borderId="0" xfId="2" applyFont="1" applyFill="1" applyBorder="1" applyAlignment="1">
      <alignment horizontal="center"/>
    </xf>
    <xf numFmtId="49" fontId="10" fillId="0" borderId="10" xfId="0" applyNumberFormat="1" applyFont="1" applyBorder="1" applyAlignment="1">
      <alignment horizontal="center" vertical="center" wrapText="1"/>
    </xf>
    <xf numFmtId="49" fontId="12" fillId="0" borderId="6" xfId="0" applyNumberFormat="1" applyFont="1" applyBorder="1" applyAlignment="1">
      <alignment horizontal="center" vertical="center" wrapText="1"/>
    </xf>
    <xf numFmtId="38" fontId="14" fillId="0" borderId="6" xfId="2" applyNumberFormat="1" applyFont="1" applyFill="1" applyBorder="1" applyAlignment="1">
      <alignment horizontal="center"/>
    </xf>
    <xf numFmtId="0" fontId="5" fillId="0" borderId="0" xfId="0" applyFont="1" applyAlignment="1">
      <alignment horizontal="center"/>
    </xf>
    <xf numFmtId="0" fontId="6" fillId="0" borderId="0" xfId="0" applyFont="1" applyAlignment="1">
      <alignment horizontal="center"/>
    </xf>
    <xf numFmtId="0" fontId="8" fillId="0" borderId="0" xfId="2" applyFont="1" applyFill="1" applyAlignment="1">
      <alignment horizontal="center"/>
    </xf>
    <xf numFmtId="0" fontId="4" fillId="0" borderId="0" xfId="0" applyFont="1" applyBorder="1" applyAlignment="1">
      <alignment horizontal="right"/>
    </xf>
    <xf numFmtId="0" fontId="10" fillId="0" borderId="10" xfId="0" applyNumberFormat="1" applyFont="1" applyBorder="1" applyAlignment="1">
      <alignment horizontal="center" vertical="center" wrapText="1"/>
    </xf>
    <xf numFmtId="49" fontId="38" fillId="0" borderId="6" xfId="0" applyNumberFormat="1" applyFont="1" applyBorder="1" applyAlignment="1">
      <alignment horizontal="center" vertical="center" wrapText="1"/>
    </xf>
    <xf numFmtId="49" fontId="12" fillId="0" borderId="6" xfId="2" applyNumberFormat="1" applyFont="1" applyFill="1" applyBorder="1" applyAlignment="1">
      <alignment horizontal="center"/>
    </xf>
    <xf numFmtId="49" fontId="15" fillId="0" borderId="21" xfId="0" applyNumberFormat="1" applyFont="1" applyBorder="1" applyAlignment="1">
      <alignment horizontal="right" vertical="center"/>
    </xf>
    <xf numFmtId="49" fontId="15" fillId="0" borderId="21" xfId="0" applyNumberFormat="1" applyFont="1" applyBorder="1" applyAlignment="1">
      <alignment vertical="center"/>
    </xf>
    <xf numFmtId="49" fontId="11" fillId="0" borderId="21" xfId="63" applyNumberFormat="1" applyFont="1" applyBorder="1" applyAlignment="1">
      <alignment vertical="center"/>
    </xf>
    <xf numFmtId="164" fontId="15" fillId="0" borderId="21" xfId="63" applyNumberFormat="1" applyFont="1" applyBorder="1" applyAlignment="1">
      <alignment vertical="center"/>
    </xf>
    <xf numFmtId="49" fontId="15" fillId="0" borderId="21" xfId="30" applyNumberFormat="1" applyFont="1" applyBorder="1" applyAlignment="1">
      <alignment vertical="center"/>
    </xf>
    <xf numFmtId="49" fontId="11" fillId="0" borderId="21" xfId="30" applyNumberFormat="1" applyFont="1" applyBorder="1" applyAlignment="1">
      <alignment vertical="center"/>
    </xf>
    <xf numFmtId="38" fontId="15" fillId="0" borderId="21" xfId="32" applyNumberFormat="1" applyFont="1" applyFill="1" applyBorder="1" applyAlignment="1">
      <alignment vertical="center"/>
    </xf>
    <xf numFmtId="9" fontId="15" fillId="0" borderId="21" xfId="62" applyFont="1" applyBorder="1" applyAlignment="1">
      <alignment vertical="center"/>
    </xf>
    <xf numFmtId="38" fontId="15" fillId="0" borderId="21" xfId="0" applyNumberFormat="1" applyFont="1" applyBorder="1" applyAlignment="1">
      <alignment vertical="center"/>
    </xf>
    <xf numFmtId="38" fontId="9" fillId="0" borderId="21" xfId="0" applyNumberFormat="1" applyFont="1" applyFill="1" applyBorder="1" applyAlignment="1">
      <alignment vertical="center"/>
    </xf>
    <xf numFmtId="38" fontId="14" fillId="0" borderId="0" xfId="0" applyNumberFormat="1" applyFont="1" applyFill="1" applyBorder="1" applyAlignment="1">
      <alignment vertical="center"/>
    </xf>
    <xf numFmtId="49" fontId="14" fillId="0" borderId="0" xfId="0" applyNumberFormat="1" applyFont="1" applyFill="1" applyBorder="1" applyAlignment="1">
      <alignment vertical="center"/>
    </xf>
    <xf numFmtId="0" fontId="39" fillId="0" borderId="0" xfId="0" applyFont="1" applyFill="1" applyBorder="1" applyAlignment="1">
      <alignment horizontal="center" vertical="center"/>
    </xf>
    <xf numFmtId="0" fontId="39" fillId="0" borderId="0" xfId="0" applyFont="1" applyFill="1" applyBorder="1" applyAlignment="1">
      <alignment vertical="center"/>
    </xf>
    <xf numFmtId="0" fontId="14" fillId="0" borderId="0" xfId="0" applyFont="1" applyFill="1" applyBorder="1" applyAlignment="1">
      <alignment vertical="center"/>
    </xf>
    <xf numFmtId="38" fontId="40" fillId="0" borderId="6" xfId="0" applyNumberFormat="1" applyFont="1" applyFill="1" applyBorder="1" applyAlignment="1">
      <alignment vertical="center"/>
    </xf>
    <xf numFmtId="9" fontId="40" fillId="0" borderId="6" xfId="62" applyFont="1" applyFill="1" applyBorder="1" applyAlignment="1">
      <alignment vertical="center"/>
    </xf>
    <xf numFmtId="38" fontId="9" fillId="0" borderId="6" xfId="0" applyNumberFormat="1" applyFont="1" applyFill="1" applyBorder="1" applyAlignment="1">
      <alignment vertical="center"/>
    </xf>
    <xf numFmtId="49" fontId="41" fillId="0" borderId="0" xfId="0" applyNumberFormat="1" applyFont="1" applyFill="1" applyBorder="1" applyAlignment="1">
      <alignment vertical="center"/>
    </xf>
    <xf numFmtId="0" fontId="41" fillId="0" borderId="0" xfId="0" applyFont="1" applyFill="1" applyBorder="1"/>
    <xf numFmtId="0" fontId="40" fillId="0" borderId="0" xfId="0" applyFont="1" applyFill="1" applyBorder="1" applyAlignment="1">
      <alignment vertical="center"/>
    </xf>
    <xf numFmtId="0" fontId="14" fillId="0" borderId="0" xfId="0" applyNumberFormat="1" applyFont="1" applyFill="1" applyBorder="1" applyAlignment="1">
      <alignment vertical="center"/>
    </xf>
    <xf numFmtId="0" fontId="11" fillId="0" borderId="10" xfId="0" applyFont="1" applyFill="1" applyBorder="1"/>
    <xf numFmtId="0" fontId="11" fillId="0" borderId="0" xfId="0" applyFont="1" applyFill="1"/>
    <xf numFmtId="3" fontId="42" fillId="0" borderId="0" xfId="1" applyNumberFormat="1" applyFont="1" applyFill="1" applyBorder="1"/>
    <xf numFmtId="0" fontId="11" fillId="0" borderId="0" xfId="2" applyFont="1" applyFill="1"/>
    <xf numFmtId="38" fontId="11" fillId="0" borderId="0" xfId="2" applyNumberFormat="1" applyFont="1" applyFill="1"/>
    <xf numFmtId="0" fontId="43" fillId="0" borderId="0" xfId="2" applyFont="1" applyFill="1" applyAlignment="1">
      <alignment horizontal="center"/>
    </xf>
    <xf numFmtId="40" fontId="44" fillId="0" borderId="0" xfId="2" applyNumberFormat="1" applyFont="1" applyFill="1"/>
    <xf numFmtId="165" fontId="45" fillId="0" borderId="0" xfId="1" applyNumberFormat="1" applyFont="1" applyFill="1"/>
    <xf numFmtId="10" fontId="46" fillId="0" borderId="0" xfId="62" applyNumberFormat="1" applyFont="1" applyFill="1"/>
    <xf numFmtId="165" fontId="11" fillId="0" borderId="0" xfId="1" applyNumberFormat="1" applyFont="1" applyFill="1"/>
    <xf numFmtId="165" fontId="47" fillId="0" borderId="0" xfId="1" applyNumberFormat="1" applyFont="1" applyFill="1"/>
    <xf numFmtId="0" fontId="12" fillId="0" borderId="0" xfId="2" applyNumberFormat="1" applyFont="1" applyFill="1" applyAlignment="1"/>
    <xf numFmtId="173" fontId="11" fillId="0" borderId="0" xfId="1" applyNumberFormat="1" applyFont="1" applyFill="1"/>
    <xf numFmtId="10" fontId="11" fillId="0" borderId="0" xfId="62" applyNumberFormat="1" applyFont="1" applyFill="1"/>
    <xf numFmtId="174" fontId="11" fillId="0" borderId="0" xfId="2" applyNumberFormat="1" applyFont="1" applyFill="1"/>
    <xf numFmtId="3" fontId="11" fillId="0" borderId="0" xfId="2" applyNumberFormat="1" applyFont="1" applyFill="1"/>
    <xf numFmtId="0" fontId="11" fillId="0" borderId="0" xfId="2" applyFont="1"/>
    <xf numFmtId="0" fontId="11" fillId="0" borderId="0" xfId="0" applyFont="1"/>
    <xf numFmtId="0" fontId="5" fillId="0" borderId="0" xfId="0" applyFont="1" applyAlignment="1"/>
    <xf numFmtId="0" fontId="5" fillId="0" borderId="0" xfId="0" applyFont="1" applyFill="1" applyAlignment="1"/>
    <xf numFmtId="0" fontId="6" fillId="0" borderId="0" xfId="0" applyFont="1" applyAlignment="1"/>
    <xf numFmtId="0" fontId="6" fillId="0" borderId="0" xfId="0" applyFont="1" applyFill="1" applyAlignment="1"/>
    <xf numFmtId="0" fontId="8" fillId="0" borderId="0" xfId="2" applyFont="1" applyFill="1" applyAlignment="1"/>
    <xf numFmtId="0" fontId="4" fillId="0" borderId="1" xfId="0" applyFont="1" applyBorder="1" applyAlignment="1"/>
    <xf numFmtId="0" fontId="4" fillId="0" borderId="1" xfId="0" applyFont="1" applyFill="1" applyBorder="1" applyAlignment="1"/>
    <xf numFmtId="0" fontId="10" fillId="0" borderId="2" xfId="0" applyNumberFormat="1" applyFont="1" applyBorder="1" applyAlignment="1">
      <alignment vertical="center" wrapText="1"/>
    </xf>
    <xf numFmtId="49" fontId="10" fillId="0" borderId="3" xfId="0" applyNumberFormat="1" applyFont="1" applyBorder="1" applyAlignment="1">
      <alignment vertical="center" wrapText="1"/>
    </xf>
    <xf numFmtId="49" fontId="10" fillId="0" borderId="4" xfId="0" applyNumberFormat="1" applyFont="1" applyBorder="1" applyAlignment="1">
      <alignment vertical="center" wrapText="1"/>
    </xf>
    <xf numFmtId="49" fontId="10" fillId="0" borderId="4" xfId="0" applyNumberFormat="1" applyFont="1" applyFill="1" applyBorder="1" applyAlignment="1">
      <alignment vertical="center" wrapText="1"/>
    </xf>
    <xf numFmtId="49" fontId="10" fillId="0" borderId="5" xfId="0" applyNumberFormat="1" applyFont="1" applyBorder="1" applyAlignment="1">
      <alignment vertical="center" wrapText="1"/>
    </xf>
    <xf numFmtId="49" fontId="10" fillId="0" borderId="2" xfId="0" applyNumberFormat="1" applyFont="1" applyBorder="1" applyAlignment="1">
      <alignment vertical="center" wrapText="1"/>
    </xf>
    <xf numFmtId="1" fontId="10" fillId="0" borderId="2" xfId="0" applyNumberFormat="1" applyFont="1" applyBorder="1" applyAlignment="1">
      <alignment vertical="center" wrapText="1"/>
    </xf>
    <xf numFmtId="49" fontId="12" fillId="0" borderId="3" xfId="0" applyNumberFormat="1" applyFont="1" applyBorder="1" applyAlignment="1">
      <alignment vertical="center" wrapText="1"/>
    </xf>
    <xf numFmtId="49" fontId="12" fillId="0" borderId="4" xfId="0" applyNumberFormat="1" applyFont="1" applyBorder="1" applyAlignment="1">
      <alignment vertical="center" wrapText="1"/>
    </xf>
    <xf numFmtId="49" fontId="12" fillId="0" borderId="5" xfId="0" applyNumberFormat="1" applyFont="1" applyBorder="1" applyAlignment="1">
      <alignment vertical="center" wrapText="1"/>
    </xf>
    <xf numFmtId="0" fontId="10" fillId="0" borderId="7" xfId="0" applyNumberFormat="1" applyFont="1" applyBorder="1" applyAlignment="1">
      <alignment vertical="center" wrapText="1"/>
    </xf>
    <xf numFmtId="49" fontId="10" fillId="0" borderId="8" xfId="0" applyNumberFormat="1" applyFont="1" applyBorder="1" applyAlignment="1">
      <alignment vertical="center" wrapText="1"/>
    </xf>
    <xf numFmtId="49" fontId="10" fillId="0" borderId="1" xfId="0" applyNumberFormat="1" applyFont="1" applyBorder="1" applyAlignment="1">
      <alignment vertical="center" wrapText="1"/>
    </xf>
    <xf numFmtId="49" fontId="10" fillId="0" borderId="1" xfId="0" applyNumberFormat="1" applyFont="1" applyFill="1" applyBorder="1" applyAlignment="1">
      <alignment vertical="center" wrapText="1"/>
    </xf>
    <xf numFmtId="49" fontId="10" fillId="0" borderId="9" xfId="0" applyNumberFormat="1" applyFont="1" applyBorder="1" applyAlignment="1">
      <alignment vertical="center" wrapText="1"/>
    </xf>
    <xf numFmtId="49" fontId="10" fillId="0" borderId="7" xfId="0" applyNumberFormat="1" applyFont="1" applyBorder="1" applyAlignment="1">
      <alignment vertical="center" wrapText="1"/>
    </xf>
    <xf numFmtId="1" fontId="10" fillId="0" borderId="7" xfId="0" applyNumberFormat="1" applyFont="1" applyBorder="1" applyAlignment="1">
      <alignment vertical="center" wrapText="1"/>
    </xf>
    <xf numFmtId="49" fontId="12" fillId="0" borderId="8" xfId="0" applyNumberFormat="1" applyFont="1" applyBorder="1" applyAlignment="1">
      <alignment vertical="center" wrapText="1"/>
    </xf>
    <xf numFmtId="49" fontId="12" fillId="0" borderId="1" xfId="0" applyNumberFormat="1" applyFont="1" applyBorder="1" applyAlignment="1">
      <alignment vertical="center" wrapText="1"/>
    </xf>
    <xf numFmtId="49" fontId="12" fillId="0" borderId="9" xfId="0" applyNumberFormat="1" applyFont="1" applyBorder="1" applyAlignment="1">
      <alignment vertical="center" wrapText="1"/>
    </xf>
    <xf numFmtId="0" fontId="10" fillId="0" borderId="10" xfId="0" applyNumberFormat="1" applyFont="1" applyBorder="1" applyAlignment="1">
      <alignment vertical="center" wrapText="1"/>
    </xf>
    <xf numFmtId="49" fontId="10" fillId="0" borderId="10" xfId="0" applyNumberFormat="1" applyFont="1" applyBorder="1" applyAlignment="1">
      <alignment vertical="center" wrapText="1"/>
    </xf>
    <xf numFmtId="1" fontId="10" fillId="0" borderId="10" xfId="0" applyNumberFormat="1" applyFont="1" applyBorder="1" applyAlignment="1">
      <alignment vertical="center" wrapText="1"/>
    </xf>
    <xf numFmtId="38" fontId="14" fillId="0" borderId="15" xfId="2" applyNumberFormat="1" applyFont="1" applyFill="1" applyBorder="1" applyAlignment="1"/>
    <xf numFmtId="38" fontId="14" fillId="0" borderId="16" xfId="2" applyNumberFormat="1" applyFont="1" applyFill="1" applyBorder="1" applyAlignment="1"/>
    <xf numFmtId="38" fontId="14" fillId="0" borderId="17" xfId="2" applyNumberFormat="1" applyFont="1" applyFill="1" applyBorder="1" applyAlignment="1"/>
    <xf numFmtId="3" fontId="18" fillId="0" borderId="0" xfId="1" applyNumberFormat="1" applyFont="1" applyFill="1" applyBorder="1" applyAlignment="1"/>
    <xf numFmtId="0" fontId="14" fillId="0" borderId="0" xfId="2" applyFont="1" applyFill="1" applyBorder="1" applyAlignment="1"/>
    <xf numFmtId="0" fontId="21" fillId="5" borderId="0" xfId="0" applyFont="1" applyFill="1" applyAlignment="1">
      <alignment vertical="center" wrapText="1"/>
    </xf>
    <xf numFmtId="38" fontId="12" fillId="0" borderId="11" xfId="0" applyNumberFormat="1" applyFont="1" applyFill="1" applyBorder="1" applyAlignment="1">
      <alignment vertical="center"/>
    </xf>
    <xf numFmtId="49" fontId="10" fillId="0" borderId="22" xfId="0" applyNumberFormat="1" applyFont="1" applyBorder="1" applyAlignment="1">
      <alignment vertical="center" wrapText="1"/>
    </xf>
    <xf numFmtId="38" fontId="14" fillId="0" borderId="15" xfId="2" applyNumberFormat="1" applyFont="1" applyFill="1" applyBorder="1" applyAlignment="1">
      <alignment horizontal="center"/>
    </xf>
    <xf numFmtId="38" fontId="12" fillId="0" borderId="6" xfId="0" applyNumberFormat="1" applyFont="1" applyFill="1" applyBorder="1" applyAlignment="1">
      <alignment horizontal="center" vertical="center"/>
    </xf>
    <xf numFmtId="0" fontId="5" fillId="0" borderId="0" xfId="0" applyFont="1" applyAlignment="1">
      <alignment horizontal="center"/>
    </xf>
    <xf numFmtId="0" fontId="5" fillId="0" borderId="0" xfId="0" applyFont="1" applyFill="1" applyAlignment="1">
      <alignment horizontal="center"/>
    </xf>
    <xf numFmtId="0" fontId="6" fillId="0" borderId="0" xfId="0" applyFont="1" applyAlignment="1">
      <alignment horizontal="center"/>
    </xf>
    <xf numFmtId="0" fontId="6" fillId="0" borderId="0" xfId="0" applyFont="1" applyFill="1" applyAlignment="1">
      <alignment horizontal="center"/>
    </xf>
    <xf numFmtId="0" fontId="8" fillId="0" borderId="0" xfId="2" applyFont="1" applyFill="1" applyAlignment="1">
      <alignment horizontal="center"/>
    </xf>
    <xf numFmtId="0" fontId="4" fillId="0" borderId="1" xfId="0" applyFont="1" applyBorder="1" applyAlignment="1">
      <alignment horizontal="right"/>
    </xf>
    <xf numFmtId="0" fontId="4" fillId="0" borderId="1" xfId="0" applyFont="1" applyFill="1" applyBorder="1" applyAlignment="1">
      <alignment horizontal="right"/>
    </xf>
    <xf numFmtId="0" fontId="4" fillId="0" borderId="0" xfId="0" applyFont="1" applyBorder="1" applyAlignment="1">
      <alignment horizontal="right"/>
    </xf>
    <xf numFmtId="0" fontId="10" fillId="0" borderId="2" xfId="0" applyNumberFormat="1" applyFont="1" applyBorder="1" applyAlignment="1">
      <alignment horizontal="center" vertical="center" wrapText="1"/>
    </xf>
    <xf numFmtId="0" fontId="10" fillId="0" borderId="7" xfId="0" applyNumberFormat="1" applyFont="1" applyBorder="1" applyAlignment="1">
      <alignment horizontal="center" vertical="center" wrapText="1"/>
    </xf>
    <xf numFmtId="0" fontId="10" fillId="0" borderId="10" xfId="0" applyNumberFormat="1" applyFont="1" applyBorder="1" applyAlignment="1">
      <alignment horizontal="center" vertical="center" wrapText="1"/>
    </xf>
    <xf numFmtId="49" fontId="10" fillId="0" borderId="3" xfId="0" applyNumberFormat="1" applyFont="1" applyBorder="1" applyAlignment="1">
      <alignment horizontal="center" vertical="center" wrapText="1"/>
    </xf>
    <xf numFmtId="49" fontId="10" fillId="0" borderId="4" xfId="0" applyNumberFormat="1" applyFont="1" applyBorder="1" applyAlignment="1">
      <alignment horizontal="center" vertical="center" wrapText="1"/>
    </xf>
    <xf numFmtId="49" fontId="10" fillId="0" borderId="4" xfId="0" applyNumberFormat="1" applyFont="1" applyFill="1" applyBorder="1" applyAlignment="1">
      <alignment horizontal="center" vertical="center" wrapText="1"/>
    </xf>
    <xf numFmtId="49" fontId="10" fillId="0" borderId="5" xfId="0" applyNumberFormat="1" applyFont="1" applyBorder="1" applyAlignment="1">
      <alignment horizontal="center" vertical="center" wrapText="1"/>
    </xf>
    <xf numFmtId="49" fontId="10" fillId="0" borderId="8" xfId="0" applyNumberFormat="1" applyFont="1" applyBorder="1" applyAlignment="1">
      <alignment horizontal="center" vertical="center" wrapText="1"/>
    </xf>
    <xf numFmtId="49" fontId="10" fillId="0" borderId="1" xfId="0" applyNumberFormat="1" applyFont="1" applyBorder="1" applyAlignment="1">
      <alignment horizontal="center" vertical="center" wrapText="1"/>
    </xf>
    <xf numFmtId="49" fontId="10" fillId="0" borderId="1" xfId="0" applyNumberFormat="1" applyFont="1" applyFill="1" applyBorder="1" applyAlignment="1">
      <alignment horizontal="center" vertical="center" wrapText="1"/>
    </xf>
    <xf numFmtId="49" fontId="10" fillId="0" borderId="9" xfId="0" applyNumberFormat="1" applyFont="1" applyBorder="1" applyAlignment="1">
      <alignment horizontal="center" vertical="center" wrapText="1"/>
    </xf>
    <xf numFmtId="49" fontId="10" fillId="0" borderId="2" xfId="0" applyNumberFormat="1" applyFont="1" applyBorder="1" applyAlignment="1">
      <alignment horizontal="center" vertical="center" wrapText="1"/>
    </xf>
    <xf numFmtId="49" fontId="10" fillId="0" borderId="7" xfId="0" applyNumberFormat="1" applyFont="1" applyBorder="1" applyAlignment="1">
      <alignment horizontal="center" vertical="center" wrapText="1"/>
    </xf>
    <xf numFmtId="49" fontId="10" fillId="0" borderId="10" xfId="0" applyNumberFormat="1" applyFont="1" applyBorder="1" applyAlignment="1">
      <alignment horizontal="center" vertical="center" wrapText="1"/>
    </xf>
    <xf numFmtId="1" fontId="10" fillId="0" borderId="2" xfId="0" applyNumberFormat="1" applyFont="1" applyBorder="1" applyAlignment="1">
      <alignment horizontal="center" vertical="center" wrapText="1"/>
    </xf>
    <xf numFmtId="1" fontId="10" fillId="0" borderId="7" xfId="0" applyNumberFormat="1" applyFont="1" applyBorder="1" applyAlignment="1">
      <alignment horizontal="center" vertical="center" wrapText="1"/>
    </xf>
    <xf numFmtId="1" fontId="10" fillId="0" borderId="10" xfId="0" applyNumberFormat="1" applyFont="1" applyBorder="1" applyAlignment="1">
      <alignment horizontal="center" vertical="center" wrapText="1"/>
    </xf>
    <xf numFmtId="49" fontId="12" fillId="0" borderId="6" xfId="0" applyNumberFormat="1" applyFont="1" applyBorder="1" applyAlignment="1">
      <alignment horizontal="center" vertical="center" wrapText="1"/>
    </xf>
    <xf numFmtId="38" fontId="14" fillId="0" borderId="6" xfId="2" applyNumberFormat="1" applyFont="1" applyFill="1" applyBorder="1" applyAlignment="1">
      <alignment horizontal="center"/>
    </xf>
    <xf numFmtId="38" fontId="12" fillId="0" borderId="15" xfId="0" applyNumberFormat="1" applyFont="1" applyFill="1" applyBorder="1" applyAlignment="1">
      <alignment horizontal="center" vertical="center"/>
    </xf>
    <xf numFmtId="38" fontId="12" fillId="0" borderId="16" xfId="0" applyNumberFormat="1" applyFont="1" applyFill="1" applyBorder="1" applyAlignment="1">
      <alignment horizontal="center" vertical="center"/>
    </xf>
    <xf numFmtId="38" fontId="12" fillId="0" borderId="17" xfId="0" applyNumberFormat="1" applyFont="1" applyFill="1" applyBorder="1" applyAlignment="1">
      <alignment horizontal="center" vertical="center"/>
    </xf>
    <xf numFmtId="0" fontId="14" fillId="0" borderId="0" xfId="2" applyNumberFormat="1" applyFont="1" applyFill="1" applyAlignment="1">
      <alignment horizontal="center"/>
    </xf>
    <xf numFmtId="0" fontId="14" fillId="0" borderId="0" xfId="2" applyFont="1" applyFill="1" applyBorder="1" applyAlignment="1">
      <alignment horizontal="center"/>
    </xf>
    <xf numFmtId="0" fontId="12" fillId="0" borderId="0" xfId="2" applyNumberFormat="1" applyFont="1" applyFill="1" applyAlignment="1">
      <alignment horizontal="center"/>
    </xf>
    <xf numFmtId="0" fontId="21" fillId="5" borderId="0" xfId="0" applyFont="1" applyFill="1" applyAlignment="1">
      <alignment horizontal="right" vertical="center" wrapText="1"/>
    </xf>
    <xf numFmtId="0" fontId="17" fillId="0" borderId="15" xfId="0" applyFont="1" applyFill="1" applyBorder="1" applyAlignment="1">
      <alignment horizontal="center"/>
    </xf>
    <xf numFmtId="0" fontId="17" fillId="0" borderId="16" xfId="0" applyFont="1" applyFill="1" applyBorder="1" applyAlignment="1">
      <alignment horizontal="center"/>
    </xf>
    <xf numFmtId="0" fontId="17" fillId="0" borderId="17" xfId="0" applyFont="1" applyFill="1" applyBorder="1" applyAlignment="1">
      <alignment horizontal="center"/>
    </xf>
    <xf numFmtId="3" fontId="18" fillId="0" borderId="0" xfId="1" applyNumberFormat="1" applyFont="1" applyFill="1" applyBorder="1" applyAlignment="1">
      <alignment horizontal="center"/>
    </xf>
    <xf numFmtId="0" fontId="17" fillId="0" borderId="6" xfId="0" applyFont="1" applyFill="1" applyBorder="1" applyAlignment="1">
      <alignment horizontal="center"/>
    </xf>
    <xf numFmtId="0" fontId="43" fillId="0" borderId="0" xfId="2" applyNumberFormat="1" applyFont="1" applyFill="1" applyAlignment="1">
      <alignment horizontal="center"/>
    </xf>
    <xf numFmtId="0" fontId="12" fillId="0" borderId="0" xfId="2" applyFont="1" applyFill="1" applyBorder="1" applyAlignment="1">
      <alignment horizontal="center"/>
    </xf>
    <xf numFmtId="38" fontId="40" fillId="0" borderId="6" xfId="0" applyNumberFormat="1" applyFont="1" applyFill="1" applyBorder="1" applyAlignment="1">
      <alignment horizontal="center" vertical="center"/>
    </xf>
    <xf numFmtId="49" fontId="38" fillId="0" borderId="6" xfId="0" applyNumberFormat="1" applyFont="1" applyBorder="1" applyAlignment="1">
      <alignment horizontal="center" vertical="center" wrapText="1"/>
    </xf>
    <xf numFmtId="49" fontId="38" fillId="0" borderId="3" xfId="0" applyNumberFormat="1" applyFont="1" applyBorder="1" applyAlignment="1">
      <alignment horizontal="center" vertical="center" wrapText="1"/>
    </xf>
    <xf numFmtId="49" fontId="38" fillId="0" borderId="4" xfId="0" applyNumberFormat="1" applyFont="1" applyBorder="1" applyAlignment="1">
      <alignment horizontal="center" vertical="center" wrapText="1"/>
    </xf>
    <xf numFmtId="49" fontId="38" fillId="0" borderId="5" xfId="0" applyNumberFormat="1" applyFont="1" applyBorder="1" applyAlignment="1">
      <alignment horizontal="center" vertical="center" wrapText="1"/>
    </xf>
    <xf numFmtId="49" fontId="38" fillId="0" borderId="8" xfId="0" applyNumberFormat="1" applyFont="1" applyBorder="1" applyAlignment="1">
      <alignment horizontal="center" vertical="center" wrapText="1"/>
    </xf>
    <xf numFmtId="49" fontId="38" fillId="0" borderId="1" xfId="0" applyNumberFormat="1" applyFont="1" applyBorder="1" applyAlignment="1">
      <alignment horizontal="center" vertical="center" wrapText="1"/>
    </xf>
    <xf numFmtId="49" fontId="38" fillId="0" borderId="9" xfId="0" applyNumberFormat="1" applyFont="1" applyBorder="1" applyAlignment="1">
      <alignment horizontal="center" vertical="center" wrapText="1"/>
    </xf>
    <xf numFmtId="0" fontId="50" fillId="0" borderId="0" xfId="0" applyFont="1"/>
  </cellXfs>
  <cellStyles count="66">
    <cellStyle name="Comma" xfId="1" builtinId="3"/>
    <cellStyle name="Comma 2" xfId="4" xr:uid="{00000000-0005-0000-0000-000001000000}"/>
    <cellStyle name="Comma0" xfId="5" xr:uid="{00000000-0005-0000-0000-000002000000}"/>
    <cellStyle name="Comma0 2" xfId="6" xr:uid="{00000000-0005-0000-0000-000003000000}"/>
    <cellStyle name="Currency0" xfId="7" xr:uid="{00000000-0005-0000-0000-000004000000}"/>
    <cellStyle name="Currency0 2" xfId="8" xr:uid="{00000000-0005-0000-0000-000005000000}"/>
    <cellStyle name="Date" xfId="9" xr:uid="{00000000-0005-0000-0000-000006000000}"/>
    <cellStyle name="Date 2" xfId="10" xr:uid="{00000000-0005-0000-0000-000007000000}"/>
    <cellStyle name="Fixed" xfId="11" xr:uid="{00000000-0005-0000-0000-000008000000}"/>
    <cellStyle name="Fixed 2" xfId="12" xr:uid="{00000000-0005-0000-0000-000009000000}"/>
    <cellStyle name="Grey" xfId="13" xr:uid="{00000000-0005-0000-0000-00000A000000}"/>
    <cellStyle name="Heading 1 2" xfId="14" xr:uid="{00000000-0005-0000-0000-00000B000000}"/>
    <cellStyle name="Heading 2 2" xfId="15" xr:uid="{00000000-0005-0000-0000-00000C000000}"/>
    <cellStyle name="Input [yellow]" xfId="16" xr:uid="{00000000-0005-0000-0000-00000D000000}"/>
    <cellStyle name="Milliers [0]_AR1194" xfId="17" xr:uid="{00000000-0005-0000-0000-00000E000000}"/>
    <cellStyle name="Milliers_AR1194" xfId="18" xr:uid="{00000000-0005-0000-0000-00000F000000}"/>
    <cellStyle name="Monétaire [0]_AR1194" xfId="19" xr:uid="{00000000-0005-0000-0000-000010000000}"/>
    <cellStyle name="Monétaire_AR1194" xfId="20" xr:uid="{00000000-0005-0000-0000-000011000000}"/>
    <cellStyle name="Normal" xfId="0" builtinId="0"/>
    <cellStyle name="Normal - Style1" xfId="21" xr:uid="{00000000-0005-0000-0000-000013000000}"/>
    <cellStyle name="Normal 10 2" xfId="22" xr:uid="{00000000-0005-0000-0000-000014000000}"/>
    <cellStyle name="Normal 11" xfId="23" xr:uid="{00000000-0005-0000-0000-000015000000}"/>
    <cellStyle name="Normal 12" xfId="24" xr:uid="{00000000-0005-0000-0000-000016000000}"/>
    <cellStyle name="Normal 13" xfId="25" xr:uid="{00000000-0005-0000-0000-000017000000}"/>
    <cellStyle name="Normal 14" xfId="26" xr:uid="{00000000-0005-0000-0000-000018000000}"/>
    <cellStyle name="Normal 15 2" xfId="27" xr:uid="{00000000-0005-0000-0000-000019000000}"/>
    <cellStyle name="Normal 16 2" xfId="28" xr:uid="{00000000-0005-0000-0000-00001A000000}"/>
    <cellStyle name="Normal 17" xfId="29" xr:uid="{00000000-0005-0000-0000-00001B000000}"/>
    <cellStyle name="Normal 18" xfId="63" xr:uid="{00000000-0005-0000-0000-00001C000000}"/>
    <cellStyle name="Normal 19" xfId="30" xr:uid="{00000000-0005-0000-0000-00001D000000}"/>
    <cellStyle name="Normal 2" xfId="65" xr:uid="{00000000-0005-0000-0000-00001E000000}"/>
    <cellStyle name="Normal 2 2" xfId="31" xr:uid="{00000000-0005-0000-0000-00001F000000}"/>
    <cellStyle name="Normal 20" xfId="32" xr:uid="{00000000-0005-0000-0000-000020000000}"/>
    <cellStyle name="Normal 21" xfId="33" xr:uid="{00000000-0005-0000-0000-000021000000}"/>
    <cellStyle name="Normal 22" xfId="34" xr:uid="{00000000-0005-0000-0000-000022000000}"/>
    <cellStyle name="Normal 24" xfId="35" xr:uid="{00000000-0005-0000-0000-000023000000}"/>
    <cellStyle name="Normal 25" xfId="36" xr:uid="{00000000-0005-0000-0000-000024000000}"/>
    <cellStyle name="Normal 26" xfId="37" xr:uid="{00000000-0005-0000-0000-000025000000}"/>
    <cellStyle name="Normal 27" xfId="38" xr:uid="{00000000-0005-0000-0000-000026000000}"/>
    <cellStyle name="Normal 28" xfId="39" xr:uid="{00000000-0005-0000-0000-000027000000}"/>
    <cellStyle name="Normal 3 2" xfId="40" xr:uid="{00000000-0005-0000-0000-000028000000}"/>
    <cellStyle name="Normal 4 2" xfId="41" xr:uid="{00000000-0005-0000-0000-000029000000}"/>
    <cellStyle name="Normal 5 2" xfId="42" xr:uid="{00000000-0005-0000-0000-00002A000000}"/>
    <cellStyle name="Normal 53" xfId="64" xr:uid="{00000000-0005-0000-0000-00002B000000}"/>
    <cellStyle name="Normal 6" xfId="3" xr:uid="{00000000-0005-0000-0000-00002C000000}"/>
    <cellStyle name="Normal 6 2" xfId="43" xr:uid="{00000000-0005-0000-0000-00002D000000}"/>
    <cellStyle name="Normal 7 2" xfId="44" xr:uid="{00000000-0005-0000-0000-00002E000000}"/>
    <cellStyle name="Normal 8 2" xfId="45" xr:uid="{00000000-0005-0000-0000-00002F000000}"/>
    <cellStyle name="Normal 9 2" xfId="46" xr:uid="{00000000-0005-0000-0000-000030000000}"/>
    <cellStyle name="Normal_Bangke_banra_I5" xfId="2" xr:uid="{00000000-0005-0000-0000-000031000000}"/>
    <cellStyle name="Percent" xfId="62" builtinId="5"/>
    <cellStyle name="Percent [2]" xfId="47" xr:uid="{00000000-0005-0000-0000-000033000000}"/>
    <cellStyle name="Percent 2" xfId="48" xr:uid="{00000000-0005-0000-0000-000034000000}"/>
    <cellStyle name="PERCENTAGE" xfId="49" xr:uid="{00000000-0005-0000-0000-000035000000}"/>
    <cellStyle name="Total 2" xfId="50" xr:uid="{00000000-0005-0000-0000-000036000000}"/>
    <cellStyle name="똿뗦먛귟 [0.00]_PRODUCT DETAIL Q1" xfId="51" xr:uid="{00000000-0005-0000-0000-000037000000}"/>
    <cellStyle name="똿뗦먛귟_PRODUCT DETAIL Q1" xfId="52" xr:uid="{00000000-0005-0000-0000-000038000000}"/>
    <cellStyle name="믅됞 [0.00]_PRODUCT DETAIL Q1" xfId="53" xr:uid="{00000000-0005-0000-0000-000039000000}"/>
    <cellStyle name="믅됞_PRODUCT DETAIL Q1" xfId="54" xr:uid="{00000000-0005-0000-0000-00003A000000}"/>
    <cellStyle name="백분율_HOBONG" xfId="55" xr:uid="{00000000-0005-0000-0000-00003B000000}"/>
    <cellStyle name="뷭?_BOOKSHIP" xfId="56" xr:uid="{00000000-0005-0000-0000-00003C000000}"/>
    <cellStyle name="콤마 [0]_1202" xfId="57" xr:uid="{00000000-0005-0000-0000-00003D000000}"/>
    <cellStyle name="콤마_1202" xfId="58" xr:uid="{00000000-0005-0000-0000-00003E000000}"/>
    <cellStyle name="통화 [0]_1202" xfId="59" xr:uid="{00000000-0005-0000-0000-00003F000000}"/>
    <cellStyle name="통화_1202" xfId="60" xr:uid="{00000000-0005-0000-0000-000040000000}"/>
    <cellStyle name="표준_(정보부문)월별인원계획" xfId="61" xr:uid="{00000000-0005-0000-0000-000041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0</xdr:rowOff>
    </xdr:from>
    <xdr:to>
      <xdr:col>3</xdr:col>
      <xdr:colOff>476250</xdr:colOff>
      <xdr:row>2</xdr:row>
      <xdr:rowOff>87689</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9050" y="0"/>
          <a:ext cx="1524000" cy="487739"/>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0</xdr:rowOff>
    </xdr:from>
    <xdr:to>
      <xdr:col>3</xdr:col>
      <xdr:colOff>476250</xdr:colOff>
      <xdr:row>2</xdr:row>
      <xdr:rowOff>87689</xdr:rowOff>
    </xdr:to>
    <xdr:sp macro="" textlink="">
      <xdr:nvSpPr>
        <xdr:cNvPr id="2" name="Text Box 1">
          <a:extLst>
            <a:ext uri="{FF2B5EF4-FFF2-40B4-BE49-F238E27FC236}">
              <a16:creationId xmlns:a16="http://schemas.microsoft.com/office/drawing/2014/main" id="{00000000-0008-0000-0100-000002000000}"/>
            </a:ext>
          </a:extLst>
        </xdr:cNvPr>
        <xdr:cNvSpPr txBox="1">
          <a:spLocks noChangeArrowheads="1"/>
        </xdr:cNvSpPr>
      </xdr:nvSpPr>
      <xdr:spPr bwMode="auto">
        <a:xfrm>
          <a:off x="19050" y="0"/>
          <a:ext cx="1476375" cy="506789"/>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57151</xdr:colOff>
      <xdr:row>0</xdr:row>
      <xdr:rowOff>49530</xdr:rowOff>
    </xdr:from>
    <xdr:to>
      <xdr:col>2</xdr:col>
      <xdr:colOff>358166</xdr:colOff>
      <xdr:row>3</xdr:row>
      <xdr:rowOff>95250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7151" y="49530"/>
          <a:ext cx="1434490" cy="6457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p>
      </xdr:txBody>
    </xdr:sp>
    <xdr:clientData/>
  </xdr:twoCellAnchor>
  <xdr:twoCellAnchor>
    <xdr:from>
      <xdr:col>0</xdr:col>
      <xdr:colOff>0</xdr:colOff>
      <xdr:row>0</xdr:row>
      <xdr:rowOff>11430</xdr:rowOff>
    </xdr:from>
    <xdr:to>
      <xdr:col>3</xdr:col>
      <xdr:colOff>0</xdr:colOff>
      <xdr:row>3</xdr:row>
      <xdr:rowOff>125730</xdr:rowOff>
    </xdr:to>
    <xdr:sp macro="" textlink="">
      <xdr:nvSpPr>
        <xdr:cNvPr id="3" name="Text Box 1">
          <a:extLst>
            <a:ext uri="{FF2B5EF4-FFF2-40B4-BE49-F238E27FC236}">
              <a16:creationId xmlns:a16="http://schemas.microsoft.com/office/drawing/2014/main" id="{00000000-0008-0000-0200-000003000000}"/>
            </a:ext>
          </a:extLst>
        </xdr:cNvPr>
        <xdr:cNvSpPr txBox="1">
          <a:spLocks noChangeArrowheads="1"/>
        </xdr:cNvSpPr>
      </xdr:nvSpPr>
      <xdr:spPr bwMode="auto">
        <a:xfrm>
          <a:off x="0" y="11430"/>
          <a:ext cx="1628775" cy="7143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Q83"/>
  <sheetViews>
    <sheetView tabSelected="1" topLeftCell="C10" zoomScale="85" zoomScaleNormal="85" workbookViewId="0">
      <selection activeCell="A27" sqref="A27:XFD47"/>
    </sheetView>
  </sheetViews>
  <sheetFormatPr baseColWidth="10" defaultColWidth="8.83203125" defaultRowHeight="13"/>
  <cols>
    <col min="1" max="1" width="6" style="11" customWidth="1"/>
    <col min="2" max="2" width="7.5" style="11" customWidth="1"/>
    <col min="3" max="3" width="9.33203125" style="87" customWidth="1"/>
    <col min="4" max="4" width="9.5" style="87" customWidth="1"/>
    <col min="5" max="5" width="9.6640625" style="88" customWidth="1"/>
    <col min="6" max="6" width="32.6640625" style="87" customWidth="1"/>
    <col min="7" max="7" width="14.5" style="87" customWidth="1"/>
    <col min="8" max="8" width="26.5" style="87" customWidth="1"/>
    <col min="9" max="9" width="13.83203125" style="92" customWidth="1"/>
    <col min="10" max="10" width="4.83203125" style="87" customWidth="1"/>
    <col min="11" max="12" width="12.83203125" style="84" customWidth="1"/>
    <col min="13" max="13" width="3" style="73" customWidth="1"/>
    <col min="14" max="14" width="10.6640625" style="73" bestFit="1" customWidth="1"/>
    <col min="15" max="15" width="4.6640625" style="73" customWidth="1"/>
    <col min="16" max="16" width="12" style="10" bestFit="1" customWidth="1"/>
    <col min="17" max="17" width="19.6640625" style="10" customWidth="1"/>
    <col min="18" max="16384" width="8.83203125" style="10"/>
  </cols>
  <sheetData>
    <row r="1" spans="1:17" s="5" customFormat="1" ht="18">
      <c r="A1" s="1"/>
      <c r="B1" s="1"/>
      <c r="C1" s="166" t="s">
        <v>0</v>
      </c>
      <c r="D1" s="167"/>
      <c r="E1" s="166"/>
      <c r="F1" s="166"/>
      <c r="G1" s="166"/>
      <c r="H1" s="166"/>
      <c r="I1" s="166"/>
      <c r="J1" s="166"/>
      <c r="K1" s="166"/>
      <c r="L1" s="166"/>
      <c r="M1" s="166"/>
      <c r="N1" s="119"/>
      <c r="O1" s="119"/>
    </row>
    <row r="2" spans="1:17" s="5" customFormat="1" ht="14">
      <c r="A2" s="1"/>
      <c r="B2" s="1"/>
      <c r="C2" s="168" t="s">
        <v>1</v>
      </c>
      <c r="D2" s="169"/>
      <c r="E2" s="168"/>
      <c r="F2" s="168"/>
      <c r="G2" s="168"/>
      <c r="H2" s="168"/>
      <c r="I2" s="168"/>
      <c r="J2" s="168"/>
      <c r="K2" s="168"/>
      <c r="L2" s="168"/>
      <c r="M2" s="168"/>
      <c r="N2" s="120"/>
      <c r="O2" s="120"/>
    </row>
    <row r="3" spans="1:17" s="5" customFormat="1" ht="14">
      <c r="A3" s="1"/>
      <c r="B3" s="1"/>
      <c r="C3" s="168" t="s">
        <v>2</v>
      </c>
      <c r="D3" s="169"/>
      <c r="E3" s="168"/>
      <c r="F3" s="168"/>
      <c r="G3" s="168"/>
      <c r="H3" s="168"/>
      <c r="I3" s="168"/>
      <c r="J3" s="168"/>
      <c r="K3" s="168"/>
      <c r="L3" s="168"/>
      <c r="M3" s="168"/>
      <c r="N3" s="120"/>
      <c r="O3" s="120"/>
    </row>
    <row r="4" spans="1:17" ht="10.5" customHeight="1">
      <c r="A4" s="170" t="s">
        <v>3</v>
      </c>
      <c r="B4" s="170"/>
      <c r="C4" s="170"/>
      <c r="D4" s="170"/>
      <c r="E4" s="170"/>
      <c r="F4" s="170"/>
      <c r="G4" s="170"/>
      <c r="H4" s="170"/>
      <c r="I4" s="170"/>
      <c r="J4" s="170"/>
      <c r="K4" s="170"/>
      <c r="L4" s="170"/>
      <c r="M4" s="170"/>
      <c r="N4" s="121"/>
      <c r="O4" s="121"/>
    </row>
    <row r="5" spans="1:17" ht="15.75" customHeight="1">
      <c r="C5" s="12" t="s">
        <v>4</v>
      </c>
      <c r="D5" s="13"/>
      <c r="E5" s="12"/>
      <c r="F5" s="12" t="s">
        <v>5</v>
      </c>
      <c r="G5" s="10"/>
      <c r="H5" s="14"/>
      <c r="I5" s="14"/>
      <c r="J5" s="14"/>
      <c r="K5" s="14"/>
      <c r="L5" s="14"/>
      <c r="M5" s="15"/>
      <c r="N5" s="15"/>
      <c r="O5" s="15"/>
    </row>
    <row r="6" spans="1:17" ht="15.75" customHeight="1">
      <c r="C6" s="12" t="s">
        <v>6</v>
      </c>
      <c r="D6" s="13"/>
      <c r="E6" s="12"/>
      <c r="F6" s="12" t="s">
        <v>7</v>
      </c>
      <c r="G6" s="14"/>
      <c r="H6" s="14"/>
      <c r="I6" s="14"/>
      <c r="J6" s="14"/>
      <c r="K6" s="14"/>
      <c r="L6" s="14"/>
      <c r="M6" s="15"/>
      <c r="N6" s="15"/>
      <c r="O6" s="15"/>
    </row>
    <row r="7" spans="1:17" ht="15.75" customHeight="1">
      <c r="C7" s="12" t="s">
        <v>8</v>
      </c>
      <c r="D7" s="13"/>
      <c r="E7" s="12"/>
      <c r="F7" s="14"/>
      <c r="G7" s="14"/>
      <c r="H7" s="14"/>
      <c r="I7" s="14"/>
      <c r="J7" s="14"/>
      <c r="K7" s="14"/>
      <c r="L7" s="14"/>
      <c r="M7" s="15"/>
      <c r="N7" s="15"/>
      <c r="O7" s="15"/>
    </row>
    <row r="8" spans="1:17" ht="15.75" customHeight="1">
      <c r="C8" s="12" t="s">
        <v>9</v>
      </c>
      <c r="D8" s="13"/>
      <c r="E8" s="12"/>
      <c r="F8" s="14"/>
      <c r="G8" s="14"/>
      <c r="H8" s="14"/>
      <c r="I8" s="14"/>
      <c r="J8" s="14"/>
      <c r="K8" s="14"/>
      <c r="L8" s="14"/>
      <c r="M8" s="15"/>
      <c r="N8" s="15"/>
      <c r="O8" s="15"/>
    </row>
    <row r="9" spans="1:17" ht="12" customHeight="1">
      <c r="A9" s="171" t="s">
        <v>10</v>
      </c>
      <c r="B9" s="171"/>
      <c r="C9" s="171"/>
      <c r="D9" s="172"/>
      <c r="E9" s="171"/>
      <c r="F9" s="171"/>
      <c r="G9" s="171"/>
      <c r="H9" s="171"/>
      <c r="I9" s="171"/>
      <c r="J9" s="171"/>
      <c r="K9" s="171"/>
      <c r="L9" s="171"/>
      <c r="M9" s="171"/>
      <c r="N9" s="122"/>
      <c r="O9" s="122"/>
    </row>
    <row r="10" spans="1:17" ht="13.5" customHeight="1">
      <c r="A10" s="173" t="s">
        <v>11</v>
      </c>
      <c r="B10" s="174" t="s">
        <v>12</v>
      </c>
      <c r="C10" s="175"/>
      <c r="D10" s="176"/>
      <c r="E10" s="177"/>
      <c r="F10" s="178" t="s">
        <v>13</v>
      </c>
      <c r="G10" s="178" t="s">
        <v>14</v>
      </c>
      <c r="H10" s="178" t="s">
        <v>15</v>
      </c>
      <c r="I10" s="178" t="s">
        <v>16</v>
      </c>
      <c r="J10" s="179" t="s">
        <v>17</v>
      </c>
      <c r="K10" s="178" t="s">
        <v>18</v>
      </c>
      <c r="L10" s="174"/>
      <c r="M10" s="180" t="s">
        <v>19</v>
      </c>
      <c r="N10" s="181"/>
      <c r="O10" s="182"/>
    </row>
    <row r="11" spans="1:17" ht="12" customHeight="1">
      <c r="A11" s="183"/>
      <c r="B11" s="184"/>
      <c r="C11" s="185"/>
      <c r="D11" s="186"/>
      <c r="E11" s="187"/>
      <c r="F11" s="188"/>
      <c r="G11" s="188"/>
      <c r="H11" s="188"/>
      <c r="I11" s="188"/>
      <c r="J11" s="189"/>
      <c r="K11" s="188"/>
      <c r="L11" s="203"/>
      <c r="M11" s="190"/>
      <c r="N11" s="191"/>
      <c r="O11" s="192"/>
    </row>
    <row r="12" spans="1:17" ht="52.5" customHeight="1">
      <c r="A12" s="193"/>
      <c r="B12" s="123" t="s">
        <v>20</v>
      </c>
      <c r="C12" s="116" t="s">
        <v>21</v>
      </c>
      <c r="D12" s="19" t="s">
        <v>22</v>
      </c>
      <c r="E12" s="20" t="s">
        <v>23</v>
      </c>
      <c r="F12" s="194"/>
      <c r="G12" s="194"/>
      <c r="H12" s="194"/>
      <c r="I12" s="194"/>
      <c r="J12" s="195"/>
      <c r="K12" s="194"/>
      <c r="L12" s="194"/>
      <c r="M12" s="21"/>
      <c r="N12" s="117" t="s">
        <v>24</v>
      </c>
      <c r="O12" s="117" t="s">
        <v>25</v>
      </c>
      <c r="Q12" s="255" t="s">
        <v>2364</v>
      </c>
    </row>
    <row r="13" spans="1:17" ht="14.25" customHeight="1">
      <c r="A13" s="23" t="s">
        <v>26</v>
      </c>
      <c r="B13" s="23"/>
      <c r="C13" s="24" t="s">
        <v>27</v>
      </c>
      <c r="D13" s="24" t="s">
        <v>28</v>
      </c>
      <c r="E13" s="25" t="s">
        <v>29</v>
      </c>
      <c r="F13" s="24" t="s">
        <v>30</v>
      </c>
      <c r="G13" s="24" t="s">
        <v>31</v>
      </c>
      <c r="H13" s="24" t="s">
        <v>32</v>
      </c>
      <c r="I13" s="26" t="s">
        <v>33</v>
      </c>
      <c r="J13" s="24" t="s">
        <v>34</v>
      </c>
      <c r="K13" s="118" t="s">
        <v>35</v>
      </c>
      <c r="L13" s="204"/>
      <c r="M13" s="196">
        <v>-11</v>
      </c>
      <c r="N13" s="197"/>
      <c r="O13" s="198"/>
    </row>
    <row r="14" spans="1:17" s="37" customFormat="1" ht="18.75" customHeight="1">
      <c r="A14" s="29" t="e">
        <f>+#REF!+1</f>
        <v>#REF!</v>
      </c>
      <c r="B14" s="30"/>
      <c r="C14" s="30" t="s">
        <v>599</v>
      </c>
      <c r="D14" s="30" t="s">
        <v>600</v>
      </c>
      <c r="E14" s="31">
        <v>42878</v>
      </c>
      <c r="F14" s="30" t="s">
        <v>601</v>
      </c>
      <c r="G14" s="30" t="s">
        <v>602</v>
      </c>
      <c r="H14" s="30" t="s">
        <v>603</v>
      </c>
      <c r="I14" s="29">
        <v>44000000</v>
      </c>
      <c r="J14" s="29">
        <v>10</v>
      </c>
      <c r="K14" s="29">
        <v>4400000</v>
      </c>
      <c r="L14" s="51">
        <f t="shared" ref="L14" si="0">I14+K14</f>
        <v>48400000</v>
      </c>
      <c r="M14" s="38" t="s">
        <v>52</v>
      </c>
      <c r="N14" s="39">
        <v>42935</v>
      </c>
      <c r="O14" s="40" t="s">
        <v>587</v>
      </c>
      <c r="P14" s="36"/>
      <c r="Q14" s="37" t="s">
        <v>2365</v>
      </c>
    </row>
    <row r="15" spans="1:17" s="37" customFormat="1" ht="18.75" customHeight="1">
      <c r="A15" s="29" t="e">
        <f>+#REF!+1</f>
        <v>#REF!</v>
      </c>
      <c r="B15" s="30"/>
      <c r="C15" s="30" t="s">
        <v>444</v>
      </c>
      <c r="D15" s="30" t="s">
        <v>445</v>
      </c>
      <c r="E15" s="31">
        <v>42844</v>
      </c>
      <c r="F15" s="30" t="s">
        <v>446</v>
      </c>
      <c r="G15" s="30" t="s">
        <v>447</v>
      </c>
      <c r="H15" s="30" t="s">
        <v>448</v>
      </c>
      <c r="I15" s="29">
        <f>32405440+1620272</f>
        <v>34025712</v>
      </c>
      <c r="J15" s="29">
        <v>10</v>
      </c>
      <c r="K15" s="29">
        <f>3240544/2</f>
        <v>1620272</v>
      </c>
      <c r="L15" s="51">
        <f t="shared" ref="L15:L19" si="1">I15+K15</f>
        <v>35645984</v>
      </c>
      <c r="M15" s="38" t="s">
        <v>52</v>
      </c>
      <c r="N15" s="39">
        <v>42850</v>
      </c>
      <c r="O15" s="40" t="s">
        <v>438</v>
      </c>
      <c r="P15" s="36"/>
      <c r="Q15" s="37" t="s">
        <v>2366</v>
      </c>
    </row>
    <row r="16" spans="1:17" s="37" customFormat="1" ht="18.75" customHeight="1">
      <c r="A16" s="29" t="e">
        <f>+#REF!+1</f>
        <v>#REF!</v>
      </c>
      <c r="B16" s="30"/>
      <c r="C16" s="30" t="s">
        <v>444</v>
      </c>
      <c r="D16" s="30" t="s">
        <v>823</v>
      </c>
      <c r="E16" s="31">
        <v>42947</v>
      </c>
      <c r="F16" s="30" t="s">
        <v>638</v>
      </c>
      <c r="G16" s="30" t="s">
        <v>447</v>
      </c>
      <c r="H16" s="30" t="s">
        <v>824</v>
      </c>
      <c r="I16" s="29">
        <f>22500000+1125000</f>
        <v>23625000</v>
      </c>
      <c r="J16" s="29">
        <v>10</v>
      </c>
      <c r="K16" s="29">
        <f>2250000/2</f>
        <v>1125000</v>
      </c>
      <c r="L16" s="51">
        <f t="shared" si="1"/>
        <v>24750000</v>
      </c>
      <c r="M16" s="38" t="s">
        <v>52</v>
      </c>
      <c r="N16" s="39">
        <v>42963</v>
      </c>
      <c r="O16" s="40" t="s">
        <v>729</v>
      </c>
      <c r="P16" s="36"/>
      <c r="Q16" s="37" t="s">
        <v>2366</v>
      </c>
    </row>
    <row r="17" spans="1:17" s="37" customFormat="1" ht="18.75" customHeight="1">
      <c r="A17" s="29" t="e">
        <f t="shared" ref="A17:A18" si="2">+A16+1</f>
        <v>#REF!</v>
      </c>
      <c r="B17" s="30"/>
      <c r="C17" s="30" t="s">
        <v>444</v>
      </c>
      <c r="D17" s="30" t="s">
        <v>938</v>
      </c>
      <c r="E17" s="31">
        <v>42962</v>
      </c>
      <c r="F17" s="30" t="s">
        <v>638</v>
      </c>
      <c r="G17" s="30" t="s">
        <v>447</v>
      </c>
      <c r="H17" s="30" t="s">
        <v>939</v>
      </c>
      <c r="I17" s="29">
        <f>17750000+1775000/2</f>
        <v>18637500</v>
      </c>
      <c r="J17" s="29">
        <v>10</v>
      </c>
      <c r="K17" s="29">
        <f>1775000/2</f>
        <v>887500</v>
      </c>
      <c r="L17" s="51">
        <f t="shared" si="1"/>
        <v>19525000</v>
      </c>
      <c r="M17" s="38"/>
      <c r="N17" s="39"/>
      <c r="O17" s="40"/>
      <c r="P17" s="36"/>
      <c r="Q17" s="37" t="s">
        <v>2366</v>
      </c>
    </row>
    <row r="18" spans="1:17" s="37" customFormat="1" ht="18.75" customHeight="1">
      <c r="A18" s="29" t="e">
        <f t="shared" si="2"/>
        <v>#REF!</v>
      </c>
      <c r="B18" s="30"/>
      <c r="C18" s="30" t="s">
        <v>444</v>
      </c>
      <c r="D18" s="30" t="s">
        <v>1361</v>
      </c>
      <c r="E18" s="31">
        <v>43041</v>
      </c>
      <c r="F18" s="30" t="s">
        <v>638</v>
      </c>
      <c r="G18" s="30" t="s">
        <v>447</v>
      </c>
      <c r="H18" s="30" t="s">
        <v>1362</v>
      </c>
      <c r="I18" s="29">
        <f>65473140+3273657</f>
        <v>68746797</v>
      </c>
      <c r="J18" s="29">
        <v>10</v>
      </c>
      <c r="K18" s="29">
        <f>6547314/2</f>
        <v>3273657</v>
      </c>
      <c r="L18" s="51">
        <f t="shared" si="1"/>
        <v>72020454</v>
      </c>
      <c r="M18" s="38" t="s">
        <v>52</v>
      </c>
      <c r="N18" s="39">
        <v>43069</v>
      </c>
      <c r="O18" s="40" t="s">
        <v>1341</v>
      </c>
      <c r="P18" s="36"/>
      <c r="Q18" s="37" t="s">
        <v>2366</v>
      </c>
    </row>
    <row r="19" spans="1:17" s="37" customFormat="1" ht="18.75" customHeight="1">
      <c r="A19" s="29" t="e">
        <f>+#REF!+1</f>
        <v>#REF!</v>
      </c>
      <c r="B19" s="30"/>
      <c r="C19" s="30" t="s">
        <v>167</v>
      </c>
      <c r="D19" s="30" t="s">
        <v>799</v>
      </c>
      <c r="E19" s="31">
        <v>42943</v>
      </c>
      <c r="F19" s="30" t="s">
        <v>800</v>
      </c>
      <c r="G19" s="30" t="s">
        <v>801</v>
      </c>
      <c r="H19" s="30" t="s">
        <v>802</v>
      </c>
      <c r="I19" s="29">
        <v>7250000</v>
      </c>
      <c r="J19" s="29">
        <v>10</v>
      </c>
      <c r="K19" s="29">
        <v>725000</v>
      </c>
      <c r="L19" s="51">
        <f t="shared" si="1"/>
        <v>7975000</v>
      </c>
      <c r="M19" s="38"/>
      <c r="N19" s="39"/>
      <c r="O19" s="40"/>
      <c r="P19" s="36"/>
    </row>
    <row r="20" spans="1:17" s="37" customFormat="1" ht="18.75" customHeight="1">
      <c r="A20" s="29" t="e">
        <f>+#REF!+1</f>
        <v>#REF!</v>
      </c>
      <c r="B20" s="30"/>
      <c r="C20" s="30" t="s">
        <v>1237</v>
      </c>
      <c r="D20" s="30" t="s">
        <v>1238</v>
      </c>
      <c r="E20" s="31">
        <v>43015</v>
      </c>
      <c r="F20" s="30" t="s">
        <v>1239</v>
      </c>
      <c r="G20" s="30" t="s">
        <v>1240</v>
      </c>
      <c r="H20" s="30" t="s">
        <v>1241</v>
      </c>
      <c r="I20" s="29">
        <v>7914000</v>
      </c>
      <c r="J20" s="29">
        <v>10</v>
      </c>
      <c r="K20" s="29">
        <v>791400</v>
      </c>
      <c r="L20" s="51">
        <f t="shared" ref="L20:L25" si="3">I20+K20</f>
        <v>8705400</v>
      </c>
      <c r="M20" s="38"/>
      <c r="N20" s="39"/>
      <c r="O20" s="40"/>
      <c r="P20" s="36"/>
    </row>
    <row r="21" spans="1:17" s="37" customFormat="1" ht="18.75" customHeight="1">
      <c r="A21" s="29" t="e">
        <f t="shared" ref="A21:A24" si="4">+A20+1</f>
        <v>#REF!</v>
      </c>
      <c r="B21" s="30"/>
      <c r="C21" s="30" t="s">
        <v>1237</v>
      </c>
      <c r="D21" s="30" t="s">
        <v>1297</v>
      </c>
      <c r="E21" s="31">
        <v>43035</v>
      </c>
      <c r="F21" s="30" t="s">
        <v>1239</v>
      </c>
      <c r="G21" s="30" t="s">
        <v>1240</v>
      </c>
      <c r="H21" s="30" t="s">
        <v>1298</v>
      </c>
      <c r="I21" s="29">
        <v>42144545</v>
      </c>
      <c r="J21" s="29">
        <v>10</v>
      </c>
      <c r="K21" s="29">
        <v>4214455</v>
      </c>
      <c r="L21" s="51">
        <f t="shared" si="3"/>
        <v>46359000</v>
      </c>
      <c r="M21" s="38" t="s">
        <v>52</v>
      </c>
      <c r="N21" s="39">
        <v>43052</v>
      </c>
      <c r="O21" s="40" t="s">
        <v>1219</v>
      </c>
      <c r="P21" s="36"/>
    </row>
    <row r="22" spans="1:17" s="37" customFormat="1" ht="18.75" customHeight="1">
      <c r="A22" s="29" t="e">
        <f t="shared" si="4"/>
        <v>#REF!</v>
      </c>
      <c r="B22" s="30"/>
      <c r="C22" s="30" t="s">
        <v>1237</v>
      </c>
      <c r="D22" s="30" t="s">
        <v>1746</v>
      </c>
      <c r="E22" s="31">
        <v>43130</v>
      </c>
      <c r="F22" s="30" t="s">
        <v>1239</v>
      </c>
      <c r="G22" s="30" t="s">
        <v>1240</v>
      </c>
      <c r="H22" s="30" t="s">
        <v>1241</v>
      </c>
      <c r="I22" s="29">
        <v>30894552</v>
      </c>
      <c r="J22" s="29">
        <v>10</v>
      </c>
      <c r="K22" s="29">
        <v>3089455</v>
      </c>
      <c r="L22" s="51">
        <f t="shared" si="3"/>
        <v>33984007</v>
      </c>
      <c r="M22" s="38" t="s">
        <v>52</v>
      </c>
      <c r="N22" s="39">
        <v>43137</v>
      </c>
      <c r="O22" s="40" t="s">
        <v>1665</v>
      </c>
      <c r="P22" s="36"/>
    </row>
    <row r="23" spans="1:17" s="37" customFormat="1" ht="18.75" customHeight="1">
      <c r="A23" s="29" t="e">
        <f t="shared" si="4"/>
        <v>#REF!</v>
      </c>
      <c r="B23" s="30"/>
      <c r="C23" s="30" t="s">
        <v>1237</v>
      </c>
      <c r="D23" s="30" t="s">
        <v>1753</v>
      </c>
      <c r="E23" s="31">
        <v>43131</v>
      </c>
      <c r="F23" s="30" t="s">
        <v>1239</v>
      </c>
      <c r="G23" s="30" t="s">
        <v>1240</v>
      </c>
      <c r="H23" s="30" t="s">
        <v>1754</v>
      </c>
      <c r="I23" s="29">
        <v>30894552</v>
      </c>
      <c r="J23" s="29">
        <v>10</v>
      </c>
      <c r="K23" s="29">
        <v>3089455</v>
      </c>
      <c r="L23" s="51">
        <f t="shared" si="3"/>
        <v>33984007</v>
      </c>
      <c r="M23" s="38" t="s">
        <v>52</v>
      </c>
      <c r="N23" s="39">
        <v>43137</v>
      </c>
      <c r="O23" s="40" t="s">
        <v>1665</v>
      </c>
      <c r="P23" s="36"/>
    </row>
    <row r="24" spans="1:17" s="37" customFormat="1" ht="18.75" customHeight="1">
      <c r="A24" s="29" t="e">
        <f t="shared" si="4"/>
        <v>#REF!</v>
      </c>
      <c r="B24" s="30"/>
      <c r="C24" s="30" t="s">
        <v>1237</v>
      </c>
      <c r="D24" s="30" t="s">
        <v>1891</v>
      </c>
      <c r="E24" s="31">
        <v>43173</v>
      </c>
      <c r="F24" s="30" t="s">
        <v>1239</v>
      </c>
      <c r="G24" s="30" t="s">
        <v>1240</v>
      </c>
      <c r="H24" s="30" t="s">
        <v>1241</v>
      </c>
      <c r="I24" s="29">
        <v>50894552</v>
      </c>
      <c r="J24" s="29">
        <v>10</v>
      </c>
      <c r="K24" s="29">
        <v>5089455</v>
      </c>
      <c r="L24" s="51">
        <f t="shared" si="3"/>
        <v>55984007</v>
      </c>
      <c r="M24" s="41" t="s">
        <v>52</v>
      </c>
      <c r="N24" s="42">
        <v>43210</v>
      </c>
      <c r="O24" s="40" t="s">
        <v>1866</v>
      </c>
      <c r="P24" s="36"/>
    </row>
    <row r="25" spans="1:17" s="37" customFormat="1" ht="18.75" customHeight="1">
      <c r="A25" s="29" t="e">
        <f>A24+1</f>
        <v>#REF!</v>
      </c>
      <c r="B25" s="30"/>
      <c r="C25" s="30" t="s">
        <v>1237</v>
      </c>
      <c r="D25" s="30" t="s">
        <v>2010</v>
      </c>
      <c r="E25" s="31">
        <v>43200</v>
      </c>
      <c r="F25" s="30" t="s">
        <v>1239</v>
      </c>
      <c r="G25" s="30" t="s">
        <v>1240</v>
      </c>
      <c r="H25" s="30" t="s">
        <v>1241</v>
      </c>
      <c r="I25" s="29">
        <v>30894552</v>
      </c>
      <c r="J25" s="29">
        <v>10</v>
      </c>
      <c r="K25" s="29">
        <v>3089455</v>
      </c>
      <c r="L25" s="51">
        <f t="shared" si="3"/>
        <v>33984007</v>
      </c>
      <c r="M25" s="47"/>
      <c r="N25" s="48">
        <v>43210</v>
      </c>
      <c r="O25" s="40"/>
      <c r="P25" s="36"/>
    </row>
    <row r="26" spans="1:17" s="37" customFormat="1" ht="18.75" customHeight="1">
      <c r="A26" s="29" t="e">
        <f>+#REF!+1</f>
        <v>#REF!</v>
      </c>
      <c r="B26" s="30"/>
      <c r="C26" s="30" t="s">
        <v>278</v>
      </c>
      <c r="D26" s="30" t="s">
        <v>279</v>
      </c>
      <c r="E26" s="31">
        <v>42815</v>
      </c>
      <c r="F26" s="30" t="s">
        <v>280</v>
      </c>
      <c r="G26" s="30" t="s">
        <v>281</v>
      </c>
      <c r="H26" s="30" t="s">
        <v>282</v>
      </c>
      <c r="I26" s="29">
        <v>5375200</v>
      </c>
      <c r="J26" s="29">
        <v>10</v>
      </c>
      <c r="K26" s="29">
        <v>537520</v>
      </c>
      <c r="L26" s="51">
        <f t="shared" ref="L26" si="5">I26+K26</f>
        <v>5912720</v>
      </c>
      <c r="M26" s="38"/>
      <c r="N26" s="39"/>
      <c r="O26" s="40"/>
      <c r="P26" s="36"/>
    </row>
    <row r="27" spans="1:17" s="37" customFormat="1" ht="18.75" customHeight="1">
      <c r="A27" s="29" t="e">
        <f>+#REF!+1</f>
        <v>#REF!</v>
      </c>
      <c r="B27" s="30"/>
      <c r="C27" s="202"/>
      <c r="D27" s="202"/>
      <c r="E27" s="202"/>
      <c r="F27" s="202"/>
      <c r="G27" s="202"/>
      <c r="H27" s="202"/>
      <c r="I27" s="202" t="e">
        <f>SUM(#REF!)</f>
        <v>#REF!</v>
      </c>
      <c r="J27" s="202"/>
      <c r="K27" s="202" t="e">
        <f>SUM(#REF!)</f>
        <v>#REF!</v>
      </c>
      <c r="L27" s="202"/>
      <c r="M27" s="46"/>
      <c r="N27" s="39"/>
      <c r="O27" s="46"/>
      <c r="P27" s="36"/>
    </row>
    <row r="28" spans="1:17" ht="15" customHeight="1">
      <c r="A28" s="69"/>
      <c r="B28" s="69"/>
      <c r="C28" s="70"/>
      <c r="D28" s="70"/>
      <c r="E28" s="71"/>
      <c r="F28" s="70"/>
      <c r="G28" s="70"/>
      <c r="H28" s="70"/>
      <c r="I28" s="72"/>
      <c r="J28" s="72"/>
      <c r="K28" s="72"/>
      <c r="L28" s="72"/>
    </row>
    <row r="29" spans="1:17" ht="12.75" customHeight="1">
      <c r="A29" s="75" t="s">
        <v>2069</v>
      </c>
      <c r="B29" s="75"/>
      <c r="C29" s="76"/>
      <c r="D29" s="76"/>
      <c r="E29" s="76"/>
      <c r="F29" s="76"/>
      <c r="G29" s="76"/>
      <c r="H29" s="76"/>
      <c r="I29" s="76"/>
      <c r="J29" s="76"/>
      <c r="K29" s="77"/>
      <c r="L29" s="77"/>
    </row>
    <row r="30" spans="1:17">
      <c r="A30" s="78"/>
      <c r="B30" s="78"/>
      <c r="C30" s="79"/>
      <c r="D30" s="79"/>
      <c r="E30" s="79"/>
      <c r="F30" s="79"/>
      <c r="G30" s="79"/>
      <c r="H30" s="79"/>
      <c r="I30" s="80"/>
      <c r="J30" s="79"/>
      <c r="K30" s="80"/>
      <c r="L30" s="80"/>
    </row>
    <row r="31" spans="1:17">
      <c r="A31" s="69" t="s">
        <v>2070</v>
      </c>
      <c r="B31" s="69"/>
      <c r="C31" s="81"/>
      <c r="D31" s="81"/>
      <c r="E31" s="81"/>
      <c r="F31" s="81"/>
      <c r="G31" s="81"/>
      <c r="H31" s="81"/>
      <c r="I31" s="82"/>
      <c r="J31" s="81"/>
      <c r="K31" s="77"/>
      <c r="L31" s="77"/>
    </row>
    <row r="32" spans="1:17">
      <c r="A32" s="78" t="s">
        <v>52</v>
      </c>
      <c r="B32" s="78"/>
      <c r="C32" s="76" t="s">
        <v>2071</v>
      </c>
      <c r="D32" s="79"/>
      <c r="E32" s="79"/>
      <c r="F32" s="79"/>
      <c r="G32" s="81"/>
      <c r="H32" s="81"/>
      <c r="I32" s="82"/>
      <c r="J32" s="81"/>
      <c r="K32" s="80"/>
      <c r="L32" s="80"/>
      <c r="M32" s="80"/>
      <c r="N32" s="80"/>
      <c r="O32" s="80"/>
    </row>
    <row r="33" spans="1:248">
      <c r="A33" s="78" t="s">
        <v>2072</v>
      </c>
      <c r="B33" s="78"/>
      <c r="C33" s="76" t="s">
        <v>2073</v>
      </c>
      <c r="D33" s="79"/>
      <c r="E33" s="79"/>
      <c r="F33" s="79"/>
      <c r="G33" s="81"/>
      <c r="H33" s="81"/>
      <c r="I33" s="82"/>
      <c r="J33" s="81"/>
    </row>
    <row r="34" spans="1:248">
      <c r="A34" s="78" t="s">
        <v>2074</v>
      </c>
      <c r="B34" s="78"/>
      <c r="C34" s="76" t="s">
        <v>2075</v>
      </c>
      <c r="D34" s="79"/>
      <c r="E34" s="79"/>
      <c r="F34" s="79"/>
      <c r="G34" s="81"/>
      <c r="H34" s="81"/>
      <c r="I34" s="85"/>
      <c r="J34" s="81"/>
      <c r="K34" s="80"/>
      <c r="L34" s="80"/>
    </row>
    <row r="35" spans="1:248">
      <c r="A35" s="86"/>
      <c r="B35" s="86"/>
      <c r="C35" s="81"/>
      <c r="D35" s="81"/>
      <c r="E35" s="81"/>
      <c r="F35" s="81"/>
      <c r="G35" s="81"/>
      <c r="H35" s="81"/>
      <c r="I35" s="85"/>
      <c r="J35" s="81"/>
      <c r="K35" s="81"/>
      <c r="L35" s="81"/>
    </row>
    <row r="36" spans="1:248">
      <c r="A36" s="69"/>
      <c r="B36" s="69"/>
      <c r="C36" s="70"/>
      <c r="D36" s="70"/>
      <c r="E36" s="71"/>
      <c r="F36" s="70"/>
      <c r="G36" s="70"/>
      <c r="H36" s="70"/>
      <c r="I36" s="199" t="s">
        <v>2076</v>
      </c>
      <c r="J36" s="199"/>
      <c r="K36" s="199"/>
      <c r="L36" s="199"/>
    </row>
    <row r="37" spans="1:248">
      <c r="A37" s="115" t="s">
        <v>2077</v>
      </c>
      <c r="B37" s="115"/>
      <c r="C37" s="115"/>
      <c r="D37" s="115"/>
      <c r="E37" s="115"/>
      <c r="F37" s="200" t="s">
        <v>2078</v>
      </c>
      <c r="G37" s="200"/>
      <c r="H37" s="200"/>
      <c r="I37" s="200" t="s">
        <v>2079</v>
      </c>
      <c r="J37" s="200"/>
      <c r="K37" s="200"/>
      <c r="L37" s="200"/>
    </row>
    <row r="38" spans="1:248">
      <c r="I38" s="89"/>
      <c r="J38" s="89"/>
      <c r="K38" s="90"/>
      <c r="L38" s="90"/>
    </row>
    <row r="39" spans="1:248">
      <c r="H39" s="91"/>
    </row>
    <row r="40" spans="1:248">
      <c r="H40" s="91"/>
    </row>
    <row r="41" spans="1:248">
      <c r="H41" s="93"/>
    </row>
    <row r="42" spans="1:248" s="73" customFormat="1">
      <c r="A42" s="11"/>
      <c r="B42" s="11"/>
      <c r="C42" s="87"/>
      <c r="D42" s="87"/>
      <c r="E42" s="88"/>
      <c r="F42" s="87"/>
      <c r="G42" s="87"/>
      <c r="H42" s="94"/>
      <c r="I42" s="92"/>
      <c r="J42" s="87"/>
      <c r="K42" s="84"/>
      <c r="L42" s="84"/>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row>
    <row r="43" spans="1:248" s="73" customFormat="1">
      <c r="A43" s="11"/>
      <c r="B43" s="11"/>
      <c r="C43" s="87"/>
      <c r="D43" s="87"/>
      <c r="E43" s="88"/>
      <c r="F43" s="87"/>
      <c r="G43" s="87"/>
      <c r="H43" s="95"/>
      <c r="I43" s="92"/>
      <c r="J43" s="87"/>
      <c r="K43" s="84"/>
      <c r="L43" s="84"/>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row>
    <row r="44" spans="1:248" s="73" customFormat="1">
      <c r="A44" s="96"/>
      <c r="B44" s="96"/>
      <c r="C44" s="97"/>
      <c r="D44" s="97"/>
      <c r="E44" s="98"/>
      <c r="F44" s="97"/>
      <c r="G44" s="97"/>
      <c r="H44" s="99"/>
      <c r="I44" s="100"/>
      <c r="J44" s="100"/>
      <c r="K44" s="100"/>
      <c r="L44" s="10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row>
    <row r="45" spans="1:248">
      <c r="B45" s="114" t="s">
        <v>2080</v>
      </c>
      <c r="C45" s="114"/>
      <c r="D45" s="114"/>
      <c r="F45" s="200" t="s">
        <v>2081</v>
      </c>
      <c r="G45" s="200"/>
      <c r="H45" s="200"/>
      <c r="I45" s="159" t="s">
        <v>2082</v>
      </c>
      <c r="J45" s="159"/>
      <c r="K45" s="159"/>
      <c r="L45" s="159"/>
    </row>
    <row r="50" spans="1:251" ht="56">
      <c r="F50" s="101" t="s">
        <v>2083</v>
      </c>
      <c r="G50" s="102" t="s">
        <v>2084</v>
      </c>
    </row>
    <row r="51" spans="1:251" ht="42">
      <c r="F51" s="102" t="s">
        <v>2085</v>
      </c>
      <c r="G51" s="102" t="s">
        <v>2086</v>
      </c>
    </row>
    <row r="52" spans="1:251" ht="14">
      <c r="F52" s="102" t="s">
        <v>2087</v>
      </c>
      <c r="G52" s="102" t="s">
        <v>2088</v>
      </c>
    </row>
    <row r="53" spans="1:251" s="87" customFormat="1" ht="25.5" customHeight="1">
      <c r="A53" s="11"/>
      <c r="B53" s="11"/>
      <c r="E53" s="88"/>
      <c r="F53" s="103" t="s">
        <v>2089</v>
      </c>
      <c r="G53" s="201" t="s">
        <v>2090</v>
      </c>
      <c r="I53" s="92"/>
      <c r="K53" s="84"/>
      <c r="L53" s="84"/>
      <c r="M53" s="73"/>
      <c r="N53" s="73"/>
      <c r="O53" s="73"/>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row>
    <row r="54" spans="1:251" s="87" customFormat="1" ht="13" customHeight="1">
      <c r="A54" s="11"/>
      <c r="B54" s="11"/>
      <c r="E54" s="88"/>
      <c r="F54" s="104" t="s">
        <v>2091</v>
      </c>
      <c r="G54" s="201"/>
      <c r="I54" s="92"/>
      <c r="K54" s="84"/>
      <c r="L54" s="84"/>
      <c r="M54" s="73"/>
      <c r="N54" s="73"/>
      <c r="O54" s="73"/>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row>
    <row r="55" spans="1:251" s="87" customFormat="1">
      <c r="A55" s="11"/>
      <c r="B55" s="11"/>
      <c r="E55" s="88"/>
      <c r="F55" s="105"/>
      <c r="G55"/>
      <c r="I55" s="92"/>
      <c r="K55" s="84"/>
      <c r="L55" s="84"/>
      <c r="M55" s="73"/>
      <c r="N55" s="73"/>
      <c r="O55" s="73"/>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row>
    <row r="56" spans="1:251" s="87" customFormat="1" ht="28">
      <c r="A56" s="11"/>
      <c r="B56" s="11"/>
      <c r="E56" s="88"/>
      <c r="F56" s="106" t="s">
        <v>2092</v>
      </c>
      <c r="G56"/>
      <c r="I56" s="92"/>
      <c r="K56" s="84"/>
      <c r="L56" s="84"/>
      <c r="M56" s="73"/>
      <c r="N56" s="73"/>
      <c r="O56" s="73"/>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row>
    <row r="57" spans="1:251" s="87" customFormat="1" ht="210">
      <c r="A57" s="11"/>
      <c r="B57" s="11"/>
      <c r="E57" s="88"/>
      <c r="F57" s="105" t="s">
        <v>2093</v>
      </c>
      <c r="G57"/>
      <c r="I57" s="92"/>
      <c r="K57" s="84"/>
      <c r="L57" s="84"/>
      <c r="M57" s="73"/>
      <c r="N57" s="73"/>
      <c r="O57" s="73"/>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row>
    <row r="58" spans="1:251" s="87" customFormat="1" ht="98">
      <c r="A58" s="11"/>
      <c r="B58" s="11"/>
      <c r="E58" s="88"/>
      <c r="F58" s="105" t="s">
        <v>2094</v>
      </c>
      <c r="G58"/>
      <c r="I58" s="92"/>
      <c r="K58" s="84"/>
      <c r="L58" s="84"/>
      <c r="M58" s="73"/>
      <c r="N58" s="73"/>
      <c r="O58" s="73"/>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row>
    <row r="59" spans="1:251" s="87" customFormat="1" ht="140">
      <c r="A59" s="11"/>
      <c r="B59" s="11"/>
      <c r="E59" s="88"/>
      <c r="F59" s="105" t="s">
        <v>2095</v>
      </c>
      <c r="G59"/>
      <c r="I59" s="92"/>
      <c r="K59" s="84"/>
      <c r="L59" s="84"/>
      <c r="M59" s="73"/>
      <c r="N59" s="73"/>
      <c r="O59" s="73"/>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row>
    <row r="60" spans="1:251" s="87" customFormat="1" ht="306">
      <c r="A60" s="11"/>
      <c r="B60" s="11"/>
      <c r="E60" s="88"/>
      <c r="F60" s="105" t="s">
        <v>2096</v>
      </c>
      <c r="G60"/>
      <c r="I60" s="92"/>
      <c r="K60" s="84"/>
      <c r="L60" s="84"/>
      <c r="M60" s="73"/>
      <c r="N60" s="73"/>
      <c r="O60" s="73"/>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row>
    <row r="61" spans="1:251" s="87" customFormat="1" ht="126">
      <c r="A61" s="11"/>
      <c r="B61" s="11"/>
      <c r="E61" s="88"/>
      <c r="F61" s="105" t="s">
        <v>2097</v>
      </c>
      <c r="G61"/>
      <c r="I61" s="92"/>
      <c r="K61" s="84"/>
      <c r="L61" s="84"/>
      <c r="M61" s="73"/>
      <c r="N61" s="73"/>
      <c r="O61" s="73"/>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row>
    <row r="62" spans="1:251" s="87" customFormat="1" ht="126">
      <c r="A62" s="11"/>
      <c r="B62" s="11"/>
      <c r="E62" s="88"/>
      <c r="F62" s="105" t="s">
        <v>2098</v>
      </c>
      <c r="G62"/>
      <c r="I62" s="92"/>
      <c r="K62" s="84"/>
      <c r="L62" s="84"/>
      <c r="M62" s="73"/>
      <c r="N62" s="73"/>
      <c r="O62" s="73"/>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row>
    <row r="63" spans="1:251" s="87" customFormat="1" ht="98">
      <c r="A63" s="11"/>
      <c r="B63" s="11"/>
      <c r="E63" s="88"/>
      <c r="F63" s="105" t="s">
        <v>2099</v>
      </c>
      <c r="G63"/>
      <c r="I63" s="92"/>
      <c r="K63" s="84"/>
      <c r="L63" s="84"/>
      <c r="M63" s="73"/>
      <c r="N63" s="73"/>
      <c r="O63" s="73"/>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row>
    <row r="64" spans="1:251" s="87" customFormat="1" ht="42">
      <c r="A64" s="11"/>
      <c r="B64" s="11"/>
      <c r="E64" s="88"/>
      <c r="F64" s="105" t="s">
        <v>2100</v>
      </c>
      <c r="G64"/>
      <c r="I64" s="92"/>
      <c r="K64" s="84"/>
      <c r="L64" s="84"/>
      <c r="M64" s="73"/>
      <c r="N64" s="73"/>
      <c r="O64" s="73"/>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row>
    <row r="65" spans="1:251" s="87" customFormat="1" ht="56">
      <c r="A65" s="11"/>
      <c r="B65" s="11"/>
      <c r="E65" s="88"/>
      <c r="F65" s="105" t="s">
        <v>2101</v>
      </c>
      <c r="G65"/>
      <c r="I65" s="92"/>
      <c r="K65" s="84"/>
      <c r="L65" s="84"/>
      <c r="M65" s="73"/>
      <c r="N65" s="73"/>
      <c r="O65" s="73"/>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row>
    <row r="66" spans="1:251" s="87" customFormat="1" ht="168">
      <c r="A66" s="11"/>
      <c r="B66" s="11"/>
      <c r="E66" s="88"/>
      <c r="F66" s="105" t="s">
        <v>2102</v>
      </c>
      <c r="G66"/>
      <c r="I66" s="92"/>
      <c r="K66" s="84"/>
      <c r="L66" s="84"/>
      <c r="M66" s="73"/>
      <c r="N66" s="73"/>
      <c r="O66" s="73"/>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row>
    <row r="67" spans="1:251" s="87" customFormat="1" ht="140">
      <c r="A67" s="11"/>
      <c r="B67" s="11"/>
      <c r="E67" s="88"/>
      <c r="F67" s="105" t="s">
        <v>2103</v>
      </c>
      <c r="G67"/>
      <c r="I67" s="92"/>
      <c r="K67" s="84"/>
      <c r="L67" s="84"/>
      <c r="M67" s="73"/>
      <c r="N67" s="73"/>
      <c r="O67" s="73"/>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row>
    <row r="68" spans="1:251" s="87" customFormat="1" ht="266">
      <c r="A68" s="11"/>
      <c r="B68" s="11"/>
      <c r="E68" s="88"/>
      <c r="F68" s="105" t="s">
        <v>2104</v>
      </c>
      <c r="G68"/>
      <c r="I68" s="92"/>
      <c r="K68" s="84"/>
      <c r="L68" s="84"/>
      <c r="M68" s="73"/>
      <c r="N68" s="73"/>
      <c r="O68" s="73"/>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row>
    <row r="69" spans="1:251" ht="70">
      <c r="F69" s="105" t="s">
        <v>2105</v>
      </c>
      <c r="G69"/>
    </row>
    <row r="70" spans="1:251" ht="42">
      <c r="F70" s="105" t="s">
        <v>2106</v>
      </c>
      <c r="G70"/>
    </row>
    <row r="71" spans="1:251" ht="28">
      <c r="F71" s="105" t="s">
        <v>2107</v>
      </c>
      <c r="G71"/>
    </row>
    <row r="72" spans="1:251">
      <c r="F72" s="105"/>
      <c r="G72"/>
    </row>
    <row r="73" spans="1:251" ht="28">
      <c r="F73" s="107"/>
      <c r="G73" s="102" t="s">
        <v>2108</v>
      </c>
    </row>
    <row r="74" spans="1:251" ht="28">
      <c r="F74" s="107" t="s">
        <v>2109</v>
      </c>
      <c r="G74" s="102" t="s">
        <v>2110</v>
      </c>
    </row>
    <row r="75" spans="1:251" s="88" customFormat="1">
      <c r="A75" s="108"/>
      <c r="B75" s="108"/>
      <c r="C75" s="87"/>
      <c r="D75" s="109"/>
      <c r="F75" s="110" t="s">
        <v>2111</v>
      </c>
      <c r="G75" s="111"/>
      <c r="H75" s="87"/>
      <c r="I75" s="92"/>
      <c r="J75" s="87"/>
      <c r="K75" s="84"/>
      <c r="L75" s="84"/>
      <c r="M75" s="73"/>
      <c r="N75" s="73"/>
      <c r="O75" s="73"/>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row>
    <row r="76" spans="1:251" s="88" customFormat="1">
      <c r="A76" s="108"/>
      <c r="B76" s="108"/>
      <c r="C76" s="87"/>
      <c r="D76" s="109"/>
      <c r="F76" s="110" t="s">
        <v>2112</v>
      </c>
      <c r="G76" s="111"/>
      <c r="H76" s="87"/>
      <c r="I76" s="92"/>
      <c r="J76" s="87"/>
      <c r="K76" s="84"/>
      <c r="L76" s="84"/>
      <c r="M76" s="73"/>
      <c r="N76" s="73"/>
      <c r="O76" s="73"/>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row>
    <row r="77" spans="1:251" s="88" customFormat="1">
      <c r="A77" s="11"/>
      <c r="B77" s="11"/>
      <c r="C77" s="87"/>
      <c r="D77" s="109"/>
      <c r="F77" s="110" t="s">
        <v>2113</v>
      </c>
      <c r="G77" s="111"/>
      <c r="H77" s="87"/>
      <c r="I77" s="92"/>
      <c r="J77" s="87"/>
      <c r="K77" s="84"/>
      <c r="L77" s="84"/>
      <c r="M77" s="73"/>
      <c r="N77" s="73"/>
      <c r="O77" s="73"/>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row>
    <row r="78" spans="1:251" s="88" customFormat="1">
      <c r="A78" s="11"/>
      <c r="B78" s="11"/>
      <c r="C78" s="87"/>
      <c r="D78" s="109"/>
      <c r="F78" s="110" t="s">
        <v>2114</v>
      </c>
      <c r="G78" s="111"/>
      <c r="H78" s="87"/>
      <c r="I78" s="92"/>
      <c r="J78" s="87"/>
      <c r="K78" s="84"/>
      <c r="L78" s="84"/>
      <c r="M78" s="73"/>
      <c r="N78" s="73"/>
      <c r="O78" s="73"/>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row>
    <row r="79" spans="1:251" s="88" customFormat="1" ht="14">
      <c r="A79" s="11"/>
      <c r="B79" s="11"/>
      <c r="C79" s="87"/>
      <c r="D79" s="109"/>
      <c r="F79" s="112"/>
      <c r="G79" s="102" t="s">
        <v>2115</v>
      </c>
      <c r="H79" s="87"/>
      <c r="I79" s="92"/>
      <c r="J79" s="87"/>
      <c r="K79" s="84"/>
      <c r="L79" s="84"/>
      <c r="M79" s="73"/>
      <c r="N79" s="73"/>
      <c r="O79" s="73"/>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c r="IK79" s="10"/>
      <c r="IL79" s="10"/>
      <c r="IM79" s="10"/>
      <c r="IN79" s="10"/>
    </row>
    <row r="80" spans="1:251" s="88" customFormat="1">
      <c r="A80" s="11"/>
      <c r="B80" s="11"/>
      <c r="C80" s="87"/>
      <c r="D80" s="113"/>
      <c r="F80" s="87"/>
      <c r="G80" s="87"/>
      <c r="H80" s="87"/>
      <c r="I80" s="92"/>
      <c r="J80" s="87"/>
      <c r="K80" s="84"/>
      <c r="L80" s="84"/>
      <c r="M80" s="73"/>
      <c r="N80" s="73"/>
      <c r="O80" s="73"/>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row>
    <row r="81" spans="1:248" s="88" customFormat="1">
      <c r="A81" s="11"/>
      <c r="B81" s="11"/>
      <c r="C81" s="87"/>
      <c r="D81" s="109"/>
      <c r="F81" s="87"/>
      <c r="G81" s="87"/>
      <c r="H81" s="87"/>
      <c r="I81" s="92"/>
      <c r="J81" s="87"/>
      <c r="K81" s="84"/>
      <c r="L81" s="84"/>
      <c r="M81" s="73"/>
      <c r="N81" s="73"/>
      <c r="O81" s="73"/>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row>
    <row r="82" spans="1:248" s="88" customFormat="1">
      <c r="A82" s="11"/>
      <c r="B82" s="11"/>
      <c r="C82" s="87"/>
      <c r="D82" s="109"/>
      <c r="F82" s="87"/>
      <c r="G82" s="87"/>
      <c r="H82" s="87"/>
      <c r="I82" s="92"/>
      <c r="J82" s="87"/>
      <c r="K82" s="84"/>
      <c r="L82" s="84"/>
      <c r="M82" s="73"/>
      <c r="N82" s="73"/>
      <c r="O82" s="73"/>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row>
    <row r="83" spans="1:248" s="88" customFormat="1">
      <c r="A83" s="11"/>
      <c r="B83" s="11"/>
      <c r="C83" s="87"/>
      <c r="D83" s="109"/>
      <c r="F83" s="87"/>
      <c r="G83" s="87"/>
      <c r="H83" s="87"/>
      <c r="I83" s="92"/>
      <c r="J83" s="87"/>
      <c r="K83" s="84"/>
      <c r="L83" s="84"/>
      <c r="M83" s="73"/>
      <c r="N83" s="73"/>
      <c r="O83" s="73"/>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row>
  </sheetData>
  <autoFilter ref="A13:IQ27" xr:uid="{00000000-0009-0000-0000-000000000000}"/>
  <sortState xmlns:xlrd2="http://schemas.microsoft.com/office/spreadsheetml/2017/richdata2" ref="C14:O779">
    <sortCondition ref="G14:G779"/>
  </sortState>
  <conditionalFormatting sqref="D1:D1048576">
    <cfRule type="duplicateValues" dxfId="2" priority="2"/>
    <cfRule type="duplicateValues" dxfId="1" priority="3"/>
  </conditionalFormatting>
  <conditionalFormatting sqref="K1:K1048576">
    <cfRule type="duplicateValues" dxfId="0" priority="1"/>
  </conditionalFormatting>
  <pageMargins left="0.25" right="0" top="0.55000000000000004" bottom="0.28999999999999998" header="0.25" footer="0.25"/>
  <pageSetup paperSize="9" scale="73" orientation="landscape"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U1410"/>
  <sheetViews>
    <sheetView topLeftCell="A254" zoomScale="95" zoomScaleNormal="95" workbookViewId="0">
      <selection activeCell="A476" sqref="A476"/>
    </sheetView>
  </sheetViews>
  <sheetFormatPr baseColWidth="10" defaultColWidth="8.83203125" defaultRowHeight="13"/>
  <cols>
    <col min="1" max="1" width="6" style="11" customWidth="1"/>
    <col min="2" max="2" width="12.1640625" style="11" hidden="1" customWidth="1"/>
    <col min="3" max="3" width="9.33203125" style="87" customWidth="1"/>
    <col min="4" max="4" width="9.5" style="87" customWidth="1"/>
    <col min="5" max="5" width="9.6640625" style="88" customWidth="1"/>
    <col min="6" max="6" width="52.1640625" style="87" customWidth="1"/>
    <col min="7" max="7" width="14.5" style="87" customWidth="1"/>
    <col min="8" max="8" width="48.1640625" style="87" customWidth="1"/>
    <col min="9" max="9" width="13.83203125" style="92" customWidth="1"/>
    <col min="10" max="10" width="4.83203125" style="87" customWidth="1"/>
    <col min="11" max="11" width="12.83203125" style="84" customWidth="1"/>
    <col min="12" max="12" width="3" style="73" customWidth="1"/>
    <col min="13" max="13" width="10.6640625" style="73" bestFit="1" customWidth="1"/>
    <col min="14" max="14" width="4.6640625" style="73" customWidth="1"/>
    <col min="15" max="15" width="8.6640625" style="8" customWidth="1"/>
    <col min="16" max="16" width="13.5" style="9" customWidth="1"/>
    <col min="17" max="17" width="14.5" style="10" bestFit="1" customWidth="1"/>
    <col min="18" max="18" width="12.5" style="10" bestFit="1" customWidth="1"/>
    <col min="19" max="19" width="14.5" style="10" bestFit="1" customWidth="1"/>
    <col min="20" max="20" width="12" style="10" bestFit="1" customWidth="1"/>
    <col min="21" max="16384" width="8.83203125" style="10"/>
  </cols>
  <sheetData>
    <row r="1" spans="1:20" s="5" customFormat="1" ht="18">
      <c r="A1" s="1"/>
      <c r="B1" s="1"/>
      <c r="C1" s="206" t="s">
        <v>0</v>
      </c>
      <c r="D1" s="207"/>
      <c r="E1" s="206"/>
      <c r="F1" s="206"/>
      <c r="G1" s="206"/>
      <c r="H1" s="206"/>
      <c r="I1" s="206"/>
      <c r="J1" s="206"/>
      <c r="K1" s="206"/>
      <c r="L1" s="206"/>
      <c r="M1" s="2"/>
      <c r="N1" s="2"/>
      <c r="O1" s="3"/>
      <c r="P1" s="4"/>
    </row>
    <row r="2" spans="1:20" s="5" customFormat="1" ht="14">
      <c r="A2" s="1"/>
      <c r="B2" s="1"/>
      <c r="C2" s="208" t="s">
        <v>1</v>
      </c>
      <c r="D2" s="209"/>
      <c r="E2" s="208"/>
      <c r="F2" s="208"/>
      <c r="G2" s="208"/>
      <c r="H2" s="208"/>
      <c r="I2" s="208"/>
      <c r="J2" s="208"/>
      <c r="K2" s="208"/>
      <c r="L2" s="208"/>
      <c r="M2" s="6"/>
      <c r="N2" s="6"/>
      <c r="O2" s="3"/>
      <c r="P2" s="4"/>
    </row>
    <row r="3" spans="1:20" s="5" customFormat="1" ht="14">
      <c r="A3" s="1"/>
      <c r="B3" s="1"/>
      <c r="C3" s="208" t="s">
        <v>2</v>
      </c>
      <c r="D3" s="209"/>
      <c r="E3" s="208"/>
      <c r="F3" s="208"/>
      <c r="G3" s="208"/>
      <c r="H3" s="208"/>
      <c r="I3" s="208"/>
      <c r="J3" s="208"/>
      <c r="K3" s="208"/>
      <c r="L3" s="208"/>
      <c r="M3" s="6"/>
      <c r="N3" s="6"/>
      <c r="O3" s="3"/>
      <c r="P3" s="4"/>
    </row>
    <row r="4" spans="1:20" ht="10.5" customHeight="1">
      <c r="A4" s="210" t="s">
        <v>3</v>
      </c>
      <c r="B4" s="210"/>
      <c r="C4" s="210"/>
      <c r="D4" s="210"/>
      <c r="E4" s="210"/>
      <c r="F4" s="210"/>
      <c r="G4" s="210"/>
      <c r="H4" s="210"/>
      <c r="I4" s="210"/>
      <c r="J4" s="210"/>
      <c r="K4" s="210"/>
      <c r="L4" s="210"/>
      <c r="M4" s="7"/>
      <c r="N4" s="7"/>
    </row>
    <row r="5" spans="1:20" ht="15.75" customHeight="1">
      <c r="C5" s="12" t="s">
        <v>4</v>
      </c>
      <c r="D5" s="13"/>
      <c r="E5" s="12"/>
      <c r="F5" s="12" t="s">
        <v>5</v>
      </c>
      <c r="G5" s="10"/>
      <c r="H5" s="14"/>
      <c r="I5" s="14"/>
      <c r="J5" s="14"/>
      <c r="K5" s="14"/>
      <c r="L5" s="15"/>
      <c r="M5" s="15"/>
      <c r="N5" s="15"/>
    </row>
    <row r="6" spans="1:20" ht="15.75" customHeight="1">
      <c r="C6" s="12" t="s">
        <v>6</v>
      </c>
      <c r="D6" s="13"/>
      <c r="E6" s="12"/>
      <c r="F6" s="12" t="s">
        <v>7</v>
      </c>
      <c r="G6" s="14"/>
      <c r="H6" s="14"/>
      <c r="I6" s="14"/>
      <c r="J6" s="14"/>
      <c r="K6" s="14"/>
      <c r="L6" s="15"/>
      <c r="M6" s="15"/>
      <c r="N6" s="15"/>
    </row>
    <row r="7" spans="1:20" ht="15.75" customHeight="1">
      <c r="C7" s="12" t="s">
        <v>8</v>
      </c>
      <c r="D7" s="13"/>
      <c r="E7" s="12"/>
      <c r="F7" s="14"/>
      <c r="G7" s="14"/>
      <c r="H7" s="14"/>
      <c r="I7" s="14"/>
      <c r="J7" s="14"/>
      <c r="K7" s="14"/>
      <c r="L7" s="15"/>
      <c r="M7" s="15"/>
      <c r="N7" s="15"/>
    </row>
    <row r="8" spans="1:20" ht="15.75" customHeight="1">
      <c r="C8" s="12" t="s">
        <v>9</v>
      </c>
      <c r="D8" s="13"/>
      <c r="E8" s="12"/>
      <c r="F8" s="14"/>
      <c r="G8" s="14"/>
      <c r="H8" s="14"/>
      <c r="I8" s="14"/>
      <c r="J8" s="14"/>
      <c r="K8" s="14"/>
      <c r="L8" s="15"/>
      <c r="M8" s="15"/>
      <c r="N8" s="15"/>
    </row>
    <row r="9" spans="1:20" ht="12" customHeight="1">
      <c r="A9" s="211" t="s">
        <v>10</v>
      </c>
      <c r="B9" s="211"/>
      <c r="C9" s="211"/>
      <c r="D9" s="212"/>
      <c r="E9" s="211"/>
      <c r="F9" s="211"/>
      <c r="G9" s="211"/>
      <c r="H9" s="211"/>
      <c r="I9" s="211"/>
      <c r="J9" s="211"/>
      <c r="K9" s="211"/>
      <c r="L9" s="213"/>
      <c r="M9" s="16"/>
      <c r="N9" s="16"/>
    </row>
    <row r="10" spans="1:20" ht="13.5" customHeight="1">
      <c r="A10" s="214" t="s">
        <v>11</v>
      </c>
      <c r="B10" s="217" t="s">
        <v>12</v>
      </c>
      <c r="C10" s="218"/>
      <c r="D10" s="219"/>
      <c r="E10" s="220"/>
      <c r="F10" s="225" t="s">
        <v>13</v>
      </c>
      <c r="G10" s="225" t="s">
        <v>14</v>
      </c>
      <c r="H10" s="225" t="s">
        <v>15</v>
      </c>
      <c r="I10" s="225" t="s">
        <v>16</v>
      </c>
      <c r="J10" s="228" t="s">
        <v>17</v>
      </c>
      <c r="K10" s="225" t="s">
        <v>18</v>
      </c>
      <c r="L10" s="231" t="s">
        <v>19</v>
      </c>
      <c r="M10" s="231"/>
      <c r="N10" s="231"/>
    </row>
    <row r="11" spans="1:20" ht="12" customHeight="1">
      <c r="A11" s="215"/>
      <c r="B11" s="221"/>
      <c r="C11" s="222"/>
      <c r="D11" s="223"/>
      <c r="E11" s="224"/>
      <c r="F11" s="226"/>
      <c r="G11" s="226"/>
      <c r="H11" s="226"/>
      <c r="I11" s="226"/>
      <c r="J11" s="229"/>
      <c r="K11" s="226"/>
      <c r="L11" s="231"/>
      <c r="M11" s="231"/>
      <c r="N11" s="231"/>
    </row>
    <row r="12" spans="1:20" ht="52.5" customHeight="1">
      <c r="A12" s="216"/>
      <c r="B12" s="17" t="s">
        <v>20</v>
      </c>
      <c r="C12" s="18" t="s">
        <v>21</v>
      </c>
      <c r="D12" s="19" t="s">
        <v>22</v>
      </c>
      <c r="E12" s="20" t="s">
        <v>23</v>
      </c>
      <c r="F12" s="227"/>
      <c r="G12" s="227"/>
      <c r="H12" s="227"/>
      <c r="I12" s="227"/>
      <c r="J12" s="230"/>
      <c r="K12" s="227"/>
      <c r="L12" s="21"/>
      <c r="M12" s="22" t="s">
        <v>24</v>
      </c>
      <c r="N12" s="22" t="s">
        <v>25</v>
      </c>
    </row>
    <row r="13" spans="1:20" ht="14.25" customHeight="1">
      <c r="A13" s="23" t="s">
        <v>26</v>
      </c>
      <c r="B13" s="23"/>
      <c r="C13" s="24" t="s">
        <v>27</v>
      </c>
      <c r="D13" s="24" t="s">
        <v>28</v>
      </c>
      <c r="E13" s="25" t="s">
        <v>29</v>
      </c>
      <c r="F13" s="24" t="s">
        <v>30</v>
      </c>
      <c r="G13" s="24" t="s">
        <v>31</v>
      </c>
      <c r="H13" s="24" t="s">
        <v>32</v>
      </c>
      <c r="I13" s="26" t="s">
        <v>33</v>
      </c>
      <c r="J13" s="24" t="s">
        <v>34</v>
      </c>
      <c r="K13" s="27" t="s">
        <v>35</v>
      </c>
      <c r="L13" s="232">
        <v>-11</v>
      </c>
      <c r="M13" s="232"/>
      <c r="N13" s="232"/>
    </row>
    <row r="14" spans="1:20" s="37" customFormat="1" ht="18.75" customHeight="1">
      <c r="A14" s="29">
        <v>1</v>
      </c>
      <c r="B14" s="30"/>
      <c r="C14" s="30" t="s">
        <v>36</v>
      </c>
      <c r="D14" s="30" t="s">
        <v>37</v>
      </c>
      <c r="E14" s="31">
        <v>42759</v>
      </c>
      <c r="F14" s="30" t="s">
        <v>38</v>
      </c>
      <c r="G14" s="30" t="s">
        <v>39</v>
      </c>
      <c r="H14" s="30" t="s">
        <v>40</v>
      </c>
      <c r="I14" s="29">
        <v>450000</v>
      </c>
      <c r="J14" s="29">
        <v>10</v>
      </c>
      <c r="K14" s="29">
        <v>45000</v>
      </c>
      <c r="L14" s="32"/>
      <c r="M14" s="33"/>
      <c r="N14" s="34"/>
      <c r="O14" s="35"/>
      <c r="P14" s="36"/>
      <c r="Q14" s="36"/>
      <c r="T14" s="36"/>
    </row>
    <row r="15" spans="1:20" s="37" customFormat="1" ht="18.75" customHeight="1">
      <c r="A15" s="29">
        <f>+A14+1</f>
        <v>2</v>
      </c>
      <c r="B15" s="30"/>
      <c r="C15" s="30" t="s">
        <v>36</v>
      </c>
      <c r="D15" s="30" t="s">
        <v>41</v>
      </c>
      <c r="E15" s="31">
        <v>42759</v>
      </c>
      <c r="F15" s="30" t="s">
        <v>38</v>
      </c>
      <c r="G15" s="30" t="s">
        <v>39</v>
      </c>
      <c r="H15" s="30" t="s">
        <v>40</v>
      </c>
      <c r="I15" s="29">
        <v>900000</v>
      </c>
      <c r="J15" s="29">
        <v>10</v>
      </c>
      <c r="K15" s="29">
        <v>90000</v>
      </c>
      <c r="L15" s="38"/>
      <c r="M15" s="39"/>
      <c r="N15" s="40"/>
      <c r="O15" s="35"/>
      <c r="P15" s="36"/>
      <c r="Q15" s="36"/>
      <c r="T15" s="36"/>
    </row>
    <row r="16" spans="1:20" s="37" customFormat="1" ht="18.75" customHeight="1">
      <c r="A16" s="29">
        <f t="shared" ref="A16:A79" si="0">+A15+1</f>
        <v>3</v>
      </c>
      <c r="B16" s="30"/>
      <c r="C16" s="30" t="s">
        <v>42</v>
      </c>
      <c r="D16" s="30" t="s">
        <v>43</v>
      </c>
      <c r="E16" s="31">
        <v>42772</v>
      </c>
      <c r="F16" s="30" t="s">
        <v>44</v>
      </c>
      <c r="G16" s="30" t="s">
        <v>45</v>
      </c>
      <c r="H16" s="30" t="s">
        <v>46</v>
      </c>
      <c r="I16" s="29">
        <v>1790000</v>
      </c>
      <c r="J16" s="29">
        <v>10</v>
      </c>
      <c r="K16" s="29">
        <v>179000</v>
      </c>
      <c r="L16" s="38"/>
      <c r="M16" s="39"/>
      <c r="N16" s="40"/>
      <c r="O16" s="35"/>
      <c r="P16" s="36"/>
      <c r="Q16" s="36"/>
      <c r="T16" s="36"/>
    </row>
    <row r="17" spans="1:20" s="37" customFormat="1" ht="18.75" customHeight="1">
      <c r="A17" s="29">
        <f t="shared" si="0"/>
        <v>4</v>
      </c>
      <c r="B17" s="30"/>
      <c r="C17" s="30" t="s">
        <v>47</v>
      </c>
      <c r="D17" s="30" t="s">
        <v>48</v>
      </c>
      <c r="E17" s="31">
        <v>42775</v>
      </c>
      <c r="F17" s="30" t="s">
        <v>49</v>
      </c>
      <c r="G17" s="30" t="s">
        <v>50</v>
      </c>
      <c r="H17" s="30" t="s">
        <v>51</v>
      </c>
      <c r="I17" s="29">
        <v>72400000</v>
      </c>
      <c r="J17" s="29">
        <v>10</v>
      </c>
      <c r="K17" s="29">
        <v>7240000</v>
      </c>
      <c r="L17" s="38" t="s">
        <v>52</v>
      </c>
      <c r="M17" s="39">
        <v>42835</v>
      </c>
      <c r="N17" s="40" t="s">
        <v>53</v>
      </c>
      <c r="O17" s="35"/>
      <c r="P17" s="36"/>
      <c r="Q17" s="36"/>
      <c r="T17" s="36"/>
    </row>
    <row r="18" spans="1:20" s="37" customFormat="1" ht="18.75" customHeight="1">
      <c r="A18" s="29">
        <f t="shared" si="0"/>
        <v>5</v>
      </c>
      <c r="B18" s="30"/>
      <c r="C18" s="30" t="s">
        <v>54</v>
      </c>
      <c r="D18" s="30" t="s">
        <v>55</v>
      </c>
      <c r="E18" s="31">
        <v>42781</v>
      </c>
      <c r="F18" s="30" t="s">
        <v>56</v>
      </c>
      <c r="G18" s="30" t="s">
        <v>57</v>
      </c>
      <c r="H18" s="30" t="s">
        <v>58</v>
      </c>
      <c r="I18" s="29">
        <v>4881982</v>
      </c>
      <c r="J18" s="29">
        <v>10</v>
      </c>
      <c r="K18" s="29">
        <v>488198</v>
      </c>
      <c r="L18" s="38"/>
      <c r="M18" s="39"/>
      <c r="N18" s="40"/>
      <c r="O18" s="35"/>
      <c r="P18" s="36"/>
      <c r="Q18" s="36"/>
      <c r="T18" s="36"/>
    </row>
    <row r="19" spans="1:20" s="37" customFormat="1" ht="18.75" customHeight="1">
      <c r="A19" s="29">
        <f t="shared" si="0"/>
        <v>6</v>
      </c>
      <c r="B19" s="30"/>
      <c r="C19" s="30" t="s">
        <v>47</v>
      </c>
      <c r="D19" s="30" t="s">
        <v>59</v>
      </c>
      <c r="E19" s="31">
        <v>42786</v>
      </c>
      <c r="F19" s="30" t="s">
        <v>49</v>
      </c>
      <c r="G19" s="30" t="s">
        <v>50</v>
      </c>
      <c r="H19" s="30" t="s">
        <v>51</v>
      </c>
      <c r="I19" s="29">
        <v>56080000</v>
      </c>
      <c r="J19" s="29">
        <v>10</v>
      </c>
      <c r="K19" s="29">
        <v>5608000</v>
      </c>
      <c r="L19" s="38" t="s">
        <v>52</v>
      </c>
      <c r="M19" s="39">
        <v>42835</v>
      </c>
      <c r="N19" s="40" t="s">
        <v>53</v>
      </c>
      <c r="O19" s="35"/>
      <c r="P19" s="36"/>
      <c r="Q19" s="36"/>
      <c r="T19" s="36"/>
    </row>
    <row r="20" spans="1:20" s="37" customFormat="1" ht="18.75" customHeight="1">
      <c r="A20" s="29">
        <f t="shared" si="0"/>
        <v>7</v>
      </c>
      <c r="B20" s="30"/>
      <c r="C20" s="30" t="s">
        <v>36</v>
      </c>
      <c r="D20" s="30" t="s">
        <v>60</v>
      </c>
      <c r="E20" s="31">
        <v>42782</v>
      </c>
      <c r="F20" s="30" t="s">
        <v>38</v>
      </c>
      <c r="G20" s="30" t="s">
        <v>39</v>
      </c>
      <c r="H20" s="30" t="s">
        <v>40</v>
      </c>
      <c r="I20" s="29">
        <v>450000</v>
      </c>
      <c r="J20" s="29">
        <v>10</v>
      </c>
      <c r="K20" s="29">
        <v>45000</v>
      </c>
      <c r="L20" s="38"/>
      <c r="M20" s="39"/>
      <c r="N20" s="40"/>
      <c r="O20" s="35"/>
      <c r="P20" s="36"/>
      <c r="Q20" s="36"/>
      <c r="T20" s="36"/>
    </row>
    <row r="21" spans="1:20" s="37" customFormat="1" ht="18.75" customHeight="1">
      <c r="A21" s="29">
        <f t="shared" si="0"/>
        <v>8</v>
      </c>
      <c r="B21" s="30"/>
      <c r="C21" s="30" t="s">
        <v>61</v>
      </c>
      <c r="D21" s="30" t="s">
        <v>62</v>
      </c>
      <c r="E21" s="31">
        <v>42789</v>
      </c>
      <c r="F21" s="30" t="s">
        <v>63</v>
      </c>
      <c r="G21" s="30" t="s">
        <v>64</v>
      </c>
      <c r="H21" s="30" t="s">
        <v>65</v>
      </c>
      <c r="I21" s="29">
        <v>12000000</v>
      </c>
      <c r="J21" s="29">
        <v>10</v>
      </c>
      <c r="K21" s="29">
        <v>1200000</v>
      </c>
      <c r="L21" s="38"/>
      <c r="M21" s="39"/>
      <c r="N21" s="40"/>
      <c r="O21" s="35"/>
      <c r="P21" s="36"/>
      <c r="Q21" s="36"/>
      <c r="T21" s="36"/>
    </row>
    <row r="22" spans="1:20" s="37" customFormat="1" ht="18.75" customHeight="1">
      <c r="A22" s="29">
        <f t="shared" si="0"/>
        <v>9</v>
      </c>
      <c r="B22" s="30"/>
      <c r="C22" s="30" t="s">
        <v>47</v>
      </c>
      <c r="D22" s="30" t="s">
        <v>66</v>
      </c>
      <c r="E22" s="31">
        <v>42793</v>
      </c>
      <c r="F22" s="30" t="s">
        <v>49</v>
      </c>
      <c r="G22" s="30" t="s">
        <v>50</v>
      </c>
      <c r="H22" s="30" t="s">
        <v>51</v>
      </c>
      <c r="I22" s="29">
        <v>31360000</v>
      </c>
      <c r="J22" s="29">
        <v>10</v>
      </c>
      <c r="K22" s="29">
        <v>3136000</v>
      </c>
      <c r="L22" s="38" t="s">
        <v>52</v>
      </c>
      <c r="M22" s="39">
        <v>42835</v>
      </c>
      <c r="N22" s="40" t="s">
        <v>53</v>
      </c>
      <c r="O22" s="35"/>
      <c r="P22" s="36"/>
      <c r="Q22" s="36"/>
      <c r="T22" s="36"/>
    </row>
    <row r="23" spans="1:20" s="37" customFormat="1" ht="18.75" customHeight="1">
      <c r="A23" s="29">
        <f t="shared" si="0"/>
        <v>10</v>
      </c>
      <c r="B23" s="30"/>
      <c r="C23" s="30" t="s">
        <v>54</v>
      </c>
      <c r="D23" s="30" t="s">
        <v>67</v>
      </c>
      <c r="E23" s="31">
        <v>42793</v>
      </c>
      <c r="F23" s="30" t="s">
        <v>56</v>
      </c>
      <c r="G23" s="30" t="s">
        <v>57</v>
      </c>
      <c r="H23" s="30" t="s">
        <v>58</v>
      </c>
      <c r="I23" s="29">
        <v>5798820</v>
      </c>
      <c r="J23" s="29">
        <v>10</v>
      </c>
      <c r="K23" s="29">
        <v>579882</v>
      </c>
      <c r="L23" s="38"/>
      <c r="M23" s="39"/>
      <c r="N23" s="40"/>
      <c r="O23" s="35"/>
      <c r="P23" s="36"/>
      <c r="Q23" s="36"/>
      <c r="T23" s="36"/>
    </row>
    <row r="24" spans="1:20" s="37" customFormat="1" ht="18.75" customHeight="1">
      <c r="A24" s="29">
        <f t="shared" si="0"/>
        <v>11</v>
      </c>
      <c r="B24" s="30"/>
      <c r="C24" s="30" t="s">
        <v>54</v>
      </c>
      <c r="D24" s="30" t="s">
        <v>68</v>
      </c>
      <c r="E24" s="31">
        <v>42793</v>
      </c>
      <c r="F24" s="30" t="s">
        <v>56</v>
      </c>
      <c r="G24" s="30" t="s">
        <v>57</v>
      </c>
      <c r="H24" s="30" t="s">
        <v>58</v>
      </c>
      <c r="I24" s="29">
        <v>5798820</v>
      </c>
      <c r="J24" s="29">
        <v>10</v>
      </c>
      <c r="K24" s="29">
        <v>579882</v>
      </c>
      <c r="L24" s="38"/>
      <c r="M24" s="39"/>
      <c r="N24" s="40"/>
      <c r="O24" s="35"/>
      <c r="P24" s="36"/>
      <c r="Q24" s="36"/>
      <c r="T24" s="36"/>
    </row>
    <row r="25" spans="1:20" s="37" customFormat="1" ht="18.75" customHeight="1">
      <c r="A25" s="29">
        <f t="shared" si="0"/>
        <v>12</v>
      </c>
      <c r="B25" s="30"/>
      <c r="C25" s="30" t="s">
        <v>69</v>
      </c>
      <c r="D25" s="30" t="s">
        <v>70</v>
      </c>
      <c r="E25" s="31">
        <v>42793</v>
      </c>
      <c r="F25" s="30" t="s">
        <v>71</v>
      </c>
      <c r="G25" s="30" t="s">
        <v>72</v>
      </c>
      <c r="H25" s="30" t="s">
        <v>40</v>
      </c>
      <c r="I25" s="29">
        <v>400000</v>
      </c>
      <c r="J25" s="29">
        <v>10</v>
      </c>
      <c r="K25" s="29">
        <v>40000</v>
      </c>
      <c r="L25" s="38"/>
      <c r="M25" s="39"/>
      <c r="N25" s="40"/>
      <c r="O25" s="35"/>
      <c r="P25" s="36"/>
      <c r="Q25" s="36"/>
      <c r="T25" s="36"/>
    </row>
    <row r="26" spans="1:20" s="37" customFormat="1" ht="18.75" customHeight="1">
      <c r="A26" s="29">
        <f t="shared" si="0"/>
        <v>13</v>
      </c>
      <c r="B26" s="30"/>
      <c r="C26" s="30" t="s">
        <v>69</v>
      </c>
      <c r="D26" s="30" t="s">
        <v>73</v>
      </c>
      <c r="E26" s="31">
        <v>42793</v>
      </c>
      <c r="F26" s="30" t="s">
        <v>71</v>
      </c>
      <c r="G26" s="30" t="s">
        <v>72</v>
      </c>
      <c r="H26" s="30" t="s">
        <v>40</v>
      </c>
      <c r="I26" s="29">
        <v>400000</v>
      </c>
      <c r="J26" s="29">
        <v>10</v>
      </c>
      <c r="K26" s="29">
        <v>40000</v>
      </c>
      <c r="L26" s="38"/>
      <c r="M26" s="39"/>
      <c r="N26" s="40"/>
      <c r="O26" s="35"/>
      <c r="P26" s="36"/>
      <c r="Q26" s="36"/>
      <c r="T26" s="36"/>
    </row>
    <row r="27" spans="1:20" s="37" customFormat="1" ht="18.75" customHeight="1">
      <c r="A27" s="29">
        <f t="shared" si="0"/>
        <v>14</v>
      </c>
      <c r="B27" s="30"/>
      <c r="C27" s="30" t="s">
        <v>74</v>
      </c>
      <c r="D27" s="30" t="s">
        <v>75</v>
      </c>
      <c r="E27" s="31">
        <v>42794</v>
      </c>
      <c r="F27" s="30" t="s">
        <v>76</v>
      </c>
      <c r="G27" s="30" t="s">
        <v>77</v>
      </c>
      <c r="H27" s="30" t="s">
        <v>78</v>
      </c>
      <c r="I27" s="29">
        <v>2988200</v>
      </c>
      <c r="J27" s="29">
        <v>10</v>
      </c>
      <c r="K27" s="29">
        <v>298820</v>
      </c>
      <c r="L27" s="38"/>
      <c r="M27" s="39"/>
      <c r="N27" s="40"/>
      <c r="O27" s="35"/>
      <c r="P27" s="36"/>
      <c r="Q27" s="36"/>
      <c r="T27" s="36"/>
    </row>
    <row r="28" spans="1:20" s="37" customFormat="1" ht="18.75" customHeight="1">
      <c r="A28" s="29">
        <f t="shared" si="0"/>
        <v>15</v>
      </c>
      <c r="B28" s="30"/>
      <c r="C28" s="30" t="s">
        <v>74</v>
      </c>
      <c r="D28" s="30" t="s">
        <v>79</v>
      </c>
      <c r="E28" s="31">
        <v>42794</v>
      </c>
      <c r="F28" s="30" t="s">
        <v>76</v>
      </c>
      <c r="G28" s="30" t="s">
        <v>77</v>
      </c>
      <c r="H28" s="30" t="s">
        <v>78</v>
      </c>
      <c r="I28" s="29">
        <v>453600</v>
      </c>
      <c r="J28" s="29">
        <v>10</v>
      </c>
      <c r="K28" s="29">
        <v>45360</v>
      </c>
      <c r="L28" s="38"/>
      <c r="M28" s="39"/>
      <c r="N28" s="40"/>
      <c r="O28" s="35"/>
      <c r="P28" s="36"/>
      <c r="Q28" s="36"/>
      <c r="T28" s="36"/>
    </row>
    <row r="29" spans="1:20" s="37" customFormat="1" ht="18.75" customHeight="1">
      <c r="A29" s="29">
        <f t="shared" si="0"/>
        <v>16</v>
      </c>
      <c r="B29" s="30"/>
      <c r="C29" s="30" t="s">
        <v>61</v>
      </c>
      <c r="D29" s="30" t="s">
        <v>80</v>
      </c>
      <c r="E29" s="31">
        <v>42794</v>
      </c>
      <c r="F29" s="30" t="s">
        <v>63</v>
      </c>
      <c r="G29" s="30" t="s">
        <v>64</v>
      </c>
      <c r="H29" s="30" t="s">
        <v>81</v>
      </c>
      <c r="I29" s="29">
        <v>14290909</v>
      </c>
      <c r="J29" s="29">
        <v>10</v>
      </c>
      <c r="K29" s="29">
        <v>1429091</v>
      </c>
      <c r="L29" s="38"/>
      <c r="M29" s="39"/>
      <c r="N29" s="40"/>
      <c r="O29" s="35"/>
      <c r="P29" s="36"/>
      <c r="Q29" s="36"/>
      <c r="T29" s="36"/>
    </row>
    <row r="30" spans="1:20" s="37" customFormat="1" ht="18.75" customHeight="1">
      <c r="A30" s="29">
        <f t="shared" si="0"/>
        <v>17</v>
      </c>
      <c r="B30" s="30"/>
      <c r="C30" s="30" t="s">
        <v>82</v>
      </c>
      <c r="D30" s="30" t="s">
        <v>83</v>
      </c>
      <c r="E30" s="31">
        <v>42794</v>
      </c>
      <c r="F30" s="30" t="s">
        <v>84</v>
      </c>
      <c r="G30" s="30" t="s">
        <v>85</v>
      </c>
      <c r="H30" s="30" t="s">
        <v>86</v>
      </c>
      <c r="I30" s="29">
        <v>2141464</v>
      </c>
      <c r="J30" s="29">
        <v>10</v>
      </c>
      <c r="K30" s="29">
        <v>214146</v>
      </c>
      <c r="L30" s="38"/>
      <c r="M30" s="39"/>
      <c r="N30" s="40"/>
      <c r="O30" s="35"/>
      <c r="P30" s="36"/>
      <c r="Q30" s="36"/>
      <c r="T30" s="36"/>
    </row>
    <row r="31" spans="1:20" s="37" customFormat="1" ht="18.75" customHeight="1">
      <c r="A31" s="29">
        <f t="shared" si="0"/>
        <v>18</v>
      </c>
      <c r="B31" s="30"/>
      <c r="C31" s="30" t="s">
        <v>87</v>
      </c>
      <c r="D31" s="30" t="s">
        <v>88</v>
      </c>
      <c r="E31" s="31">
        <v>42795</v>
      </c>
      <c r="F31" s="30" t="s">
        <v>89</v>
      </c>
      <c r="G31" s="30" t="s">
        <v>90</v>
      </c>
      <c r="H31" s="30" t="s">
        <v>91</v>
      </c>
      <c r="I31" s="29">
        <v>572875</v>
      </c>
      <c r="J31" s="29">
        <v>10</v>
      </c>
      <c r="K31" s="29">
        <v>57288</v>
      </c>
      <c r="L31" s="38"/>
      <c r="M31" s="39"/>
      <c r="N31" s="40"/>
      <c r="O31" s="35"/>
      <c r="P31" s="36"/>
      <c r="Q31" s="36"/>
      <c r="T31" s="36"/>
    </row>
    <row r="32" spans="1:20" s="37" customFormat="1" ht="18.75" customHeight="1">
      <c r="A32" s="29">
        <f t="shared" si="0"/>
        <v>19</v>
      </c>
      <c r="B32" s="30"/>
      <c r="C32" s="30" t="s">
        <v>87</v>
      </c>
      <c r="D32" s="30" t="s">
        <v>92</v>
      </c>
      <c r="E32" s="31">
        <v>42795</v>
      </c>
      <c r="F32" s="30" t="s">
        <v>89</v>
      </c>
      <c r="G32" s="30" t="s">
        <v>90</v>
      </c>
      <c r="H32" s="30" t="s">
        <v>91</v>
      </c>
      <c r="I32" s="29">
        <v>359974</v>
      </c>
      <c r="J32" s="29">
        <v>10</v>
      </c>
      <c r="K32" s="29">
        <v>35997</v>
      </c>
      <c r="L32" s="38"/>
      <c r="M32" s="39"/>
      <c r="N32" s="40"/>
      <c r="O32" s="35"/>
      <c r="P32" s="36"/>
      <c r="Q32" s="36"/>
      <c r="T32" s="36"/>
    </row>
    <row r="33" spans="1:20" s="37" customFormat="1" ht="18.75" customHeight="1">
      <c r="A33" s="29">
        <f t="shared" si="0"/>
        <v>20</v>
      </c>
      <c r="B33" s="30"/>
      <c r="C33" s="30" t="s">
        <v>93</v>
      </c>
      <c r="D33" s="30" t="s">
        <v>94</v>
      </c>
      <c r="E33" s="31">
        <v>42796</v>
      </c>
      <c r="F33" s="30" t="s">
        <v>49</v>
      </c>
      <c r="G33" s="30" t="s">
        <v>50</v>
      </c>
      <c r="H33" s="30" t="s">
        <v>51</v>
      </c>
      <c r="I33" s="29">
        <v>74320000</v>
      </c>
      <c r="J33" s="29">
        <v>10</v>
      </c>
      <c r="K33" s="29">
        <v>7432000</v>
      </c>
      <c r="L33" s="38" t="s">
        <v>52</v>
      </c>
      <c r="M33" s="39">
        <v>42835</v>
      </c>
      <c r="N33" s="40" t="s">
        <v>53</v>
      </c>
      <c r="O33" s="35"/>
      <c r="P33" s="36"/>
      <c r="Q33" s="36"/>
      <c r="T33" s="36"/>
    </row>
    <row r="34" spans="1:20" s="37" customFormat="1" ht="18.75" customHeight="1">
      <c r="A34" s="29">
        <f t="shared" si="0"/>
        <v>21</v>
      </c>
      <c r="B34" s="30"/>
      <c r="C34" s="30" t="s">
        <v>95</v>
      </c>
      <c r="D34" s="30" t="s">
        <v>96</v>
      </c>
      <c r="E34" s="31">
        <v>42796</v>
      </c>
      <c r="F34" s="30" t="s">
        <v>97</v>
      </c>
      <c r="G34" s="30" t="s">
        <v>98</v>
      </c>
      <c r="H34" s="30" t="s">
        <v>99</v>
      </c>
      <c r="I34" s="29">
        <v>43200000</v>
      </c>
      <c r="J34" s="29">
        <v>10</v>
      </c>
      <c r="K34" s="29">
        <v>4320000</v>
      </c>
      <c r="L34" s="38" t="s">
        <v>52</v>
      </c>
      <c r="M34" s="39">
        <v>42814</v>
      </c>
      <c r="N34" s="40" t="s">
        <v>53</v>
      </c>
      <c r="O34" s="35"/>
      <c r="P34" s="36"/>
      <c r="Q34" s="36"/>
      <c r="T34" s="36"/>
    </row>
    <row r="35" spans="1:20" s="37" customFormat="1" ht="18.75" customHeight="1">
      <c r="A35" s="29">
        <f t="shared" si="0"/>
        <v>22</v>
      </c>
      <c r="B35" s="30"/>
      <c r="C35" s="30" t="s">
        <v>100</v>
      </c>
      <c r="D35" s="30" t="s">
        <v>101</v>
      </c>
      <c r="E35" s="31">
        <v>42797</v>
      </c>
      <c r="F35" s="30" t="s">
        <v>102</v>
      </c>
      <c r="G35" s="30" t="s">
        <v>103</v>
      </c>
      <c r="H35" s="30" t="s">
        <v>104</v>
      </c>
      <c r="I35" s="29">
        <v>7000000</v>
      </c>
      <c r="J35" s="29">
        <v>10</v>
      </c>
      <c r="K35" s="29">
        <v>700000</v>
      </c>
      <c r="L35" s="38"/>
      <c r="M35" s="39"/>
      <c r="N35" s="40"/>
      <c r="O35" s="35"/>
      <c r="P35" s="36"/>
      <c r="Q35" s="36"/>
      <c r="T35" s="36"/>
    </row>
    <row r="36" spans="1:20" s="37" customFormat="1" ht="18.75" customHeight="1">
      <c r="A36" s="29">
        <f t="shared" si="0"/>
        <v>23</v>
      </c>
      <c r="B36" s="30"/>
      <c r="C36" s="30" t="s">
        <v>100</v>
      </c>
      <c r="D36" s="30" t="s">
        <v>105</v>
      </c>
      <c r="E36" s="31">
        <v>42797</v>
      </c>
      <c r="F36" s="30" t="s">
        <v>102</v>
      </c>
      <c r="G36" s="30" t="s">
        <v>103</v>
      </c>
      <c r="H36" s="30" t="s">
        <v>106</v>
      </c>
      <c r="I36" s="29">
        <v>7000000</v>
      </c>
      <c r="J36" s="29">
        <v>10</v>
      </c>
      <c r="K36" s="29">
        <v>700000</v>
      </c>
      <c r="L36" s="38"/>
      <c r="M36" s="39"/>
      <c r="N36" s="40"/>
      <c r="O36" s="35"/>
      <c r="P36" s="36"/>
      <c r="Q36" s="36"/>
      <c r="T36" s="36"/>
    </row>
    <row r="37" spans="1:20" s="37" customFormat="1" ht="18.75" customHeight="1">
      <c r="A37" s="29">
        <f t="shared" si="0"/>
        <v>24</v>
      </c>
      <c r="B37" s="30"/>
      <c r="C37" s="30" t="s">
        <v>107</v>
      </c>
      <c r="D37" s="30" t="s">
        <v>108</v>
      </c>
      <c r="E37" s="31">
        <v>42797</v>
      </c>
      <c r="F37" s="30" t="s">
        <v>109</v>
      </c>
      <c r="G37" s="30" t="s">
        <v>110</v>
      </c>
      <c r="H37" s="30" t="s">
        <v>111</v>
      </c>
      <c r="I37" s="29">
        <v>870000</v>
      </c>
      <c r="J37" s="29">
        <v>10</v>
      </c>
      <c r="K37" s="29">
        <v>87000</v>
      </c>
      <c r="L37" s="38"/>
      <c r="M37" s="39"/>
      <c r="N37" s="40"/>
      <c r="O37" s="35"/>
      <c r="P37" s="36"/>
      <c r="Q37" s="36"/>
      <c r="T37" s="36"/>
    </row>
    <row r="38" spans="1:20" s="37" customFormat="1" ht="18.75" customHeight="1">
      <c r="A38" s="29">
        <f t="shared" si="0"/>
        <v>25</v>
      </c>
      <c r="B38" s="30"/>
      <c r="C38" s="30" t="s">
        <v>112</v>
      </c>
      <c r="D38" s="30" t="s">
        <v>113</v>
      </c>
      <c r="E38" s="31">
        <v>42797</v>
      </c>
      <c r="F38" s="30" t="s">
        <v>114</v>
      </c>
      <c r="G38" s="30" t="s">
        <v>115</v>
      </c>
      <c r="H38" s="30" t="s">
        <v>116</v>
      </c>
      <c r="I38" s="29">
        <v>20000</v>
      </c>
      <c r="J38" s="29">
        <v>10</v>
      </c>
      <c r="K38" s="29">
        <v>2000</v>
      </c>
      <c r="L38" s="38"/>
      <c r="M38" s="39"/>
      <c r="N38" s="40"/>
      <c r="O38" s="35"/>
      <c r="P38" s="36"/>
      <c r="Q38" s="36"/>
      <c r="T38" s="36"/>
    </row>
    <row r="39" spans="1:20" s="37" customFormat="1" ht="18.75" customHeight="1">
      <c r="A39" s="29">
        <f t="shared" si="0"/>
        <v>26</v>
      </c>
      <c r="B39" s="30"/>
      <c r="C39" s="30" t="s">
        <v>112</v>
      </c>
      <c r="D39" s="30" t="s">
        <v>117</v>
      </c>
      <c r="E39" s="31">
        <v>42797</v>
      </c>
      <c r="F39" s="30" t="s">
        <v>114</v>
      </c>
      <c r="G39" s="30" t="s">
        <v>115</v>
      </c>
      <c r="H39" s="30" t="s">
        <v>116</v>
      </c>
      <c r="I39" s="29">
        <v>22800</v>
      </c>
      <c r="J39" s="29">
        <v>10</v>
      </c>
      <c r="K39" s="29">
        <v>2280</v>
      </c>
      <c r="L39" s="38"/>
      <c r="M39" s="39"/>
      <c r="N39" s="40"/>
      <c r="O39" s="35"/>
      <c r="P39" s="36"/>
      <c r="Q39" s="36"/>
      <c r="T39" s="36"/>
    </row>
    <row r="40" spans="1:20" s="37" customFormat="1" ht="18.75" customHeight="1">
      <c r="A40" s="29">
        <f t="shared" si="0"/>
        <v>27</v>
      </c>
      <c r="B40" s="30"/>
      <c r="C40" s="30" t="s">
        <v>54</v>
      </c>
      <c r="D40" s="30" t="s">
        <v>118</v>
      </c>
      <c r="E40" s="31">
        <v>42800</v>
      </c>
      <c r="F40" s="30" t="s">
        <v>56</v>
      </c>
      <c r="G40" s="30" t="s">
        <v>57</v>
      </c>
      <c r="H40" s="30" t="s">
        <v>58</v>
      </c>
      <c r="I40" s="29">
        <v>5803900</v>
      </c>
      <c r="J40" s="29">
        <v>10</v>
      </c>
      <c r="K40" s="29">
        <v>580390</v>
      </c>
      <c r="L40" s="38"/>
      <c r="M40" s="39"/>
      <c r="N40" s="40"/>
      <c r="O40" s="35"/>
      <c r="P40" s="36"/>
      <c r="Q40" s="36"/>
      <c r="T40" s="36"/>
    </row>
    <row r="41" spans="1:20" s="37" customFormat="1" ht="18.75" customHeight="1">
      <c r="A41" s="29">
        <f t="shared" si="0"/>
        <v>28</v>
      </c>
      <c r="B41" s="30"/>
      <c r="C41" s="30" t="s">
        <v>119</v>
      </c>
      <c r="D41" s="30" t="s">
        <v>120</v>
      </c>
      <c r="E41" s="31">
        <v>42800</v>
      </c>
      <c r="F41" s="30" t="s">
        <v>121</v>
      </c>
      <c r="G41" s="30" t="s">
        <v>122</v>
      </c>
      <c r="H41" s="30" t="s">
        <v>123</v>
      </c>
      <c r="I41" s="29">
        <v>297329962</v>
      </c>
      <c r="J41" s="29">
        <v>10</v>
      </c>
      <c r="K41" s="29">
        <v>29732996</v>
      </c>
      <c r="L41" s="38" t="s">
        <v>52</v>
      </c>
      <c r="M41" s="39">
        <v>42807</v>
      </c>
      <c r="N41" s="40" t="s">
        <v>53</v>
      </c>
      <c r="O41" s="35"/>
      <c r="P41" s="36"/>
      <c r="Q41" s="36"/>
      <c r="T41" s="36"/>
    </row>
    <row r="42" spans="1:20" s="37" customFormat="1" ht="18.75" customHeight="1">
      <c r="A42" s="29">
        <f t="shared" si="0"/>
        <v>29</v>
      </c>
      <c r="B42" s="30"/>
      <c r="C42" s="30" t="s">
        <v>69</v>
      </c>
      <c r="D42" s="30" t="s">
        <v>124</v>
      </c>
      <c r="E42" s="31">
        <v>42800</v>
      </c>
      <c r="F42" s="30" t="s">
        <v>71</v>
      </c>
      <c r="G42" s="30" t="s">
        <v>72</v>
      </c>
      <c r="H42" s="30" t="s">
        <v>40</v>
      </c>
      <c r="I42" s="29">
        <v>400000</v>
      </c>
      <c r="J42" s="29">
        <v>10</v>
      </c>
      <c r="K42" s="29">
        <v>40000</v>
      </c>
      <c r="L42" s="38"/>
      <c r="M42" s="39"/>
      <c r="N42" s="40"/>
      <c r="O42" s="35"/>
      <c r="P42" s="36"/>
      <c r="Q42" s="36"/>
      <c r="T42" s="36"/>
    </row>
    <row r="43" spans="1:20" s="37" customFormat="1" ht="18.75" customHeight="1">
      <c r="A43" s="29">
        <f t="shared" si="0"/>
        <v>30</v>
      </c>
      <c r="B43" s="30"/>
      <c r="C43" s="30" t="s">
        <v>125</v>
      </c>
      <c r="D43" s="30" t="s">
        <v>126</v>
      </c>
      <c r="E43" s="31">
        <v>42802</v>
      </c>
      <c r="F43" s="30" t="s">
        <v>127</v>
      </c>
      <c r="G43" s="30" t="s">
        <v>128</v>
      </c>
      <c r="H43" s="30" t="s">
        <v>129</v>
      </c>
      <c r="I43" s="29">
        <v>454545</v>
      </c>
      <c r="J43" s="29">
        <v>10</v>
      </c>
      <c r="K43" s="29">
        <v>45455</v>
      </c>
      <c r="L43" s="38"/>
      <c r="M43" s="39"/>
      <c r="N43" s="40"/>
      <c r="O43" s="35"/>
      <c r="P43" s="36"/>
      <c r="Q43" s="36"/>
      <c r="T43" s="36"/>
    </row>
    <row r="44" spans="1:20" s="37" customFormat="1" ht="18.75" customHeight="1">
      <c r="A44" s="29">
        <f t="shared" si="0"/>
        <v>31</v>
      </c>
      <c r="B44" s="30"/>
      <c r="C44" s="30" t="s">
        <v>130</v>
      </c>
      <c r="D44" s="30" t="s">
        <v>131</v>
      </c>
      <c r="E44" s="31">
        <v>42803</v>
      </c>
      <c r="F44" s="30" t="s">
        <v>132</v>
      </c>
      <c r="G44" s="30" t="s">
        <v>133</v>
      </c>
      <c r="H44" s="30" t="s">
        <v>134</v>
      </c>
      <c r="I44" s="29">
        <v>2441000</v>
      </c>
      <c r="J44" s="29">
        <v>10</v>
      </c>
      <c r="K44" s="29">
        <v>244100</v>
      </c>
      <c r="L44" s="38"/>
      <c r="M44" s="39"/>
      <c r="N44" s="40"/>
      <c r="O44" s="35"/>
      <c r="P44" s="36"/>
      <c r="Q44" s="36"/>
      <c r="T44" s="36"/>
    </row>
    <row r="45" spans="1:20" s="37" customFormat="1" ht="18.75" customHeight="1">
      <c r="A45" s="29">
        <f t="shared" si="0"/>
        <v>32</v>
      </c>
      <c r="B45" s="30"/>
      <c r="C45" s="30" t="s">
        <v>93</v>
      </c>
      <c r="D45" s="30" t="s">
        <v>135</v>
      </c>
      <c r="E45" s="31">
        <v>42805</v>
      </c>
      <c r="F45" s="30" t="s">
        <v>49</v>
      </c>
      <c r="G45" s="30" t="s">
        <v>50</v>
      </c>
      <c r="H45" s="30" t="s">
        <v>51</v>
      </c>
      <c r="I45" s="29">
        <v>59040000</v>
      </c>
      <c r="J45" s="29">
        <v>10</v>
      </c>
      <c r="K45" s="29">
        <v>5904000</v>
      </c>
      <c r="L45" s="38" t="s">
        <v>52</v>
      </c>
      <c r="M45" s="39">
        <v>42835</v>
      </c>
      <c r="N45" s="40" t="s">
        <v>53</v>
      </c>
      <c r="O45" s="35"/>
      <c r="P45" s="36"/>
      <c r="Q45" s="36"/>
      <c r="T45" s="36"/>
    </row>
    <row r="46" spans="1:20" s="37" customFormat="1" ht="18.75" customHeight="1">
      <c r="A46" s="29">
        <f t="shared" si="0"/>
        <v>33</v>
      </c>
      <c r="B46" s="30"/>
      <c r="C46" s="30" t="s">
        <v>100</v>
      </c>
      <c r="D46" s="30" t="s">
        <v>136</v>
      </c>
      <c r="E46" s="31">
        <v>42807</v>
      </c>
      <c r="F46" s="30" t="s">
        <v>102</v>
      </c>
      <c r="G46" s="30" t="s">
        <v>103</v>
      </c>
      <c r="H46" s="30" t="s">
        <v>104</v>
      </c>
      <c r="I46" s="29">
        <v>15800000</v>
      </c>
      <c r="J46" s="29">
        <v>10</v>
      </c>
      <c r="K46" s="29">
        <v>1580000</v>
      </c>
      <c r="L46" s="38"/>
      <c r="M46" s="39"/>
      <c r="N46" s="40"/>
      <c r="O46" s="35"/>
      <c r="P46" s="36"/>
      <c r="Q46" s="36"/>
      <c r="T46" s="36"/>
    </row>
    <row r="47" spans="1:20" s="37" customFormat="1" ht="18.75" customHeight="1">
      <c r="A47" s="29">
        <f t="shared" si="0"/>
        <v>34</v>
      </c>
      <c r="B47" s="30"/>
      <c r="C47" s="30" t="s">
        <v>137</v>
      </c>
      <c r="D47" s="30" t="s">
        <v>138</v>
      </c>
      <c r="E47" s="31">
        <v>42807</v>
      </c>
      <c r="F47" s="30" t="s">
        <v>139</v>
      </c>
      <c r="G47" s="30" t="s">
        <v>140</v>
      </c>
      <c r="H47" s="30" t="s">
        <v>91</v>
      </c>
      <c r="I47" s="29">
        <v>692211</v>
      </c>
      <c r="J47" s="29">
        <v>10</v>
      </c>
      <c r="K47" s="29">
        <v>69221</v>
      </c>
      <c r="L47" s="38"/>
      <c r="M47" s="39"/>
      <c r="N47" s="40"/>
      <c r="O47" s="35"/>
      <c r="P47" s="36"/>
      <c r="Q47" s="36"/>
      <c r="T47" s="36"/>
    </row>
    <row r="48" spans="1:20" s="37" customFormat="1" ht="18.75" customHeight="1">
      <c r="A48" s="29">
        <f t="shared" si="0"/>
        <v>35</v>
      </c>
      <c r="B48" s="30"/>
      <c r="C48" s="30" t="s">
        <v>137</v>
      </c>
      <c r="D48" s="30" t="s">
        <v>141</v>
      </c>
      <c r="E48" s="31">
        <v>42807</v>
      </c>
      <c r="F48" s="30" t="s">
        <v>139</v>
      </c>
      <c r="G48" s="30" t="s">
        <v>140</v>
      </c>
      <c r="H48" s="30" t="s">
        <v>91</v>
      </c>
      <c r="I48" s="29">
        <v>44545</v>
      </c>
      <c r="J48" s="29">
        <v>10</v>
      </c>
      <c r="K48" s="29">
        <v>4455</v>
      </c>
      <c r="L48" s="38"/>
      <c r="M48" s="39"/>
      <c r="N48" s="40"/>
      <c r="O48" s="35"/>
      <c r="P48" s="36"/>
      <c r="Q48" s="36"/>
      <c r="T48" s="36"/>
    </row>
    <row r="49" spans="1:20" s="37" customFormat="1" ht="18.75" customHeight="1">
      <c r="A49" s="29">
        <f t="shared" si="0"/>
        <v>36</v>
      </c>
      <c r="B49" s="30"/>
      <c r="C49" s="30" t="s">
        <v>137</v>
      </c>
      <c r="D49" s="30" t="s">
        <v>142</v>
      </c>
      <c r="E49" s="31">
        <v>42807</v>
      </c>
      <c r="F49" s="30" t="s">
        <v>139</v>
      </c>
      <c r="G49" s="30" t="s">
        <v>140</v>
      </c>
      <c r="H49" s="30" t="s">
        <v>91</v>
      </c>
      <c r="I49" s="29">
        <v>680445</v>
      </c>
      <c r="J49" s="29">
        <v>10</v>
      </c>
      <c r="K49" s="29">
        <v>68045</v>
      </c>
      <c r="L49" s="38"/>
      <c r="M49" s="39"/>
      <c r="N49" s="40"/>
      <c r="O49" s="35"/>
      <c r="P49" s="36"/>
      <c r="Q49" s="36"/>
      <c r="T49" s="36"/>
    </row>
    <row r="50" spans="1:20" s="37" customFormat="1" ht="18.75" customHeight="1">
      <c r="A50" s="29">
        <f t="shared" si="0"/>
        <v>37</v>
      </c>
      <c r="B50" s="30"/>
      <c r="C50" s="30" t="s">
        <v>137</v>
      </c>
      <c r="D50" s="30" t="s">
        <v>143</v>
      </c>
      <c r="E50" s="31">
        <v>42807</v>
      </c>
      <c r="F50" s="30" t="s">
        <v>139</v>
      </c>
      <c r="G50" s="30" t="s">
        <v>140</v>
      </c>
      <c r="H50" s="30" t="s">
        <v>91</v>
      </c>
      <c r="I50" s="29">
        <v>359481</v>
      </c>
      <c r="J50" s="29">
        <v>10</v>
      </c>
      <c r="K50" s="29">
        <v>35948</v>
      </c>
      <c r="L50" s="38"/>
      <c r="M50" s="39"/>
      <c r="N50" s="40"/>
      <c r="O50" s="35"/>
      <c r="P50" s="36"/>
      <c r="Q50" s="36"/>
      <c r="T50" s="36"/>
    </row>
    <row r="51" spans="1:20" s="37" customFormat="1" ht="18.75" customHeight="1">
      <c r="A51" s="29">
        <f t="shared" si="0"/>
        <v>38</v>
      </c>
      <c r="B51" s="30"/>
      <c r="C51" s="30" t="s">
        <v>137</v>
      </c>
      <c r="D51" s="30" t="s">
        <v>144</v>
      </c>
      <c r="E51" s="31">
        <v>42807</v>
      </c>
      <c r="F51" s="30" t="s">
        <v>139</v>
      </c>
      <c r="G51" s="30" t="s">
        <v>140</v>
      </c>
      <c r="H51" s="30" t="s">
        <v>91</v>
      </c>
      <c r="I51" s="29">
        <v>491267</v>
      </c>
      <c r="J51" s="29">
        <v>10</v>
      </c>
      <c r="K51" s="29">
        <v>49127</v>
      </c>
      <c r="L51" s="38"/>
      <c r="M51" s="39"/>
      <c r="N51" s="40"/>
      <c r="O51" s="35"/>
      <c r="P51" s="36"/>
      <c r="Q51" s="36"/>
      <c r="T51" s="36"/>
    </row>
    <row r="52" spans="1:20" s="37" customFormat="1" ht="18.75" customHeight="1">
      <c r="A52" s="29">
        <f t="shared" si="0"/>
        <v>39</v>
      </c>
      <c r="B52" s="30"/>
      <c r="C52" s="30" t="s">
        <v>112</v>
      </c>
      <c r="D52" s="30" t="s">
        <v>145</v>
      </c>
      <c r="E52" s="31">
        <v>42807</v>
      </c>
      <c r="F52" s="30" t="s">
        <v>114</v>
      </c>
      <c r="G52" s="30" t="s">
        <v>115</v>
      </c>
      <c r="H52" s="30" t="s">
        <v>116</v>
      </c>
      <c r="I52" s="29">
        <v>10000</v>
      </c>
      <c r="J52" s="29">
        <v>10</v>
      </c>
      <c r="K52" s="29">
        <v>1000</v>
      </c>
      <c r="L52" s="38"/>
      <c r="M52" s="39"/>
      <c r="N52" s="40"/>
      <c r="O52" s="35"/>
      <c r="P52" s="36"/>
      <c r="Q52" s="36"/>
      <c r="T52" s="36"/>
    </row>
    <row r="53" spans="1:20" s="37" customFormat="1" ht="18.75" customHeight="1">
      <c r="A53" s="29">
        <f t="shared" si="0"/>
        <v>40</v>
      </c>
      <c r="B53" s="30"/>
      <c r="C53" s="30" t="s">
        <v>146</v>
      </c>
      <c r="D53" s="30" t="s">
        <v>147</v>
      </c>
      <c r="E53" s="31">
        <v>42808</v>
      </c>
      <c r="F53" s="30" t="s">
        <v>148</v>
      </c>
      <c r="G53" s="30" t="s">
        <v>149</v>
      </c>
      <c r="H53" s="30" t="s">
        <v>150</v>
      </c>
      <c r="I53" s="29">
        <v>1430000</v>
      </c>
      <c r="J53" s="29">
        <v>10</v>
      </c>
      <c r="K53" s="29">
        <v>143000</v>
      </c>
      <c r="L53" s="38"/>
      <c r="M53" s="39"/>
      <c r="N53" s="40"/>
      <c r="O53" s="35"/>
      <c r="P53" s="36"/>
      <c r="Q53" s="36"/>
      <c r="T53" s="36"/>
    </row>
    <row r="54" spans="1:20" s="37" customFormat="1" ht="18.75" customHeight="1">
      <c r="A54" s="29">
        <f t="shared" si="0"/>
        <v>41</v>
      </c>
      <c r="B54" s="30"/>
      <c r="C54" s="30" t="s">
        <v>100</v>
      </c>
      <c r="D54" s="30" t="s">
        <v>151</v>
      </c>
      <c r="E54" s="31">
        <v>42809</v>
      </c>
      <c r="F54" s="30" t="s">
        <v>102</v>
      </c>
      <c r="G54" s="30" t="s">
        <v>103</v>
      </c>
      <c r="H54" s="30" t="s">
        <v>104</v>
      </c>
      <c r="I54" s="29">
        <v>6850000</v>
      </c>
      <c r="J54" s="29">
        <v>10</v>
      </c>
      <c r="K54" s="29">
        <v>685000</v>
      </c>
      <c r="L54" s="38"/>
      <c r="M54" s="39"/>
      <c r="N54" s="40"/>
      <c r="O54" s="35"/>
      <c r="P54" s="36"/>
      <c r="Q54" s="36"/>
      <c r="T54" s="36"/>
    </row>
    <row r="55" spans="1:20" s="37" customFormat="1" ht="18.75" customHeight="1">
      <c r="A55" s="29">
        <f t="shared" si="0"/>
        <v>42</v>
      </c>
      <c r="B55" s="30"/>
      <c r="C55" s="30" t="s">
        <v>152</v>
      </c>
      <c r="D55" s="30" t="s">
        <v>153</v>
      </c>
      <c r="E55" s="31">
        <v>42809</v>
      </c>
      <c r="F55" s="30" t="s">
        <v>154</v>
      </c>
      <c r="G55" s="30" t="s">
        <v>155</v>
      </c>
      <c r="H55" s="30" t="s">
        <v>156</v>
      </c>
      <c r="I55" s="29">
        <v>1021091</v>
      </c>
      <c r="J55" s="29">
        <v>10</v>
      </c>
      <c r="K55" s="29">
        <v>102109</v>
      </c>
      <c r="L55" s="38"/>
      <c r="M55" s="39"/>
      <c r="N55" s="40"/>
      <c r="O55" s="35"/>
      <c r="P55" s="36"/>
      <c r="Q55" s="36"/>
      <c r="T55" s="36"/>
    </row>
    <row r="56" spans="1:20" s="37" customFormat="1" ht="18.75" customHeight="1">
      <c r="A56" s="29">
        <f t="shared" si="0"/>
        <v>43</v>
      </c>
      <c r="B56" s="30"/>
      <c r="C56" s="30" t="s">
        <v>157</v>
      </c>
      <c r="D56" s="30" t="s">
        <v>158</v>
      </c>
      <c r="E56" s="31">
        <v>42809</v>
      </c>
      <c r="F56" s="30" t="s">
        <v>159</v>
      </c>
      <c r="G56" s="30" t="s">
        <v>160</v>
      </c>
      <c r="H56" s="30" t="s">
        <v>161</v>
      </c>
      <c r="I56" s="29">
        <v>9000000</v>
      </c>
      <c r="J56" s="29">
        <v>10</v>
      </c>
      <c r="K56" s="29">
        <v>900000</v>
      </c>
      <c r="L56" s="38"/>
      <c r="M56" s="39"/>
      <c r="N56" s="40"/>
      <c r="O56" s="35"/>
      <c r="P56" s="36"/>
      <c r="Q56" s="36"/>
      <c r="T56" s="36"/>
    </row>
    <row r="57" spans="1:20" s="37" customFormat="1" ht="18.75" customHeight="1">
      <c r="A57" s="29">
        <f t="shared" si="0"/>
        <v>44</v>
      </c>
      <c r="B57" s="30"/>
      <c r="C57" s="30" t="s">
        <v>162</v>
      </c>
      <c r="D57" s="30" t="s">
        <v>163</v>
      </c>
      <c r="E57" s="31">
        <v>42810</v>
      </c>
      <c r="F57" s="30" t="s">
        <v>164</v>
      </c>
      <c r="G57" s="30" t="s">
        <v>165</v>
      </c>
      <c r="H57" s="30" t="s">
        <v>166</v>
      </c>
      <c r="I57" s="29">
        <v>26243835</v>
      </c>
      <c r="J57" s="29">
        <v>10</v>
      </c>
      <c r="K57" s="29">
        <v>2624384</v>
      </c>
      <c r="L57" s="38" t="s">
        <v>52</v>
      </c>
      <c r="M57" s="39">
        <v>42835</v>
      </c>
      <c r="N57" s="40" t="s">
        <v>53</v>
      </c>
      <c r="O57" s="35"/>
      <c r="P57" s="36"/>
      <c r="Q57" s="36"/>
      <c r="T57" s="36"/>
    </row>
    <row r="58" spans="1:20" s="37" customFormat="1" ht="18.75" customHeight="1">
      <c r="A58" s="29">
        <f t="shared" si="0"/>
        <v>45</v>
      </c>
      <c r="B58" s="30"/>
      <c r="C58" s="30" t="s">
        <v>167</v>
      </c>
      <c r="D58" s="30" t="s">
        <v>168</v>
      </c>
      <c r="E58" s="31">
        <v>42810</v>
      </c>
      <c r="F58" s="30" t="s">
        <v>169</v>
      </c>
      <c r="G58" s="30" t="s">
        <v>170</v>
      </c>
      <c r="H58" s="30" t="s">
        <v>171</v>
      </c>
      <c r="I58" s="29">
        <v>883000</v>
      </c>
      <c r="J58" s="29">
        <v>10</v>
      </c>
      <c r="K58" s="29">
        <v>85300</v>
      </c>
      <c r="L58" s="38"/>
      <c r="M58" s="39"/>
      <c r="N58" s="40"/>
      <c r="O58" s="35"/>
      <c r="P58" s="36"/>
      <c r="Q58" s="36"/>
      <c r="T58" s="36"/>
    </row>
    <row r="59" spans="1:20" s="37" customFormat="1" ht="18.75" customHeight="1">
      <c r="A59" s="29">
        <f t="shared" si="0"/>
        <v>46</v>
      </c>
      <c r="B59" s="30"/>
      <c r="C59" s="30" t="s">
        <v>125</v>
      </c>
      <c r="D59" s="30" t="s">
        <v>172</v>
      </c>
      <c r="E59" s="31">
        <v>42811</v>
      </c>
      <c r="F59" s="30" t="s">
        <v>127</v>
      </c>
      <c r="G59" s="30" t="s">
        <v>128</v>
      </c>
      <c r="H59" s="30" t="s">
        <v>129</v>
      </c>
      <c r="I59" s="29">
        <v>454545</v>
      </c>
      <c r="J59" s="29">
        <v>10</v>
      </c>
      <c r="K59" s="29">
        <v>45455</v>
      </c>
      <c r="L59" s="38"/>
      <c r="M59" s="39"/>
      <c r="N59" s="40"/>
      <c r="O59" s="35"/>
      <c r="P59" s="36"/>
      <c r="Q59" s="36"/>
      <c r="T59" s="36"/>
    </row>
    <row r="60" spans="1:20" s="37" customFormat="1" ht="18.75" customHeight="1">
      <c r="A60" s="29">
        <f t="shared" si="0"/>
        <v>47</v>
      </c>
      <c r="B60" s="30"/>
      <c r="C60" s="30" t="s">
        <v>74</v>
      </c>
      <c r="D60" s="30" t="s">
        <v>173</v>
      </c>
      <c r="E60" s="31">
        <v>42814</v>
      </c>
      <c r="F60" s="30" t="s">
        <v>76</v>
      </c>
      <c r="G60" s="30" t="s">
        <v>77</v>
      </c>
      <c r="H60" s="30" t="s">
        <v>174</v>
      </c>
      <c r="I60" s="29">
        <v>1836400</v>
      </c>
      <c r="J60" s="29">
        <v>10</v>
      </c>
      <c r="K60" s="29">
        <v>183640</v>
      </c>
      <c r="L60" s="38"/>
      <c r="M60" s="39"/>
      <c r="N60" s="40"/>
      <c r="O60" s="35"/>
      <c r="P60" s="36"/>
      <c r="Q60" s="36"/>
      <c r="T60" s="36"/>
    </row>
    <row r="61" spans="1:20" s="37" customFormat="1" ht="18.75" customHeight="1">
      <c r="A61" s="29">
        <f t="shared" si="0"/>
        <v>48</v>
      </c>
      <c r="B61" s="30"/>
      <c r="C61" s="30" t="s">
        <v>74</v>
      </c>
      <c r="D61" s="30" t="s">
        <v>175</v>
      </c>
      <c r="E61" s="31">
        <v>42814</v>
      </c>
      <c r="F61" s="30" t="s">
        <v>76</v>
      </c>
      <c r="G61" s="30" t="s">
        <v>77</v>
      </c>
      <c r="H61" s="30" t="s">
        <v>176</v>
      </c>
      <c r="I61" s="29">
        <v>2796000</v>
      </c>
      <c r="J61" s="29">
        <v>10</v>
      </c>
      <c r="K61" s="29">
        <v>279600</v>
      </c>
      <c r="L61" s="38"/>
      <c r="M61" s="39"/>
      <c r="N61" s="40"/>
      <c r="O61" s="35"/>
      <c r="P61" s="36"/>
      <c r="Q61" s="36"/>
      <c r="T61" s="36"/>
    </row>
    <row r="62" spans="1:20" s="37" customFormat="1" ht="18.75" customHeight="1">
      <c r="A62" s="29">
        <f t="shared" si="0"/>
        <v>49</v>
      </c>
      <c r="B62" s="30"/>
      <c r="C62" s="30" t="s">
        <v>119</v>
      </c>
      <c r="D62" s="30" t="s">
        <v>177</v>
      </c>
      <c r="E62" s="31">
        <v>42814</v>
      </c>
      <c r="F62" s="30" t="s">
        <v>121</v>
      </c>
      <c r="G62" s="30" t="s">
        <v>122</v>
      </c>
      <c r="H62" s="30" t="s">
        <v>178</v>
      </c>
      <c r="I62" s="29">
        <v>104964806</v>
      </c>
      <c r="J62" s="29">
        <v>10</v>
      </c>
      <c r="K62" s="29">
        <v>10496480</v>
      </c>
      <c r="L62" s="38" t="s">
        <v>52</v>
      </c>
      <c r="M62" s="39">
        <v>42835</v>
      </c>
      <c r="N62" s="40" t="s">
        <v>53</v>
      </c>
      <c r="O62" s="35"/>
      <c r="P62" s="36"/>
      <c r="Q62" s="36"/>
      <c r="T62" s="36"/>
    </row>
    <row r="63" spans="1:20" s="37" customFormat="1" ht="18.75" customHeight="1">
      <c r="A63" s="29">
        <f t="shared" si="0"/>
        <v>50</v>
      </c>
      <c r="B63" s="30"/>
      <c r="C63" s="30" t="s">
        <v>179</v>
      </c>
      <c r="D63" s="30" t="s">
        <v>180</v>
      </c>
      <c r="E63" s="31">
        <v>42814</v>
      </c>
      <c r="F63" s="30" t="s">
        <v>181</v>
      </c>
      <c r="G63" s="30" t="s">
        <v>182</v>
      </c>
      <c r="H63" s="30" t="s">
        <v>183</v>
      </c>
      <c r="I63" s="29">
        <v>1273545</v>
      </c>
      <c r="J63" s="29">
        <v>10</v>
      </c>
      <c r="K63" s="29">
        <v>127355</v>
      </c>
      <c r="L63" s="38"/>
      <c r="M63" s="39"/>
      <c r="N63" s="40"/>
      <c r="O63" s="35"/>
      <c r="P63" s="36"/>
      <c r="Q63" s="36"/>
      <c r="T63" s="36"/>
    </row>
    <row r="64" spans="1:20" s="37" customFormat="1" ht="18.75" customHeight="1">
      <c r="A64" s="29">
        <f t="shared" si="0"/>
        <v>51</v>
      </c>
      <c r="B64" s="30"/>
      <c r="C64" s="30" t="s">
        <v>112</v>
      </c>
      <c r="D64" s="30" t="s">
        <v>184</v>
      </c>
      <c r="E64" s="31">
        <v>42814</v>
      </c>
      <c r="F64" s="30" t="s">
        <v>114</v>
      </c>
      <c r="G64" s="30" t="s">
        <v>115</v>
      </c>
      <c r="H64" s="30" t="s">
        <v>116</v>
      </c>
      <c r="I64" s="29">
        <v>20000</v>
      </c>
      <c r="J64" s="29">
        <v>10</v>
      </c>
      <c r="K64" s="29">
        <v>2000</v>
      </c>
      <c r="L64" s="38"/>
      <c r="M64" s="39"/>
      <c r="N64" s="40"/>
      <c r="O64" s="35"/>
      <c r="P64" s="36"/>
      <c r="Q64" s="36"/>
      <c r="T64" s="36"/>
    </row>
    <row r="65" spans="1:20" s="37" customFormat="1" ht="18.75" customHeight="1">
      <c r="A65" s="29">
        <f t="shared" si="0"/>
        <v>52</v>
      </c>
      <c r="B65" s="30"/>
      <c r="C65" s="30" t="s">
        <v>112</v>
      </c>
      <c r="D65" s="30" t="s">
        <v>185</v>
      </c>
      <c r="E65" s="31">
        <v>42814</v>
      </c>
      <c r="F65" s="30" t="s">
        <v>114</v>
      </c>
      <c r="G65" s="30" t="s">
        <v>115</v>
      </c>
      <c r="H65" s="30" t="s">
        <v>116</v>
      </c>
      <c r="I65" s="29">
        <v>20000</v>
      </c>
      <c r="J65" s="29">
        <v>10</v>
      </c>
      <c r="K65" s="29">
        <v>2000</v>
      </c>
      <c r="L65" s="38"/>
      <c r="M65" s="39"/>
      <c r="N65" s="40"/>
      <c r="O65" s="35"/>
      <c r="P65" s="36"/>
      <c r="Q65" s="36"/>
      <c r="T65" s="36"/>
    </row>
    <row r="66" spans="1:20" s="37" customFormat="1" ht="18.75" customHeight="1">
      <c r="A66" s="29">
        <f t="shared" si="0"/>
        <v>53</v>
      </c>
      <c r="B66" s="30"/>
      <c r="C66" s="30" t="s">
        <v>112</v>
      </c>
      <c r="D66" s="30" t="s">
        <v>186</v>
      </c>
      <c r="E66" s="31">
        <v>42814</v>
      </c>
      <c r="F66" s="30" t="s">
        <v>114</v>
      </c>
      <c r="G66" s="30" t="s">
        <v>115</v>
      </c>
      <c r="H66" s="30" t="s">
        <v>116</v>
      </c>
      <c r="I66" s="29">
        <v>20000</v>
      </c>
      <c r="J66" s="29">
        <v>10</v>
      </c>
      <c r="K66" s="29">
        <v>2000</v>
      </c>
      <c r="L66" s="38"/>
      <c r="M66" s="39"/>
      <c r="N66" s="40"/>
      <c r="O66" s="35"/>
      <c r="P66" s="36"/>
      <c r="Q66" s="36"/>
      <c r="T66" s="36"/>
    </row>
    <row r="67" spans="1:20" s="37" customFormat="1" ht="18.75" customHeight="1">
      <c r="A67" s="29">
        <f t="shared" si="0"/>
        <v>54</v>
      </c>
      <c r="B67" s="30"/>
      <c r="C67" s="30" t="s">
        <v>112</v>
      </c>
      <c r="D67" s="30" t="s">
        <v>187</v>
      </c>
      <c r="E67" s="31">
        <v>42814</v>
      </c>
      <c r="F67" s="30" t="s">
        <v>114</v>
      </c>
      <c r="G67" s="30" t="s">
        <v>115</v>
      </c>
      <c r="H67" s="30" t="s">
        <v>116</v>
      </c>
      <c r="I67" s="29">
        <v>20000</v>
      </c>
      <c r="J67" s="29">
        <v>10</v>
      </c>
      <c r="K67" s="29">
        <v>2000</v>
      </c>
      <c r="L67" s="38"/>
      <c r="M67" s="39"/>
      <c r="N67" s="40"/>
      <c r="O67" s="35"/>
      <c r="P67" s="36"/>
      <c r="Q67" s="36"/>
      <c r="T67" s="36"/>
    </row>
    <row r="68" spans="1:20" s="37" customFormat="1" ht="18.75" customHeight="1">
      <c r="A68" s="29">
        <f t="shared" si="0"/>
        <v>55</v>
      </c>
      <c r="B68" s="30"/>
      <c r="C68" s="30" t="s">
        <v>112</v>
      </c>
      <c r="D68" s="30" t="s">
        <v>188</v>
      </c>
      <c r="E68" s="31">
        <v>42814</v>
      </c>
      <c r="F68" s="30" t="s">
        <v>114</v>
      </c>
      <c r="G68" s="30" t="s">
        <v>115</v>
      </c>
      <c r="H68" s="30" t="s">
        <v>116</v>
      </c>
      <c r="I68" s="29">
        <v>20000</v>
      </c>
      <c r="J68" s="29">
        <v>10</v>
      </c>
      <c r="K68" s="29">
        <v>2000</v>
      </c>
      <c r="L68" s="38"/>
      <c r="M68" s="39"/>
      <c r="N68" s="40"/>
      <c r="O68" s="35"/>
      <c r="P68" s="36"/>
      <c r="Q68" s="36"/>
      <c r="T68" s="36"/>
    </row>
    <row r="69" spans="1:20" s="37" customFormat="1" ht="18.75" customHeight="1">
      <c r="A69" s="29">
        <f t="shared" si="0"/>
        <v>56</v>
      </c>
      <c r="B69" s="30"/>
      <c r="C69" s="30" t="s">
        <v>112</v>
      </c>
      <c r="D69" s="30" t="s">
        <v>189</v>
      </c>
      <c r="E69" s="31">
        <v>42814</v>
      </c>
      <c r="F69" s="30" t="s">
        <v>114</v>
      </c>
      <c r="G69" s="30" t="s">
        <v>115</v>
      </c>
      <c r="H69" s="30" t="s">
        <v>116</v>
      </c>
      <c r="I69" s="29">
        <v>20000</v>
      </c>
      <c r="J69" s="29">
        <v>10</v>
      </c>
      <c r="K69" s="29">
        <v>2000</v>
      </c>
      <c r="L69" s="38"/>
      <c r="M69" s="39"/>
      <c r="N69" s="40"/>
      <c r="O69" s="35"/>
      <c r="P69" s="36"/>
      <c r="Q69" s="36"/>
      <c r="T69" s="36"/>
    </row>
    <row r="70" spans="1:20" s="37" customFormat="1" ht="18.75" customHeight="1">
      <c r="A70" s="29">
        <f t="shared" si="0"/>
        <v>57</v>
      </c>
      <c r="B70" s="30"/>
      <c r="C70" s="30" t="s">
        <v>112</v>
      </c>
      <c r="D70" s="30" t="s">
        <v>190</v>
      </c>
      <c r="E70" s="31">
        <v>42814</v>
      </c>
      <c r="F70" s="30" t="s">
        <v>114</v>
      </c>
      <c r="G70" s="30" t="s">
        <v>115</v>
      </c>
      <c r="H70" s="30" t="s">
        <v>116</v>
      </c>
      <c r="I70" s="29">
        <v>20000</v>
      </c>
      <c r="J70" s="29">
        <v>10</v>
      </c>
      <c r="K70" s="29">
        <v>2000</v>
      </c>
      <c r="L70" s="38"/>
      <c r="M70" s="39"/>
      <c r="N70" s="40"/>
      <c r="O70" s="35"/>
      <c r="P70" s="36"/>
      <c r="Q70" s="36"/>
      <c r="T70" s="36"/>
    </row>
    <row r="71" spans="1:20" s="37" customFormat="1" ht="18.75" customHeight="1">
      <c r="A71" s="29">
        <f t="shared" si="0"/>
        <v>58</v>
      </c>
      <c r="B71" s="30"/>
      <c r="C71" s="30" t="s">
        <v>112</v>
      </c>
      <c r="D71" s="30" t="s">
        <v>191</v>
      </c>
      <c r="E71" s="31">
        <v>42814</v>
      </c>
      <c r="F71" s="30" t="s">
        <v>114</v>
      </c>
      <c r="G71" s="30" t="s">
        <v>115</v>
      </c>
      <c r="H71" s="30" t="s">
        <v>116</v>
      </c>
      <c r="I71" s="29">
        <v>20000</v>
      </c>
      <c r="J71" s="29">
        <v>10</v>
      </c>
      <c r="K71" s="29">
        <v>2000</v>
      </c>
      <c r="L71" s="38"/>
      <c r="M71" s="39"/>
      <c r="N71" s="40"/>
      <c r="O71" s="35"/>
      <c r="P71" s="36"/>
      <c r="Q71" s="36"/>
      <c r="T71" s="36"/>
    </row>
    <row r="72" spans="1:20" s="37" customFormat="1" ht="18.75" customHeight="1">
      <c r="A72" s="29">
        <f t="shared" si="0"/>
        <v>59</v>
      </c>
      <c r="B72" s="30"/>
      <c r="C72" s="30" t="s">
        <v>112</v>
      </c>
      <c r="D72" s="30" t="s">
        <v>192</v>
      </c>
      <c r="E72" s="31">
        <v>42814</v>
      </c>
      <c r="F72" s="30" t="s">
        <v>114</v>
      </c>
      <c r="G72" s="30" t="s">
        <v>115</v>
      </c>
      <c r="H72" s="30" t="s">
        <v>116</v>
      </c>
      <c r="I72" s="29">
        <v>22740</v>
      </c>
      <c r="J72" s="29">
        <v>10</v>
      </c>
      <c r="K72" s="29">
        <v>2274</v>
      </c>
      <c r="L72" s="38"/>
      <c r="M72" s="39"/>
      <c r="N72" s="40"/>
      <c r="O72" s="35"/>
      <c r="P72" s="36"/>
      <c r="Q72" s="36"/>
      <c r="T72" s="36"/>
    </row>
    <row r="73" spans="1:20" s="37" customFormat="1" ht="18.75" customHeight="1">
      <c r="A73" s="29">
        <f t="shared" si="0"/>
        <v>60</v>
      </c>
      <c r="B73" s="30"/>
      <c r="C73" s="30" t="s">
        <v>112</v>
      </c>
      <c r="D73" s="30" t="s">
        <v>117</v>
      </c>
      <c r="E73" s="31">
        <v>42814</v>
      </c>
      <c r="F73" s="30" t="s">
        <v>114</v>
      </c>
      <c r="G73" s="30" t="s">
        <v>115</v>
      </c>
      <c r="H73" s="30" t="s">
        <v>116</v>
      </c>
      <c r="I73" s="29">
        <v>22740</v>
      </c>
      <c r="J73" s="29">
        <v>10</v>
      </c>
      <c r="K73" s="29">
        <v>2274</v>
      </c>
      <c r="L73" s="38"/>
      <c r="M73" s="39"/>
      <c r="N73" s="40"/>
      <c r="O73" s="35"/>
      <c r="P73" s="36"/>
      <c r="Q73" s="36"/>
      <c r="T73" s="36"/>
    </row>
    <row r="74" spans="1:20" s="37" customFormat="1" ht="18.75" customHeight="1">
      <c r="A74" s="29">
        <f t="shared" si="0"/>
        <v>61</v>
      </c>
      <c r="B74" s="30"/>
      <c r="C74" s="30" t="s">
        <v>125</v>
      </c>
      <c r="D74" s="30" t="s">
        <v>193</v>
      </c>
      <c r="E74" s="31">
        <v>42815</v>
      </c>
      <c r="F74" s="30" t="s">
        <v>127</v>
      </c>
      <c r="G74" s="30" t="s">
        <v>128</v>
      </c>
      <c r="H74" s="30" t="s">
        <v>129</v>
      </c>
      <c r="I74" s="29">
        <v>454545</v>
      </c>
      <c r="J74" s="29">
        <v>10</v>
      </c>
      <c r="K74" s="29">
        <v>45455</v>
      </c>
      <c r="L74" s="38"/>
      <c r="M74" s="39"/>
      <c r="N74" s="40"/>
      <c r="O74" s="35"/>
      <c r="P74" s="36"/>
      <c r="Q74" s="36"/>
      <c r="T74" s="36"/>
    </row>
    <row r="75" spans="1:20" s="37" customFormat="1" ht="18.75" customHeight="1">
      <c r="A75" s="29">
        <f t="shared" si="0"/>
        <v>62</v>
      </c>
      <c r="B75" s="30"/>
      <c r="C75" s="30" t="s">
        <v>194</v>
      </c>
      <c r="D75" s="30" t="s">
        <v>195</v>
      </c>
      <c r="E75" s="31">
        <v>42816</v>
      </c>
      <c r="F75" s="30" t="s">
        <v>196</v>
      </c>
      <c r="G75" s="30" t="s">
        <v>197</v>
      </c>
      <c r="H75" s="30" t="s">
        <v>198</v>
      </c>
      <c r="I75" s="29">
        <v>1627188</v>
      </c>
      <c r="J75" s="29">
        <v>10</v>
      </c>
      <c r="K75" s="29">
        <v>162719</v>
      </c>
      <c r="L75" s="38"/>
      <c r="M75" s="39"/>
      <c r="N75" s="40"/>
      <c r="O75" s="35"/>
      <c r="P75" s="36"/>
      <c r="Q75" s="36"/>
      <c r="T75" s="36"/>
    </row>
    <row r="76" spans="1:20" s="37" customFormat="1" ht="18.75" customHeight="1">
      <c r="A76" s="29">
        <f t="shared" si="0"/>
        <v>63</v>
      </c>
      <c r="B76" s="30"/>
      <c r="C76" s="30" t="s">
        <v>93</v>
      </c>
      <c r="D76" s="30" t="s">
        <v>199</v>
      </c>
      <c r="E76" s="31">
        <v>42816</v>
      </c>
      <c r="F76" s="30" t="s">
        <v>49</v>
      </c>
      <c r="G76" s="30" t="s">
        <v>50</v>
      </c>
      <c r="H76" s="30" t="s">
        <v>51</v>
      </c>
      <c r="I76" s="29">
        <v>127200000</v>
      </c>
      <c r="J76" s="29">
        <v>10</v>
      </c>
      <c r="K76" s="29">
        <v>12720000</v>
      </c>
      <c r="L76" s="38" t="s">
        <v>52</v>
      </c>
      <c r="M76" s="39">
        <v>42835</v>
      </c>
      <c r="N76" s="40" t="s">
        <v>53</v>
      </c>
      <c r="O76" s="35"/>
      <c r="P76" s="36"/>
      <c r="Q76" s="36"/>
      <c r="T76" s="36"/>
    </row>
    <row r="77" spans="1:20" s="37" customFormat="1" ht="18.75" customHeight="1">
      <c r="A77" s="29">
        <f t="shared" si="0"/>
        <v>64</v>
      </c>
      <c r="B77" s="30"/>
      <c r="C77" s="30" t="s">
        <v>100</v>
      </c>
      <c r="D77" s="30" t="s">
        <v>200</v>
      </c>
      <c r="E77" s="31">
        <v>42818</v>
      </c>
      <c r="F77" s="30" t="s">
        <v>102</v>
      </c>
      <c r="G77" s="30" t="s">
        <v>103</v>
      </c>
      <c r="H77" s="30" t="s">
        <v>104</v>
      </c>
      <c r="I77" s="29">
        <v>7500000</v>
      </c>
      <c r="J77" s="29">
        <v>10</v>
      </c>
      <c r="K77" s="29">
        <v>750000</v>
      </c>
      <c r="L77" s="38"/>
      <c r="M77" s="39"/>
      <c r="N77" s="40"/>
      <c r="O77" s="35"/>
      <c r="P77" s="36"/>
      <c r="Q77" s="36"/>
      <c r="T77" s="36"/>
    </row>
    <row r="78" spans="1:20" s="37" customFormat="1" ht="18.75" customHeight="1">
      <c r="A78" s="29">
        <f t="shared" si="0"/>
        <v>65</v>
      </c>
      <c r="B78" s="30"/>
      <c r="C78" s="30" t="s">
        <v>125</v>
      </c>
      <c r="D78" s="30" t="s">
        <v>201</v>
      </c>
      <c r="E78" s="31">
        <v>42818</v>
      </c>
      <c r="F78" s="30" t="s">
        <v>127</v>
      </c>
      <c r="G78" s="30" t="s">
        <v>128</v>
      </c>
      <c r="H78" s="30" t="s">
        <v>129</v>
      </c>
      <c r="I78" s="29">
        <v>454545</v>
      </c>
      <c r="J78" s="29">
        <v>10</v>
      </c>
      <c r="K78" s="29">
        <v>45455</v>
      </c>
      <c r="L78" s="38"/>
      <c r="M78" s="39"/>
      <c r="N78" s="40"/>
      <c r="O78" s="35"/>
      <c r="P78" s="36"/>
      <c r="Q78" s="36"/>
      <c r="T78" s="36"/>
    </row>
    <row r="79" spans="1:20" s="37" customFormat="1" ht="18.75" customHeight="1">
      <c r="A79" s="29">
        <f t="shared" si="0"/>
        <v>66</v>
      </c>
      <c r="B79" s="30"/>
      <c r="C79" s="30" t="s">
        <v>202</v>
      </c>
      <c r="D79" s="30" t="s">
        <v>203</v>
      </c>
      <c r="E79" s="31">
        <v>42819</v>
      </c>
      <c r="F79" s="30" t="s">
        <v>84</v>
      </c>
      <c r="G79" s="30" t="s">
        <v>85</v>
      </c>
      <c r="H79" s="30" t="s">
        <v>86</v>
      </c>
      <c r="I79" s="29">
        <v>1142178</v>
      </c>
      <c r="J79" s="29">
        <v>10</v>
      </c>
      <c r="K79" s="29">
        <v>114218</v>
      </c>
      <c r="L79" s="38"/>
      <c r="M79" s="39"/>
      <c r="N79" s="40"/>
      <c r="O79" s="35"/>
      <c r="P79" s="36"/>
      <c r="Q79" s="36"/>
      <c r="T79" s="36"/>
    </row>
    <row r="80" spans="1:20" s="37" customFormat="1" ht="18.75" customHeight="1">
      <c r="A80" s="29">
        <f t="shared" ref="A80:A99" si="1">+A79+1</f>
        <v>67</v>
      </c>
      <c r="B80" s="30"/>
      <c r="C80" s="30" t="s">
        <v>204</v>
      </c>
      <c r="D80" s="30" t="s">
        <v>205</v>
      </c>
      <c r="E80" s="31">
        <v>42819</v>
      </c>
      <c r="F80" s="30" t="s">
        <v>206</v>
      </c>
      <c r="G80" s="30" t="s">
        <v>207</v>
      </c>
      <c r="H80" s="30" t="s">
        <v>208</v>
      </c>
      <c r="I80" s="29">
        <v>253977928</v>
      </c>
      <c r="J80" s="29">
        <v>10</v>
      </c>
      <c r="K80" s="29">
        <v>25397793</v>
      </c>
      <c r="L80" s="38" t="s">
        <v>52</v>
      </c>
      <c r="M80" s="39">
        <v>42835</v>
      </c>
      <c r="N80" s="40" t="s">
        <v>53</v>
      </c>
      <c r="O80" s="35"/>
      <c r="P80" s="36"/>
      <c r="Q80" s="36"/>
      <c r="T80" s="36"/>
    </row>
    <row r="81" spans="1:20" s="37" customFormat="1" ht="18.75" customHeight="1">
      <c r="A81" s="29">
        <f t="shared" si="1"/>
        <v>68</v>
      </c>
      <c r="B81" s="30"/>
      <c r="C81" s="30" t="s">
        <v>119</v>
      </c>
      <c r="D81" s="30" t="s">
        <v>209</v>
      </c>
      <c r="E81" s="31">
        <v>42819</v>
      </c>
      <c r="F81" s="30" t="s">
        <v>121</v>
      </c>
      <c r="G81" s="30" t="s">
        <v>122</v>
      </c>
      <c r="H81" s="30" t="s">
        <v>210</v>
      </c>
      <c r="I81" s="29">
        <v>260278759</v>
      </c>
      <c r="J81" s="29">
        <v>10</v>
      </c>
      <c r="K81" s="29">
        <v>26027875</v>
      </c>
      <c r="L81" s="38" t="s">
        <v>52</v>
      </c>
      <c r="M81" s="39">
        <v>42835</v>
      </c>
      <c r="N81" s="40" t="s">
        <v>53</v>
      </c>
      <c r="O81" s="35"/>
      <c r="P81" s="36"/>
      <c r="Q81" s="36"/>
      <c r="T81" s="36"/>
    </row>
    <row r="82" spans="1:20" s="37" customFormat="1" ht="18.75" customHeight="1">
      <c r="A82" s="29">
        <f t="shared" si="1"/>
        <v>69</v>
      </c>
      <c r="B82" s="30"/>
      <c r="C82" s="30" t="s">
        <v>119</v>
      </c>
      <c r="D82" s="30" t="s">
        <v>211</v>
      </c>
      <c r="E82" s="31">
        <v>42820</v>
      </c>
      <c r="F82" s="30" t="s">
        <v>121</v>
      </c>
      <c r="G82" s="30" t="s">
        <v>122</v>
      </c>
      <c r="H82" s="30" t="s">
        <v>212</v>
      </c>
      <c r="I82" s="29">
        <v>487903010</v>
      </c>
      <c r="J82" s="29">
        <v>10</v>
      </c>
      <c r="K82" s="29">
        <v>48790301</v>
      </c>
      <c r="L82" s="38" t="s">
        <v>52</v>
      </c>
      <c r="M82" s="39">
        <v>42835</v>
      </c>
      <c r="N82" s="40" t="s">
        <v>53</v>
      </c>
      <c r="O82" s="35"/>
      <c r="P82" s="36"/>
      <c r="Q82" s="36"/>
      <c r="T82" s="36"/>
    </row>
    <row r="83" spans="1:20" s="37" customFormat="1" ht="18.75" customHeight="1">
      <c r="A83" s="29">
        <f t="shared" si="1"/>
        <v>70</v>
      </c>
      <c r="B83" s="30"/>
      <c r="C83" s="30" t="s">
        <v>213</v>
      </c>
      <c r="D83" s="30" t="s">
        <v>214</v>
      </c>
      <c r="E83" s="31">
        <v>42821</v>
      </c>
      <c r="F83" s="30" t="s">
        <v>215</v>
      </c>
      <c r="G83" s="30" t="s">
        <v>216</v>
      </c>
      <c r="H83" s="30" t="s">
        <v>217</v>
      </c>
      <c r="I83" s="29">
        <v>1545180</v>
      </c>
      <c r="J83" s="29">
        <v>10</v>
      </c>
      <c r="K83" s="29">
        <v>154518</v>
      </c>
      <c r="L83" s="38"/>
      <c r="M83" s="39"/>
      <c r="N83" s="40"/>
      <c r="O83" s="35"/>
      <c r="P83" s="36"/>
      <c r="Q83" s="36"/>
      <c r="T83" s="36"/>
    </row>
    <row r="84" spans="1:20" s="37" customFormat="1" ht="18.75" customHeight="1">
      <c r="A84" s="29">
        <f t="shared" si="1"/>
        <v>71</v>
      </c>
      <c r="B84" s="30"/>
      <c r="C84" s="30" t="s">
        <v>218</v>
      </c>
      <c r="D84" s="30" t="s">
        <v>219</v>
      </c>
      <c r="E84" s="31">
        <v>42821</v>
      </c>
      <c r="F84" s="30" t="s">
        <v>220</v>
      </c>
      <c r="G84" s="30" t="s">
        <v>221</v>
      </c>
      <c r="H84" s="30" t="s">
        <v>222</v>
      </c>
      <c r="I84" s="29">
        <v>15610800</v>
      </c>
      <c r="J84" s="29">
        <v>10</v>
      </c>
      <c r="K84" s="29">
        <v>1561080</v>
      </c>
      <c r="L84" s="38"/>
      <c r="M84" s="39"/>
      <c r="N84" s="40"/>
      <c r="O84" s="35"/>
      <c r="P84" s="36"/>
      <c r="Q84" s="36"/>
      <c r="T84" s="36"/>
    </row>
    <row r="85" spans="1:20" s="37" customFormat="1" ht="18.75" customHeight="1">
      <c r="A85" s="29">
        <f t="shared" si="1"/>
        <v>72</v>
      </c>
      <c r="B85" s="30"/>
      <c r="C85" s="30" t="s">
        <v>218</v>
      </c>
      <c r="D85" s="30" t="s">
        <v>223</v>
      </c>
      <c r="E85" s="31">
        <v>42822</v>
      </c>
      <c r="F85" s="30" t="s">
        <v>220</v>
      </c>
      <c r="G85" s="30" t="s">
        <v>221</v>
      </c>
      <c r="H85" s="30" t="s">
        <v>222</v>
      </c>
      <c r="I85" s="29">
        <v>4254350</v>
      </c>
      <c r="J85" s="29">
        <v>10</v>
      </c>
      <c r="K85" s="29">
        <v>425435</v>
      </c>
      <c r="L85" s="38"/>
      <c r="M85" s="39"/>
      <c r="N85" s="40"/>
      <c r="O85" s="35"/>
      <c r="P85" s="36"/>
      <c r="Q85" s="36"/>
      <c r="T85" s="36"/>
    </row>
    <row r="86" spans="1:20" s="37" customFormat="1" ht="18.75" customHeight="1">
      <c r="A86" s="29">
        <f t="shared" si="1"/>
        <v>73</v>
      </c>
      <c r="B86" s="30"/>
      <c r="C86" s="30" t="s">
        <v>112</v>
      </c>
      <c r="D86" s="30" t="s">
        <v>224</v>
      </c>
      <c r="E86" s="31">
        <v>42822</v>
      </c>
      <c r="F86" s="30" t="s">
        <v>114</v>
      </c>
      <c r="G86" s="30" t="s">
        <v>115</v>
      </c>
      <c r="H86" s="30" t="s">
        <v>116</v>
      </c>
      <c r="I86" s="29">
        <v>10000</v>
      </c>
      <c r="J86" s="29">
        <v>10</v>
      </c>
      <c r="K86" s="29">
        <v>1000</v>
      </c>
      <c r="L86" s="38"/>
      <c r="M86" s="39"/>
      <c r="N86" s="40"/>
      <c r="O86" s="35"/>
      <c r="P86" s="36"/>
      <c r="Q86" s="36"/>
      <c r="T86" s="36"/>
    </row>
    <row r="87" spans="1:20" s="37" customFormat="1" ht="18.75" customHeight="1">
      <c r="A87" s="29">
        <f t="shared" si="1"/>
        <v>74</v>
      </c>
      <c r="B87" s="30"/>
      <c r="C87" s="30" t="s">
        <v>112</v>
      </c>
      <c r="D87" s="30" t="s">
        <v>225</v>
      </c>
      <c r="E87" s="31">
        <v>42822</v>
      </c>
      <c r="F87" s="30" t="s">
        <v>114</v>
      </c>
      <c r="G87" s="30" t="s">
        <v>115</v>
      </c>
      <c r="H87" s="30" t="s">
        <v>116</v>
      </c>
      <c r="I87" s="29">
        <v>10000</v>
      </c>
      <c r="J87" s="29">
        <v>10</v>
      </c>
      <c r="K87" s="29">
        <v>1000</v>
      </c>
      <c r="L87" s="38"/>
      <c r="M87" s="39"/>
      <c r="N87" s="40"/>
      <c r="O87" s="35"/>
      <c r="P87" s="36"/>
      <c r="Q87" s="36"/>
      <c r="T87" s="36"/>
    </row>
    <row r="88" spans="1:20" s="37" customFormat="1" ht="18.75" customHeight="1">
      <c r="A88" s="29">
        <f t="shared" si="1"/>
        <v>75</v>
      </c>
      <c r="B88" s="30"/>
      <c r="C88" s="30" t="s">
        <v>226</v>
      </c>
      <c r="D88" s="30" t="s">
        <v>227</v>
      </c>
      <c r="E88" s="31">
        <v>42823</v>
      </c>
      <c r="F88" s="30" t="s">
        <v>228</v>
      </c>
      <c r="G88" s="30" t="s">
        <v>229</v>
      </c>
      <c r="H88" s="30" t="s">
        <v>230</v>
      </c>
      <c r="I88" s="29">
        <v>16305000</v>
      </c>
      <c r="J88" s="29">
        <v>10</v>
      </c>
      <c r="K88" s="29">
        <v>1630500</v>
      </c>
      <c r="L88" s="38"/>
      <c r="M88" s="39"/>
      <c r="N88" s="40"/>
      <c r="O88" s="35"/>
      <c r="P88" s="36"/>
      <c r="Q88" s="36"/>
      <c r="T88" s="36"/>
    </row>
    <row r="89" spans="1:20" s="37" customFormat="1" ht="18.75" customHeight="1">
      <c r="A89" s="29">
        <f t="shared" si="1"/>
        <v>76</v>
      </c>
      <c r="B89" s="30"/>
      <c r="C89" s="30" t="s">
        <v>231</v>
      </c>
      <c r="D89" s="30" t="s">
        <v>232</v>
      </c>
      <c r="E89" s="31">
        <v>42823</v>
      </c>
      <c r="F89" s="30" t="s">
        <v>233</v>
      </c>
      <c r="G89" s="30" t="s">
        <v>234</v>
      </c>
      <c r="H89" s="30" t="s">
        <v>235</v>
      </c>
      <c r="I89" s="29">
        <v>83061010</v>
      </c>
      <c r="J89" s="29">
        <v>10</v>
      </c>
      <c r="K89" s="29">
        <v>8306101</v>
      </c>
      <c r="L89" s="38" t="s">
        <v>52</v>
      </c>
      <c r="M89" s="39">
        <v>42844</v>
      </c>
      <c r="N89" s="40" t="s">
        <v>53</v>
      </c>
      <c r="O89" s="35"/>
      <c r="P89" s="36"/>
      <c r="Q89" s="36"/>
      <c r="T89" s="36"/>
    </row>
    <row r="90" spans="1:20" s="37" customFormat="1" ht="18.75" customHeight="1">
      <c r="A90" s="29">
        <f t="shared" si="1"/>
        <v>77</v>
      </c>
      <c r="B90" s="30"/>
      <c r="C90" s="30" t="s">
        <v>231</v>
      </c>
      <c r="D90" s="30" t="s">
        <v>236</v>
      </c>
      <c r="E90" s="31">
        <v>42823</v>
      </c>
      <c r="F90" s="30" t="s">
        <v>233</v>
      </c>
      <c r="G90" s="30" t="s">
        <v>234</v>
      </c>
      <c r="H90" s="30" t="s">
        <v>235</v>
      </c>
      <c r="I90" s="29">
        <v>24885200</v>
      </c>
      <c r="J90" s="29">
        <v>10</v>
      </c>
      <c r="K90" s="29">
        <v>2488520</v>
      </c>
      <c r="L90" s="38" t="s">
        <v>52</v>
      </c>
      <c r="M90" s="39">
        <v>42844</v>
      </c>
      <c r="N90" s="40" t="s">
        <v>53</v>
      </c>
      <c r="O90" s="35"/>
      <c r="P90" s="36"/>
      <c r="Q90" s="36"/>
      <c r="T90" s="36"/>
    </row>
    <row r="91" spans="1:20" s="37" customFormat="1" ht="18.75" customHeight="1">
      <c r="A91" s="29">
        <f t="shared" si="1"/>
        <v>78</v>
      </c>
      <c r="B91" s="30"/>
      <c r="C91" s="30" t="s">
        <v>100</v>
      </c>
      <c r="D91" s="30" t="s">
        <v>237</v>
      </c>
      <c r="E91" s="31">
        <v>42824</v>
      </c>
      <c r="F91" s="30" t="s">
        <v>102</v>
      </c>
      <c r="G91" s="30" t="s">
        <v>103</v>
      </c>
      <c r="H91" s="30" t="s">
        <v>104</v>
      </c>
      <c r="I91" s="29">
        <v>10400000</v>
      </c>
      <c r="J91" s="29">
        <v>10</v>
      </c>
      <c r="K91" s="29">
        <v>1040000</v>
      </c>
      <c r="L91" s="38"/>
      <c r="M91" s="39"/>
      <c r="N91" s="40"/>
      <c r="O91" s="35"/>
      <c r="P91" s="36"/>
      <c r="Q91" s="36"/>
      <c r="T91" s="36"/>
    </row>
    <row r="92" spans="1:20" s="37" customFormat="1" ht="18.75" customHeight="1">
      <c r="A92" s="29">
        <f t="shared" si="1"/>
        <v>79</v>
      </c>
      <c r="B92" s="30"/>
      <c r="C92" s="30" t="s">
        <v>231</v>
      </c>
      <c r="D92" s="30" t="s">
        <v>238</v>
      </c>
      <c r="E92" s="31">
        <v>42824</v>
      </c>
      <c r="F92" s="30" t="s">
        <v>239</v>
      </c>
      <c r="G92" s="30" t="s">
        <v>240</v>
      </c>
      <c r="H92" s="30" t="s">
        <v>241</v>
      </c>
      <c r="I92" s="29">
        <v>55554500</v>
      </c>
      <c r="J92" s="29">
        <v>10</v>
      </c>
      <c r="K92" s="29">
        <v>5555450</v>
      </c>
      <c r="L92" s="38" t="s">
        <v>52</v>
      </c>
      <c r="M92" s="39">
        <v>42835</v>
      </c>
      <c r="N92" s="40" t="s">
        <v>53</v>
      </c>
      <c r="O92" s="35"/>
      <c r="P92" s="36"/>
      <c r="Q92" s="36"/>
      <c r="T92" s="36"/>
    </row>
    <row r="93" spans="1:20" s="37" customFormat="1" ht="18.75" customHeight="1">
      <c r="A93" s="29">
        <f t="shared" si="1"/>
        <v>80</v>
      </c>
      <c r="B93" s="30"/>
      <c r="C93" s="30" t="s">
        <v>242</v>
      </c>
      <c r="D93" s="30" t="s">
        <v>243</v>
      </c>
      <c r="E93" s="31">
        <v>42825</v>
      </c>
      <c r="F93" s="30" t="s">
        <v>244</v>
      </c>
      <c r="G93" s="30" t="s">
        <v>245</v>
      </c>
      <c r="H93" s="30" t="s">
        <v>246</v>
      </c>
      <c r="I93" s="29">
        <v>1845000</v>
      </c>
      <c r="J93" s="29">
        <v>10</v>
      </c>
      <c r="K93" s="29">
        <v>184500</v>
      </c>
      <c r="L93" s="38"/>
      <c r="M93" s="39"/>
      <c r="N93" s="40"/>
      <c r="O93" s="35"/>
      <c r="P93" s="36"/>
      <c r="Q93" s="36"/>
      <c r="T93" s="36"/>
    </row>
    <row r="94" spans="1:20" s="37" customFormat="1" ht="18.75" customHeight="1">
      <c r="A94" s="29">
        <f t="shared" si="1"/>
        <v>81</v>
      </c>
      <c r="B94" s="30"/>
      <c r="C94" s="30" t="s">
        <v>93</v>
      </c>
      <c r="D94" s="30" t="s">
        <v>247</v>
      </c>
      <c r="E94" s="31">
        <v>42825</v>
      </c>
      <c r="F94" s="30" t="s">
        <v>49</v>
      </c>
      <c r="G94" s="30" t="s">
        <v>50</v>
      </c>
      <c r="H94" s="30" t="s">
        <v>51</v>
      </c>
      <c r="I94" s="29">
        <v>155200000</v>
      </c>
      <c r="J94" s="29">
        <v>10</v>
      </c>
      <c r="K94" s="29">
        <v>15520000</v>
      </c>
      <c r="L94" s="38" t="s">
        <v>52</v>
      </c>
      <c r="M94" s="39">
        <v>42887</v>
      </c>
      <c r="N94" s="40" t="s">
        <v>53</v>
      </c>
      <c r="O94" s="35"/>
      <c r="P94" s="36"/>
      <c r="Q94" s="36"/>
      <c r="T94" s="36"/>
    </row>
    <row r="95" spans="1:20" s="37" customFormat="1" ht="18.75" customHeight="1">
      <c r="A95" s="29">
        <f t="shared" si="1"/>
        <v>82</v>
      </c>
      <c r="B95" s="30"/>
      <c r="C95" s="30" t="s">
        <v>248</v>
      </c>
      <c r="D95" s="30" t="s">
        <v>249</v>
      </c>
      <c r="E95" s="31">
        <v>42825</v>
      </c>
      <c r="F95" s="30" t="s">
        <v>250</v>
      </c>
      <c r="G95" s="30" t="s">
        <v>251</v>
      </c>
      <c r="H95" s="30" t="s">
        <v>252</v>
      </c>
      <c r="I95" s="29">
        <v>235242182</v>
      </c>
      <c r="J95" s="29">
        <v>10</v>
      </c>
      <c r="K95" s="29">
        <v>23524218</v>
      </c>
      <c r="L95" s="38" t="s">
        <v>52</v>
      </c>
      <c r="M95" s="39">
        <v>42844</v>
      </c>
      <c r="N95" s="40" t="s">
        <v>53</v>
      </c>
      <c r="O95" s="35"/>
      <c r="P95" s="36"/>
      <c r="Q95" s="36"/>
      <c r="T95" s="36"/>
    </row>
    <row r="96" spans="1:20" s="37" customFormat="1" ht="18.75" customHeight="1">
      <c r="A96" s="29">
        <f t="shared" si="1"/>
        <v>83</v>
      </c>
      <c r="B96" s="30"/>
      <c r="C96" s="30" t="s">
        <v>248</v>
      </c>
      <c r="D96" s="30" t="s">
        <v>253</v>
      </c>
      <c r="E96" s="31">
        <v>42825</v>
      </c>
      <c r="F96" s="30" t="s">
        <v>250</v>
      </c>
      <c r="G96" s="30" t="s">
        <v>251</v>
      </c>
      <c r="H96" s="30" t="s">
        <v>254</v>
      </c>
      <c r="I96" s="29">
        <v>4800000</v>
      </c>
      <c r="J96" s="29">
        <v>10</v>
      </c>
      <c r="K96" s="29">
        <v>480000</v>
      </c>
      <c r="L96" s="38" t="s">
        <v>52</v>
      </c>
      <c r="M96" s="39">
        <v>42844</v>
      </c>
      <c r="N96" s="40" t="s">
        <v>53</v>
      </c>
      <c r="O96" s="35"/>
      <c r="P96" s="36"/>
      <c r="Q96" s="36"/>
      <c r="T96" s="36"/>
    </row>
    <row r="97" spans="1:255" s="37" customFormat="1" ht="18.75" customHeight="1">
      <c r="A97" s="29">
        <f t="shared" si="1"/>
        <v>84</v>
      </c>
      <c r="B97" s="30"/>
      <c r="C97" s="30" t="s">
        <v>248</v>
      </c>
      <c r="D97" s="30" t="s">
        <v>255</v>
      </c>
      <c r="E97" s="31">
        <v>42825</v>
      </c>
      <c r="F97" s="30" t="s">
        <v>250</v>
      </c>
      <c r="G97" s="30" t="s">
        <v>251</v>
      </c>
      <c r="H97" s="30" t="s">
        <v>256</v>
      </c>
      <c r="I97" s="29">
        <v>2460000</v>
      </c>
      <c r="J97" s="29">
        <v>10</v>
      </c>
      <c r="K97" s="29">
        <v>246000</v>
      </c>
      <c r="L97" s="38" t="s">
        <v>52</v>
      </c>
      <c r="M97" s="39">
        <v>42844</v>
      </c>
      <c r="N97" s="40" t="s">
        <v>53</v>
      </c>
      <c r="O97" s="35"/>
      <c r="P97" s="36"/>
      <c r="Q97" s="36"/>
      <c r="T97" s="36"/>
    </row>
    <row r="98" spans="1:255" s="37" customFormat="1" ht="18.75" customHeight="1">
      <c r="A98" s="29">
        <f t="shared" si="1"/>
        <v>85</v>
      </c>
      <c r="B98" s="30"/>
      <c r="C98" s="30" t="s">
        <v>93</v>
      </c>
      <c r="D98" s="30" t="s">
        <v>257</v>
      </c>
      <c r="E98" s="31">
        <v>42825</v>
      </c>
      <c r="F98" s="30" t="s">
        <v>258</v>
      </c>
      <c r="G98" s="30" t="s">
        <v>259</v>
      </c>
      <c r="H98" s="30" t="s">
        <v>260</v>
      </c>
      <c r="I98" s="29">
        <v>46117175</v>
      </c>
      <c r="J98" s="29">
        <v>10</v>
      </c>
      <c r="K98" s="29">
        <v>4611718</v>
      </c>
      <c r="L98" s="38" t="s">
        <v>52</v>
      </c>
      <c r="M98" s="39">
        <v>42844</v>
      </c>
      <c r="N98" s="40" t="s">
        <v>53</v>
      </c>
      <c r="O98" s="35"/>
      <c r="P98" s="36"/>
      <c r="Q98" s="36"/>
      <c r="T98" s="36"/>
    </row>
    <row r="99" spans="1:255" s="37" customFormat="1" ht="18.75" customHeight="1">
      <c r="A99" s="29">
        <f t="shared" si="1"/>
        <v>86</v>
      </c>
      <c r="B99" s="30"/>
      <c r="C99" s="30" t="s">
        <v>261</v>
      </c>
      <c r="D99" s="30" t="s">
        <v>262</v>
      </c>
      <c r="E99" s="31">
        <v>42825</v>
      </c>
      <c r="F99" s="30" t="s">
        <v>139</v>
      </c>
      <c r="G99" s="30" t="s">
        <v>140</v>
      </c>
      <c r="H99" s="30" t="s">
        <v>263</v>
      </c>
      <c r="I99" s="29">
        <v>868121</v>
      </c>
      <c r="J99" s="29">
        <v>10</v>
      </c>
      <c r="K99" s="29">
        <v>86812</v>
      </c>
      <c r="L99" s="41"/>
      <c r="M99" s="42"/>
      <c r="N99" s="40"/>
      <c r="O99" s="35"/>
      <c r="P99" s="36"/>
      <c r="Q99" s="36"/>
      <c r="T99" s="36"/>
    </row>
    <row r="100" spans="1:255" s="37" customFormat="1" ht="18.75" customHeight="1">
      <c r="A100" s="205" t="s">
        <v>264</v>
      </c>
      <c r="B100" s="205"/>
      <c r="C100" s="205"/>
      <c r="D100" s="205"/>
      <c r="E100" s="205"/>
      <c r="F100" s="205"/>
      <c r="G100" s="205"/>
      <c r="H100" s="205"/>
      <c r="I100" s="43">
        <f>SUM(I14:I99)</f>
        <v>2685162173</v>
      </c>
      <c r="J100" s="43"/>
      <c r="K100" s="43">
        <f>SUM(K14:K99)</f>
        <v>268513220</v>
      </c>
      <c r="L100" s="44"/>
      <c r="M100" s="45"/>
      <c r="N100" s="46"/>
      <c r="O100" s="35"/>
      <c r="P100" s="36"/>
      <c r="Q100" s="36"/>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c r="IS100" s="10"/>
      <c r="IT100" s="10"/>
      <c r="IU100" s="10"/>
    </row>
    <row r="101" spans="1:255" s="37" customFormat="1" ht="18.75" customHeight="1">
      <c r="A101" s="29">
        <f>A99+1</f>
        <v>87</v>
      </c>
      <c r="B101" s="30"/>
      <c r="C101" s="30" t="s">
        <v>167</v>
      </c>
      <c r="D101" s="30" t="s">
        <v>265</v>
      </c>
      <c r="E101" s="31">
        <v>42804</v>
      </c>
      <c r="F101" s="30" t="s">
        <v>266</v>
      </c>
      <c r="G101" s="30" t="s">
        <v>267</v>
      </c>
      <c r="H101" s="30" t="s">
        <v>268</v>
      </c>
      <c r="I101" s="29">
        <v>7011168</v>
      </c>
      <c r="J101" s="29">
        <v>10</v>
      </c>
      <c r="K101" s="29">
        <v>701117</v>
      </c>
      <c r="L101" s="47"/>
      <c r="M101" s="48"/>
      <c r="N101" s="40"/>
      <c r="O101" s="35"/>
      <c r="P101" s="36"/>
      <c r="Q101" s="36"/>
      <c r="T101" s="36"/>
    </row>
    <row r="102" spans="1:255" s="37" customFormat="1" ht="18.75" customHeight="1">
      <c r="A102" s="29">
        <f>+A101+1</f>
        <v>88</v>
      </c>
      <c r="B102" s="30"/>
      <c r="C102" s="30" t="s">
        <v>69</v>
      </c>
      <c r="D102" s="30" t="s">
        <v>269</v>
      </c>
      <c r="E102" s="31">
        <v>42809</v>
      </c>
      <c r="F102" s="30" t="s">
        <v>71</v>
      </c>
      <c r="G102" s="30" t="s">
        <v>72</v>
      </c>
      <c r="H102" s="30" t="s">
        <v>40</v>
      </c>
      <c r="I102" s="29">
        <v>2000000</v>
      </c>
      <c r="J102" s="29">
        <v>10</v>
      </c>
      <c r="K102" s="29">
        <v>200000</v>
      </c>
      <c r="L102" s="38"/>
      <c r="M102" s="39"/>
      <c r="N102" s="40"/>
      <c r="O102" s="35"/>
      <c r="P102" s="36"/>
      <c r="Q102" s="36"/>
      <c r="T102" s="36"/>
    </row>
    <row r="103" spans="1:255" s="37" customFormat="1" ht="18.75" customHeight="1">
      <c r="A103" s="29">
        <f>+A102+1</f>
        <v>89</v>
      </c>
      <c r="B103" s="30"/>
      <c r="C103" s="30" t="s">
        <v>61</v>
      </c>
      <c r="D103" s="30" t="s">
        <v>270</v>
      </c>
      <c r="E103" s="31">
        <v>42809</v>
      </c>
      <c r="F103" s="30" t="s">
        <v>63</v>
      </c>
      <c r="G103" s="30" t="s">
        <v>64</v>
      </c>
      <c r="H103" s="30" t="s">
        <v>271</v>
      </c>
      <c r="I103" s="29">
        <v>12000000</v>
      </c>
      <c r="J103" s="29">
        <v>10</v>
      </c>
      <c r="K103" s="29">
        <v>1200000</v>
      </c>
      <c r="L103" s="38"/>
      <c r="M103" s="39"/>
      <c r="N103" s="40"/>
      <c r="O103" s="35"/>
      <c r="P103" s="36"/>
      <c r="Q103" s="36"/>
      <c r="T103" s="36"/>
    </row>
    <row r="104" spans="1:255" s="37" customFormat="1" ht="18.75" customHeight="1">
      <c r="A104" s="29">
        <f t="shared" ref="A104:A167" si="2">+A103+1</f>
        <v>90</v>
      </c>
      <c r="B104" s="30"/>
      <c r="C104" s="30" t="s">
        <v>162</v>
      </c>
      <c r="D104" s="30" t="s">
        <v>272</v>
      </c>
      <c r="E104" s="31">
        <v>42810</v>
      </c>
      <c r="F104" s="30" t="s">
        <v>273</v>
      </c>
      <c r="G104" s="30" t="s">
        <v>274</v>
      </c>
      <c r="H104" s="30" t="s">
        <v>275</v>
      </c>
      <c r="I104" s="29">
        <v>21135100</v>
      </c>
      <c r="J104" s="29">
        <v>10</v>
      </c>
      <c r="K104" s="29">
        <v>2113510</v>
      </c>
      <c r="L104" s="38" t="s">
        <v>52</v>
      </c>
      <c r="M104" s="39">
        <v>42907</v>
      </c>
      <c r="N104" s="40" t="s">
        <v>276</v>
      </c>
      <c r="O104" s="35"/>
      <c r="P104" s="36"/>
      <c r="Q104" s="36"/>
      <c r="T104" s="36"/>
    </row>
    <row r="105" spans="1:255" s="37" customFormat="1" ht="18.75" customHeight="1">
      <c r="A105" s="29">
        <f t="shared" si="2"/>
        <v>91</v>
      </c>
      <c r="B105" s="30"/>
      <c r="C105" s="30" t="s">
        <v>93</v>
      </c>
      <c r="D105" s="30" t="s">
        <v>277</v>
      </c>
      <c r="E105" s="31">
        <v>42811</v>
      </c>
      <c r="F105" s="30" t="s">
        <v>49</v>
      </c>
      <c r="G105" s="30" t="s">
        <v>50</v>
      </c>
      <c r="H105" s="30" t="s">
        <v>51</v>
      </c>
      <c r="I105" s="29">
        <v>86400000</v>
      </c>
      <c r="J105" s="29">
        <v>10</v>
      </c>
      <c r="K105" s="29">
        <v>8640000</v>
      </c>
      <c r="L105" s="38" t="s">
        <v>52</v>
      </c>
      <c r="M105" s="39">
        <v>42887</v>
      </c>
      <c r="N105" s="40" t="s">
        <v>276</v>
      </c>
      <c r="O105" s="35"/>
      <c r="P105" s="36"/>
      <c r="Q105" s="36"/>
      <c r="T105" s="36"/>
    </row>
    <row r="106" spans="1:255" s="37" customFormat="1" ht="18.75" customHeight="1">
      <c r="A106" s="29">
        <f t="shared" si="2"/>
        <v>92</v>
      </c>
      <c r="B106" s="30"/>
      <c r="C106" s="30" t="s">
        <v>278</v>
      </c>
      <c r="D106" s="30" t="s">
        <v>279</v>
      </c>
      <c r="E106" s="31">
        <v>42815</v>
      </c>
      <c r="F106" s="30" t="s">
        <v>280</v>
      </c>
      <c r="G106" s="30" t="s">
        <v>281</v>
      </c>
      <c r="H106" s="30" t="s">
        <v>282</v>
      </c>
      <c r="I106" s="29">
        <v>5375200</v>
      </c>
      <c r="J106" s="29">
        <v>10</v>
      </c>
      <c r="K106" s="29">
        <v>537520</v>
      </c>
      <c r="L106" s="38"/>
      <c r="M106" s="39"/>
      <c r="N106" s="40"/>
      <c r="O106" s="35"/>
      <c r="P106" s="36"/>
      <c r="Q106" s="36"/>
      <c r="T106" s="36"/>
    </row>
    <row r="107" spans="1:255" s="37" customFormat="1" ht="18.75" customHeight="1">
      <c r="A107" s="29">
        <f t="shared" si="2"/>
        <v>93</v>
      </c>
      <c r="B107" s="30"/>
      <c r="C107" s="30" t="s">
        <v>54</v>
      </c>
      <c r="D107" s="30" t="s">
        <v>283</v>
      </c>
      <c r="E107" s="31">
        <v>42817</v>
      </c>
      <c r="F107" s="30" t="s">
        <v>56</v>
      </c>
      <c r="G107" s="30" t="s">
        <v>57</v>
      </c>
      <c r="H107" s="30" t="s">
        <v>268</v>
      </c>
      <c r="I107" s="29">
        <v>9538760</v>
      </c>
      <c r="J107" s="29">
        <v>10</v>
      </c>
      <c r="K107" s="29">
        <v>953876</v>
      </c>
      <c r="L107" s="38"/>
      <c r="M107" s="39"/>
      <c r="N107" s="40"/>
      <c r="O107" s="35"/>
      <c r="P107" s="36"/>
      <c r="Q107" s="36"/>
      <c r="T107" s="36"/>
    </row>
    <row r="108" spans="1:255" s="37" customFormat="1" ht="18.75" customHeight="1">
      <c r="A108" s="29">
        <f t="shared" si="2"/>
        <v>94</v>
      </c>
      <c r="B108" s="30"/>
      <c r="C108" s="30" t="s">
        <v>54</v>
      </c>
      <c r="D108" s="30" t="s">
        <v>284</v>
      </c>
      <c r="E108" s="31">
        <v>42822</v>
      </c>
      <c r="F108" s="30" t="s">
        <v>56</v>
      </c>
      <c r="G108" s="30" t="s">
        <v>57</v>
      </c>
      <c r="H108" s="30" t="s">
        <v>268</v>
      </c>
      <c r="I108" s="29">
        <v>5793740</v>
      </c>
      <c r="J108" s="29">
        <v>10</v>
      </c>
      <c r="K108" s="29">
        <v>579374</v>
      </c>
      <c r="L108" s="38"/>
      <c r="M108" s="39"/>
      <c r="N108" s="40"/>
      <c r="O108" s="35"/>
      <c r="P108" s="36"/>
      <c r="Q108" s="36"/>
      <c r="T108" s="36"/>
    </row>
    <row r="109" spans="1:255" s="37" customFormat="1" ht="18.75" customHeight="1">
      <c r="A109" s="29">
        <f t="shared" si="2"/>
        <v>95</v>
      </c>
      <c r="B109" s="30"/>
      <c r="C109" s="30" t="s">
        <v>61</v>
      </c>
      <c r="D109" s="30" t="s">
        <v>285</v>
      </c>
      <c r="E109" s="31">
        <v>42824</v>
      </c>
      <c r="F109" s="30" t="s">
        <v>63</v>
      </c>
      <c r="G109" s="30" t="s">
        <v>64</v>
      </c>
      <c r="H109" s="30" t="s">
        <v>271</v>
      </c>
      <c r="I109" s="29">
        <v>12272727</v>
      </c>
      <c r="J109" s="29">
        <v>10</v>
      </c>
      <c r="K109" s="29">
        <v>1227273</v>
      </c>
      <c r="L109" s="38"/>
      <c r="M109" s="39"/>
      <c r="N109" s="40"/>
      <c r="O109" s="35"/>
      <c r="P109" s="36"/>
      <c r="Q109" s="36"/>
      <c r="T109" s="36"/>
    </row>
    <row r="110" spans="1:255" s="37" customFormat="1" ht="18.75" customHeight="1">
      <c r="A110" s="29">
        <f t="shared" si="2"/>
        <v>96</v>
      </c>
      <c r="B110" s="30"/>
      <c r="C110" s="30" t="s">
        <v>61</v>
      </c>
      <c r="D110" s="30" t="s">
        <v>286</v>
      </c>
      <c r="E110" s="31">
        <v>42825</v>
      </c>
      <c r="F110" s="30" t="s">
        <v>63</v>
      </c>
      <c r="G110" s="30" t="s">
        <v>64</v>
      </c>
      <c r="H110" s="30" t="s">
        <v>287</v>
      </c>
      <c r="I110" s="29">
        <v>28581818</v>
      </c>
      <c r="J110" s="29">
        <v>10</v>
      </c>
      <c r="K110" s="29">
        <v>2858182</v>
      </c>
      <c r="L110" s="38" t="s">
        <v>52</v>
      </c>
      <c r="M110" s="39">
        <v>42879</v>
      </c>
      <c r="N110" s="40" t="s">
        <v>276</v>
      </c>
      <c r="O110" s="35"/>
      <c r="P110" s="36"/>
      <c r="Q110" s="36"/>
      <c r="T110" s="36"/>
    </row>
    <row r="111" spans="1:255" s="37" customFormat="1" ht="18.75" customHeight="1">
      <c r="A111" s="29">
        <f t="shared" si="2"/>
        <v>97</v>
      </c>
      <c r="B111" s="30"/>
      <c r="C111" s="30" t="s">
        <v>288</v>
      </c>
      <c r="D111" s="30" t="s">
        <v>289</v>
      </c>
      <c r="E111" s="31">
        <v>42826</v>
      </c>
      <c r="F111" s="30" t="s">
        <v>89</v>
      </c>
      <c r="G111" s="30" t="s">
        <v>90</v>
      </c>
      <c r="H111" s="30" t="s">
        <v>263</v>
      </c>
      <c r="I111" s="29">
        <v>537494</v>
      </c>
      <c r="J111" s="29">
        <v>10</v>
      </c>
      <c r="K111" s="29">
        <v>53749</v>
      </c>
      <c r="L111" s="38"/>
      <c r="M111" s="39"/>
      <c r="N111" s="40"/>
      <c r="O111" s="35"/>
      <c r="P111" s="36"/>
      <c r="Q111" s="36"/>
      <c r="T111" s="36"/>
    </row>
    <row r="112" spans="1:255" s="37" customFormat="1" ht="18.75" customHeight="1">
      <c r="A112" s="29">
        <f t="shared" si="2"/>
        <v>98</v>
      </c>
      <c r="B112" s="30"/>
      <c r="C112" s="30" t="s">
        <v>288</v>
      </c>
      <c r="D112" s="30" t="s">
        <v>290</v>
      </c>
      <c r="E112" s="31">
        <v>42826</v>
      </c>
      <c r="F112" s="30" t="s">
        <v>89</v>
      </c>
      <c r="G112" s="30" t="s">
        <v>90</v>
      </c>
      <c r="H112" s="30" t="s">
        <v>263</v>
      </c>
      <c r="I112" s="29">
        <v>348208</v>
      </c>
      <c r="J112" s="29">
        <v>10</v>
      </c>
      <c r="K112" s="29">
        <v>34821</v>
      </c>
      <c r="L112" s="38"/>
      <c r="M112" s="39"/>
      <c r="N112" s="40"/>
      <c r="O112" s="35"/>
      <c r="P112" s="36"/>
      <c r="Q112" s="36"/>
      <c r="T112" s="36"/>
    </row>
    <row r="113" spans="1:20" s="37" customFormat="1" ht="18.75" customHeight="1">
      <c r="A113" s="29">
        <f t="shared" si="2"/>
        <v>99</v>
      </c>
      <c r="B113" s="30"/>
      <c r="C113" s="30" t="s">
        <v>291</v>
      </c>
      <c r="D113" s="30" t="s">
        <v>292</v>
      </c>
      <c r="E113" s="31">
        <v>42827</v>
      </c>
      <c r="F113" s="30" t="s">
        <v>293</v>
      </c>
      <c r="G113" s="30" t="s">
        <v>294</v>
      </c>
      <c r="H113" s="30" t="s">
        <v>134</v>
      </c>
      <c r="I113" s="29">
        <v>4718182</v>
      </c>
      <c r="J113" s="29">
        <v>10</v>
      </c>
      <c r="K113" s="29">
        <v>471818</v>
      </c>
      <c r="L113" s="38"/>
      <c r="M113" s="39"/>
      <c r="N113" s="40"/>
      <c r="O113" s="35"/>
      <c r="P113" s="36"/>
      <c r="Q113" s="36"/>
      <c r="T113" s="36"/>
    </row>
    <row r="114" spans="1:20" s="37" customFormat="1" ht="18.75" customHeight="1">
      <c r="A114" s="29">
        <f t="shared" si="2"/>
        <v>100</v>
      </c>
      <c r="B114" s="30"/>
      <c r="C114" s="30" t="s">
        <v>74</v>
      </c>
      <c r="D114" s="30" t="s">
        <v>295</v>
      </c>
      <c r="E114" s="31">
        <v>42827</v>
      </c>
      <c r="F114" s="30" t="s">
        <v>296</v>
      </c>
      <c r="G114" s="30" t="s">
        <v>297</v>
      </c>
      <c r="H114" s="30" t="s">
        <v>134</v>
      </c>
      <c r="I114" s="29">
        <v>1406700</v>
      </c>
      <c r="J114" s="29">
        <v>10</v>
      </c>
      <c r="K114" s="29">
        <v>140670</v>
      </c>
      <c r="L114" s="38"/>
      <c r="M114" s="39"/>
      <c r="N114" s="40"/>
      <c r="O114" s="35"/>
      <c r="P114" s="36"/>
      <c r="Q114" s="36"/>
      <c r="T114" s="36"/>
    </row>
    <row r="115" spans="1:20" s="37" customFormat="1" ht="18.75" customHeight="1">
      <c r="A115" s="29">
        <f t="shared" si="2"/>
        <v>101</v>
      </c>
      <c r="B115" s="30"/>
      <c r="C115" s="30" t="s">
        <v>167</v>
      </c>
      <c r="D115" s="30" t="s">
        <v>298</v>
      </c>
      <c r="E115" s="31">
        <v>42828</v>
      </c>
      <c r="F115" s="30" t="s">
        <v>266</v>
      </c>
      <c r="G115" s="30" t="s">
        <v>267</v>
      </c>
      <c r="H115" s="30" t="s">
        <v>268</v>
      </c>
      <c r="I115" s="29">
        <v>7011168</v>
      </c>
      <c r="J115" s="29">
        <v>10</v>
      </c>
      <c r="K115" s="29">
        <v>701117</v>
      </c>
      <c r="L115" s="38"/>
      <c r="M115" s="39"/>
      <c r="N115" s="40"/>
      <c r="O115" s="35"/>
      <c r="P115" s="36"/>
      <c r="Q115" s="36"/>
      <c r="T115" s="36"/>
    </row>
    <row r="116" spans="1:20" s="37" customFormat="1" ht="18.75" customHeight="1">
      <c r="A116" s="29">
        <f t="shared" si="2"/>
        <v>102</v>
      </c>
      <c r="B116" s="30"/>
      <c r="C116" s="30" t="s">
        <v>130</v>
      </c>
      <c r="D116" s="30" t="s">
        <v>299</v>
      </c>
      <c r="E116" s="31">
        <v>42828</v>
      </c>
      <c r="F116" s="30" t="s">
        <v>132</v>
      </c>
      <c r="G116" s="30" t="s">
        <v>133</v>
      </c>
      <c r="H116" s="30" t="s">
        <v>134</v>
      </c>
      <c r="I116" s="29">
        <v>1412000</v>
      </c>
      <c r="J116" s="29">
        <v>10</v>
      </c>
      <c r="K116" s="29">
        <v>141200</v>
      </c>
      <c r="L116" s="38"/>
      <c r="M116" s="39"/>
      <c r="N116" s="40"/>
      <c r="O116" s="35"/>
      <c r="P116" s="36"/>
      <c r="Q116" s="36"/>
      <c r="T116" s="36"/>
    </row>
    <row r="117" spans="1:20" s="37" customFormat="1" ht="18.75" customHeight="1">
      <c r="A117" s="29">
        <f t="shared" si="2"/>
        <v>103</v>
      </c>
      <c r="B117" s="30"/>
      <c r="C117" s="30" t="s">
        <v>125</v>
      </c>
      <c r="D117" s="30" t="s">
        <v>300</v>
      </c>
      <c r="E117" s="31">
        <v>42828</v>
      </c>
      <c r="F117" s="30" t="s">
        <v>127</v>
      </c>
      <c r="G117" s="30" t="s">
        <v>128</v>
      </c>
      <c r="H117" s="30" t="s">
        <v>129</v>
      </c>
      <c r="I117" s="29">
        <v>454545</v>
      </c>
      <c r="J117" s="29">
        <v>10</v>
      </c>
      <c r="K117" s="29">
        <v>45455</v>
      </c>
      <c r="L117" s="38"/>
      <c r="M117" s="39"/>
      <c r="N117" s="40"/>
      <c r="O117" s="35"/>
      <c r="P117" s="36"/>
      <c r="Q117" s="36"/>
      <c r="T117" s="36"/>
    </row>
    <row r="118" spans="1:20" s="37" customFormat="1" ht="18.75" customHeight="1">
      <c r="A118" s="29">
        <f t="shared" si="2"/>
        <v>104</v>
      </c>
      <c r="B118" s="30"/>
      <c r="C118" s="30" t="s">
        <v>119</v>
      </c>
      <c r="D118" s="30" t="s">
        <v>301</v>
      </c>
      <c r="E118" s="31">
        <v>42830</v>
      </c>
      <c r="F118" s="30" t="s">
        <v>121</v>
      </c>
      <c r="G118" s="30" t="s">
        <v>122</v>
      </c>
      <c r="H118" s="30" t="s">
        <v>302</v>
      </c>
      <c r="I118" s="29">
        <v>292524331</v>
      </c>
      <c r="J118" s="29">
        <v>10</v>
      </c>
      <c r="K118" s="29">
        <v>29252433</v>
      </c>
      <c r="L118" s="38" t="s">
        <v>52</v>
      </c>
      <c r="M118" s="39">
        <v>42839</v>
      </c>
      <c r="N118" s="40" t="s">
        <v>276</v>
      </c>
      <c r="O118" s="35"/>
      <c r="P118" s="36"/>
      <c r="Q118" s="36"/>
      <c r="T118" s="36"/>
    </row>
    <row r="119" spans="1:20" s="37" customFormat="1" ht="18.75" customHeight="1">
      <c r="A119" s="29">
        <f t="shared" si="2"/>
        <v>105</v>
      </c>
      <c r="B119" s="30"/>
      <c r="C119" s="30" t="s">
        <v>303</v>
      </c>
      <c r="D119" s="30" t="s">
        <v>304</v>
      </c>
      <c r="E119" s="31">
        <v>42830</v>
      </c>
      <c r="F119" s="30" t="s">
        <v>305</v>
      </c>
      <c r="G119" s="30" t="s">
        <v>306</v>
      </c>
      <c r="H119" s="30" t="s">
        <v>307</v>
      </c>
      <c r="I119" s="29">
        <v>345455</v>
      </c>
      <c r="J119" s="29">
        <v>10</v>
      </c>
      <c r="K119" s="29">
        <v>34545</v>
      </c>
      <c r="L119" s="38"/>
      <c r="M119" s="39"/>
      <c r="N119" s="40"/>
      <c r="O119" s="35"/>
      <c r="P119" s="36"/>
      <c r="Q119" s="36"/>
      <c r="T119" s="36"/>
    </row>
    <row r="120" spans="1:20" s="37" customFormat="1" ht="18.75" customHeight="1">
      <c r="A120" s="29">
        <f t="shared" si="2"/>
        <v>106</v>
      </c>
      <c r="B120" s="30"/>
      <c r="C120" s="30" t="s">
        <v>100</v>
      </c>
      <c r="D120" s="30" t="s">
        <v>308</v>
      </c>
      <c r="E120" s="31">
        <v>42831</v>
      </c>
      <c r="F120" s="30" t="s">
        <v>102</v>
      </c>
      <c r="G120" s="30" t="s">
        <v>103</v>
      </c>
      <c r="H120" s="30" t="s">
        <v>309</v>
      </c>
      <c r="I120" s="29">
        <v>6850000</v>
      </c>
      <c r="J120" s="29">
        <v>10</v>
      </c>
      <c r="K120" s="29">
        <v>685000</v>
      </c>
      <c r="L120" s="38"/>
      <c r="M120" s="39"/>
      <c r="N120" s="40"/>
      <c r="O120" s="35"/>
      <c r="P120" s="36"/>
      <c r="Q120" s="36"/>
      <c r="T120" s="36"/>
    </row>
    <row r="121" spans="1:20" s="37" customFormat="1" ht="18.75" customHeight="1">
      <c r="A121" s="29">
        <f t="shared" si="2"/>
        <v>107</v>
      </c>
      <c r="B121" s="30"/>
      <c r="C121" s="30" t="s">
        <v>93</v>
      </c>
      <c r="D121" s="30" t="s">
        <v>310</v>
      </c>
      <c r="E121" s="31">
        <v>42831</v>
      </c>
      <c r="F121" s="30" t="s">
        <v>311</v>
      </c>
      <c r="G121" s="30" t="s">
        <v>312</v>
      </c>
      <c r="H121" s="30" t="s">
        <v>134</v>
      </c>
      <c r="I121" s="29">
        <v>2130000</v>
      </c>
      <c r="J121" s="29">
        <v>10</v>
      </c>
      <c r="K121" s="29">
        <v>213000</v>
      </c>
      <c r="L121" s="38"/>
      <c r="M121" s="39"/>
      <c r="N121" s="40"/>
      <c r="O121" s="35"/>
      <c r="P121" s="36"/>
      <c r="Q121" s="36"/>
      <c r="T121" s="36"/>
    </row>
    <row r="122" spans="1:20" s="37" customFormat="1" ht="18.75" customHeight="1">
      <c r="A122" s="29">
        <f t="shared" si="2"/>
        <v>108</v>
      </c>
      <c r="B122" s="30"/>
      <c r="C122" s="30" t="s">
        <v>162</v>
      </c>
      <c r="D122" s="30" t="s">
        <v>313</v>
      </c>
      <c r="E122" s="31">
        <v>42831</v>
      </c>
      <c r="F122" s="30" t="s">
        <v>314</v>
      </c>
      <c r="G122" s="30" t="s">
        <v>315</v>
      </c>
      <c r="H122" s="30" t="s">
        <v>316</v>
      </c>
      <c r="I122" s="29">
        <v>2666364</v>
      </c>
      <c r="J122" s="29">
        <v>10</v>
      </c>
      <c r="K122" s="29">
        <v>266636</v>
      </c>
      <c r="L122" s="38"/>
      <c r="M122" s="39"/>
      <c r="N122" s="40"/>
      <c r="O122" s="35"/>
      <c r="P122" s="36"/>
      <c r="Q122" s="36"/>
      <c r="T122" s="36"/>
    </row>
    <row r="123" spans="1:20" s="37" customFormat="1" ht="18.75" customHeight="1">
      <c r="A123" s="29">
        <f t="shared" si="2"/>
        <v>109</v>
      </c>
      <c r="B123" s="30"/>
      <c r="C123" s="30" t="s">
        <v>152</v>
      </c>
      <c r="D123" s="30" t="s">
        <v>317</v>
      </c>
      <c r="E123" s="31">
        <v>42832</v>
      </c>
      <c r="F123" s="30" t="s">
        <v>318</v>
      </c>
      <c r="G123" s="30" t="s">
        <v>155</v>
      </c>
      <c r="H123" s="30" t="s">
        <v>319</v>
      </c>
      <c r="I123" s="29">
        <v>982364</v>
      </c>
      <c r="J123" s="29">
        <v>10</v>
      </c>
      <c r="K123" s="29">
        <v>98236</v>
      </c>
      <c r="L123" s="38"/>
      <c r="M123" s="39"/>
      <c r="N123" s="40"/>
      <c r="O123" s="35"/>
      <c r="P123" s="36"/>
      <c r="Q123" s="36"/>
      <c r="T123" s="36"/>
    </row>
    <row r="124" spans="1:20" s="37" customFormat="1" ht="18.75" customHeight="1">
      <c r="A124" s="29">
        <f t="shared" si="2"/>
        <v>110</v>
      </c>
      <c r="B124" s="30"/>
      <c r="C124" s="30" t="s">
        <v>320</v>
      </c>
      <c r="D124" s="30" t="s">
        <v>321</v>
      </c>
      <c r="E124" s="31">
        <v>42832</v>
      </c>
      <c r="F124" s="30" t="s">
        <v>322</v>
      </c>
      <c r="G124" s="30" t="s">
        <v>323</v>
      </c>
      <c r="H124" s="30" t="s">
        <v>324</v>
      </c>
      <c r="I124" s="29">
        <v>50038000</v>
      </c>
      <c r="J124" s="29">
        <v>10</v>
      </c>
      <c r="K124" s="29">
        <v>5003800</v>
      </c>
      <c r="L124" s="38" t="s">
        <v>52</v>
      </c>
      <c r="M124" s="39">
        <v>42839</v>
      </c>
      <c r="N124" s="40" t="s">
        <v>276</v>
      </c>
      <c r="O124" s="35"/>
      <c r="P124" s="36"/>
      <c r="Q124" s="36"/>
      <c r="T124" s="36"/>
    </row>
    <row r="125" spans="1:20" s="37" customFormat="1" ht="18.75" customHeight="1">
      <c r="A125" s="29">
        <f t="shared" si="2"/>
        <v>111</v>
      </c>
      <c r="B125" s="30"/>
      <c r="C125" s="30" t="s">
        <v>95</v>
      </c>
      <c r="D125" s="30" t="s">
        <v>325</v>
      </c>
      <c r="E125" s="31">
        <v>42832</v>
      </c>
      <c r="F125" s="30" t="s">
        <v>97</v>
      </c>
      <c r="G125" s="30" t="s">
        <v>98</v>
      </c>
      <c r="H125" s="30" t="s">
        <v>99</v>
      </c>
      <c r="I125" s="29">
        <v>43200000</v>
      </c>
      <c r="J125" s="29">
        <v>10</v>
      </c>
      <c r="K125" s="29">
        <v>4320000</v>
      </c>
      <c r="L125" s="38" t="s">
        <v>52</v>
      </c>
      <c r="M125" s="39">
        <v>42844</v>
      </c>
      <c r="N125" s="40" t="s">
        <v>276</v>
      </c>
      <c r="O125" s="35"/>
      <c r="P125" s="36"/>
      <c r="Q125" s="36"/>
      <c r="T125" s="36"/>
    </row>
    <row r="126" spans="1:20" s="37" customFormat="1" ht="18.75" customHeight="1">
      <c r="A126" s="29">
        <f t="shared" si="2"/>
        <v>112</v>
      </c>
      <c r="B126" s="30"/>
      <c r="C126" s="30" t="s">
        <v>93</v>
      </c>
      <c r="D126" s="30" t="s">
        <v>326</v>
      </c>
      <c r="E126" s="31">
        <v>42832</v>
      </c>
      <c r="F126" s="30" t="s">
        <v>49</v>
      </c>
      <c r="G126" s="30" t="s">
        <v>50</v>
      </c>
      <c r="H126" s="30" t="s">
        <v>51</v>
      </c>
      <c r="I126" s="29">
        <v>28134000</v>
      </c>
      <c r="J126" s="29">
        <v>10</v>
      </c>
      <c r="K126" s="29">
        <v>2813400</v>
      </c>
      <c r="L126" s="38" t="s">
        <v>52</v>
      </c>
      <c r="M126" s="39">
        <v>42887</v>
      </c>
      <c r="N126" s="40" t="s">
        <v>276</v>
      </c>
      <c r="O126" s="35"/>
      <c r="P126" s="36"/>
      <c r="Q126" s="36"/>
      <c r="T126" s="36"/>
    </row>
    <row r="127" spans="1:20" s="37" customFormat="1" ht="18.75" customHeight="1">
      <c r="A127" s="29">
        <f t="shared" si="2"/>
        <v>113</v>
      </c>
      <c r="B127" s="30"/>
      <c r="C127" s="30" t="s">
        <v>162</v>
      </c>
      <c r="D127" s="30" t="s">
        <v>327</v>
      </c>
      <c r="E127" s="31">
        <v>42833</v>
      </c>
      <c r="F127" s="30" t="s">
        <v>273</v>
      </c>
      <c r="G127" s="30" t="s">
        <v>274</v>
      </c>
      <c r="H127" s="30" t="s">
        <v>328</v>
      </c>
      <c r="I127" s="29">
        <v>21267680</v>
      </c>
      <c r="J127" s="29">
        <v>10</v>
      </c>
      <c r="K127" s="29">
        <v>2126768</v>
      </c>
      <c r="L127" s="38" t="s">
        <v>52</v>
      </c>
      <c r="M127" s="39">
        <v>42907</v>
      </c>
      <c r="N127" s="40" t="s">
        <v>276</v>
      </c>
      <c r="O127" s="35"/>
      <c r="P127" s="36"/>
      <c r="Q127" s="36"/>
      <c r="T127" s="36"/>
    </row>
    <row r="128" spans="1:20" s="37" customFormat="1" ht="18.75" customHeight="1">
      <c r="A128" s="29">
        <f t="shared" si="2"/>
        <v>114</v>
      </c>
      <c r="B128" s="30"/>
      <c r="C128" s="30" t="s">
        <v>146</v>
      </c>
      <c r="D128" s="30" t="s">
        <v>329</v>
      </c>
      <c r="E128" s="31">
        <v>42833</v>
      </c>
      <c r="F128" s="30" t="s">
        <v>148</v>
      </c>
      <c r="G128" s="30" t="s">
        <v>149</v>
      </c>
      <c r="H128" s="30" t="s">
        <v>330</v>
      </c>
      <c r="I128" s="29">
        <v>2950000</v>
      </c>
      <c r="J128" s="29">
        <v>10</v>
      </c>
      <c r="K128" s="29">
        <v>295000</v>
      </c>
      <c r="L128" s="38"/>
      <c r="M128" s="39"/>
      <c r="N128" s="40"/>
      <c r="O128" s="35"/>
      <c r="P128" s="36"/>
      <c r="Q128" s="36"/>
      <c r="T128" s="36"/>
    </row>
    <row r="129" spans="1:20" s="37" customFormat="1" ht="18.75" customHeight="1">
      <c r="A129" s="29">
        <f t="shared" si="2"/>
        <v>115</v>
      </c>
      <c r="B129" s="30"/>
      <c r="C129" s="30" t="s">
        <v>291</v>
      </c>
      <c r="D129" s="30" t="s">
        <v>331</v>
      </c>
      <c r="E129" s="31">
        <v>42834</v>
      </c>
      <c r="F129" s="30" t="s">
        <v>293</v>
      </c>
      <c r="G129" s="30" t="s">
        <v>294</v>
      </c>
      <c r="H129" s="30" t="s">
        <v>134</v>
      </c>
      <c r="I129" s="29">
        <v>4732727</v>
      </c>
      <c r="J129" s="29">
        <v>10</v>
      </c>
      <c r="K129" s="29">
        <v>473273</v>
      </c>
      <c r="L129" s="38"/>
      <c r="M129" s="39"/>
      <c r="N129" s="40"/>
      <c r="O129" s="35"/>
      <c r="P129" s="36"/>
      <c r="Q129" s="36"/>
      <c r="T129" s="36"/>
    </row>
    <row r="130" spans="1:20" s="37" customFormat="1" ht="18.75" customHeight="1">
      <c r="A130" s="29">
        <f t="shared" si="2"/>
        <v>116</v>
      </c>
      <c r="B130" s="30"/>
      <c r="C130" s="30" t="s">
        <v>93</v>
      </c>
      <c r="D130" s="30" t="s">
        <v>332</v>
      </c>
      <c r="E130" s="31">
        <v>42834</v>
      </c>
      <c r="F130" s="30" t="s">
        <v>333</v>
      </c>
      <c r="G130" s="30" t="s">
        <v>334</v>
      </c>
      <c r="H130" s="30" t="s">
        <v>134</v>
      </c>
      <c r="I130" s="29">
        <v>2597000</v>
      </c>
      <c r="J130" s="29">
        <v>10</v>
      </c>
      <c r="K130" s="29">
        <v>259700</v>
      </c>
      <c r="L130" s="38"/>
      <c r="M130" s="39"/>
      <c r="N130" s="40"/>
      <c r="O130" s="35"/>
      <c r="P130" s="36"/>
      <c r="Q130" s="36"/>
      <c r="T130" s="36"/>
    </row>
    <row r="131" spans="1:20" s="37" customFormat="1" ht="18.75" customHeight="1">
      <c r="A131" s="29">
        <f t="shared" si="2"/>
        <v>117</v>
      </c>
      <c r="B131" s="30"/>
      <c r="C131" s="30" t="s">
        <v>93</v>
      </c>
      <c r="D131" s="30" t="s">
        <v>335</v>
      </c>
      <c r="E131" s="31">
        <v>42835</v>
      </c>
      <c r="F131" s="30" t="s">
        <v>336</v>
      </c>
      <c r="G131" s="30" t="s">
        <v>337</v>
      </c>
      <c r="H131" s="30" t="s">
        <v>338</v>
      </c>
      <c r="I131" s="29">
        <v>502797400</v>
      </c>
      <c r="J131" s="29">
        <v>10</v>
      </c>
      <c r="K131" s="29">
        <v>50279740</v>
      </c>
      <c r="L131" s="38" t="s">
        <v>52</v>
      </c>
      <c r="M131" s="39">
        <v>42850</v>
      </c>
      <c r="N131" s="40" t="s">
        <v>276</v>
      </c>
      <c r="O131" s="35"/>
      <c r="P131" s="36"/>
      <c r="Q131" s="36"/>
      <c r="T131" s="36"/>
    </row>
    <row r="132" spans="1:20" s="37" customFormat="1" ht="18.75" customHeight="1">
      <c r="A132" s="29">
        <f t="shared" si="2"/>
        <v>118</v>
      </c>
      <c r="B132" s="30"/>
      <c r="C132" s="30" t="s">
        <v>69</v>
      </c>
      <c r="D132" s="30" t="s">
        <v>339</v>
      </c>
      <c r="E132" s="31">
        <v>42835</v>
      </c>
      <c r="F132" s="30" t="s">
        <v>71</v>
      </c>
      <c r="G132" s="30" t="s">
        <v>72</v>
      </c>
      <c r="H132" s="30" t="s">
        <v>40</v>
      </c>
      <c r="I132" s="29">
        <v>400000</v>
      </c>
      <c r="J132" s="29">
        <v>10</v>
      </c>
      <c r="K132" s="29">
        <v>40000</v>
      </c>
      <c r="L132" s="38"/>
      <c r="M132" s="39"/>
      <c r="N132" s="40"/>
      <c r="O132" s="35"/>
      <c r="P132" s="36"/>
      <c r="Q132" s="36"/>
      <c r="T132" s="36"/>
    </row>
    <row r="133" spans="1:20" s="37" customFormat="1" ht="18.75" customHeight="1">
      <c r="A133" s="29">
        <f t="shared" si="2"/>
        <v>119</v>
      </c>
      <c r="B133" s="30"/>
      <c r="C133" s="30" t="s">
        <v>112</v>
      </c>
      <c r="D133" s="30" t="s">
        <v>340</v>
      </c>
      <c r="E133" s="31">
        <v>42835</v>
      </c>
      <c r="F133" s="30" t="s">
        <v>114</v>
      </c>
      <c r="G133" s="30" t="s">
        <v>115</v>
      </c>
      <c r="H133" s="30" t="s">
        <v>116</v>
      </c>
      <c r="I133" s="29">
        <v>20000</v>
      </c>
      <c r="J133" s="29">
        <v>10</v>
      </c>
      <c r="K133" s="29">
        <v>2000</v>
      </c>
      <c r="L133" s="38"/>
      <c r="M133" s="39"/>
      <c r="N133" s="40"/>
      <c r="O133" s="35"/>
      <c r="P133" s="36"/>
      <c r="Q133" s="36"/>
      <c r="T133" s="36"/>
    </row>
    <row r="134" spans="1:20" s="37" customFormat="1" ht="18.75" customHeight="1">
      <c r="A134" s="29">
        <f t="shared" si="2"/>
        <v>120</v>
      </c>
      <c r="B134" s="30"/>
      <c r="C134" s="30" t="s">
        <v>112</v>
      </c>
      <c r="D134" s="30" t="s">
        <v>341</v>
      </c>
      <c r="E134" s="31">
        <v>42835</v>
      </c>
      <c r="F134" s="30" t="s">
        <v>114</v>
      </c>
      <c r="G134" s="30" t="s">
        <v>115</v>
      </c>
      <c r="H134" s="30" t="s">
        <v>116</v>
      </c>
      <c r="I134" s="29">
        <v>20000</v>
      </c>
      <c r="J134" s="29">
        <v>10</v>
      </c>
      <c r="K134" s="29">
        <v>2000</v>
      </c>
      <c r="L134" s="38"/>
      <c r="M134" s="39"/>
      <c r="N134" s="40"/>
      <c r="O134" s="35"/>
      <c r="P134" s="36"/>
      <c r="Q134" s="36"/>
      <c r="T134" s="36"/>
    </row>
    <row r="135" spans="1:20" s="37" customFormat="1" ht="18.75" customHeight="1">
      <c r="A135" s="29">
        <f t="shared" si="2"/>
        <v>121</v>
      </c>
      <c r="B135" s="30"/>
      <c r="C135" s="30" t="s">
        <v>112</v>
      </c>
      <c r="D135" s="30" t="s">
        <v>342</v>
      </c>
      <c r="E135" s="31">
        <v>42835</v>
      </c>
      <c r="F135" s="30" t="s">
        <v>114</v>
      </c>
      <c r="G135" s="30" t="s">
        <v>115</v>
      </c>
      <c r="H135" s="30" t="s">
        <v>116</v>
      </c>
      <c r="I135" s="29">
        <v>10000</v>
      </c>
      <c r="J135" s="29">
        <v>10</v>
      </c>
      <c r="K135" s="29">
        <v>1000</v>
      </c>
      <c r="L135" s="38"/>
      <c r="M135" s="39"/>
      <c r="N135" s="40"/>
      <c r="O135" s="35"/>
      <c r="P135" s="36"/>
      <c r="Q135" s="36"/>
      <c r="T135" s="36"/>
    </row>
    <row r="136" spans="1:20" s="37" customFormat="1" ht="18.75" customHeight="1">
      <c r="A136" s="29">
        <f t="shared" si="2"/>
        <v>122</v>
      </c>
      <c r="B136" s="30"/>
      <c r="C136" s="30" t="s">
        <v>112</v>
      </c>
      <c r="D136" s="30" t="s">
        <v>343</v>
      </c>
      <c r="E136" s="31">
        <v>42835</v>
      </c>
      <c r="F136" s="30" t="s">
        <v>114</v>
      </c>
      <c r="G136" s="30" t="s">
        <v>115</v>
      </c>
      <c r="H136" s="30" t="s">
        <v>116</v>
      </c>
      <c r="I136" s="29">
        <v>10000</v>
      </c>
      <c r="J136" s="29">
        <v>10</v>
      </c>
      <c r="K136" s="29">
        <v>1000</v>
      </c>
      <c r="L136" s="38"/>
      <c r="M136" s="39"/>
      <c r="N136" s="40"/>
      <c r="O136" s="35"/>
      <c r="P136" s="36"/>
      <c r="Q136" s="36"/>
      <c r="T136" s="36"/>
    </row>
    <row r="137" spans="1:20" s="37" customFormat="1" ht="18.75" customHeight="1">
      <c r="A137" s="29">
        <f t="shared" si="2"/>
        <v>123</v>
      </c>
      <c r="B137" s="30"/>
      <c r="C137" s="30" t="s">
        <v>112</v>
      </c>
      <c r="D137" s="30" t="s">
        <v>344</v>
      </c>
      <c r="E137" s="31">
        <v>42835</v>
      </c>
      <c r="F137" s="30" t="s">
        <v>114</v>
      </c>
      <c r="G137" s="30" t="s">
        <v>115</v>
      </c>
      <c r="H137" s="30" t="s">
        <v>116</v>
      </c>
      <c r="I137" s="29">
        <v>10000</v>
      </c>
      <c r="J137" s="29">
        <v>10</v>
      </c>
      <c r="K137" s="29">
        <v>1000</v>
      </c>
      <c r="L137" s="38"/>
      <c r="M137" s="39"/>
      <c r="N137" s="40"/>
      <c r="O137" s="35"/>
      <c r="P137" s="36"/>
      <c r="Q137" s="36"/>
      <c r="T137" s="36"/>
    </row>
    <row r="138" spans="1:20" s="37" customFormat="1" ht="18.75" customHeight="1">
      <c r="A138" s="29">
        <f t="shared" si="2"/>
        <v>124</v>
      </c>
      <c r="B138" s="30"/>
      <c r="C138" s="30" t="s">
        <v>112</v>
      </c>
      <c r="D138" s="30" t="s">
        <v>345</v>
      </c>
      <c r="E138" s="31">
        <v>42835</v>
      </c>
      <c r="F138" s="30" t="s">
        <v>114</v>
      </c>
      <c r="G138" s="30" t="s">
        <v>115</v>
      </c>
      <c r="H138" s="30" t="s">
        <v>116</v>
      </c>
      <c r="I138" s="29">
        <v>20000</v>
      </c>
      <c r="J138" s="29">
        <v>10</v>
      </c>
      <c r="K138" s="29">
        <v>2000</v>
      </c>
      <c r="L138" s="38"/>
      <c r="M138" s="39"/>
      <c r="N138" s="40"/>
      <c r="O138" s="35"/>
      <c r="P138" s="36"/>
      <c r="Q138" s="36"/>
      <c r="T138" s="36"/>
    </row>
    <row r="139" spans="1:20" s="37" customFormat="1" ht="18.75" customHeight="1">
      <c r="A139" s="29">
        <f t="shared" si="2"/>
        <v>125</v>
      </c>
      <c r="B139" s="30"/>
      <c r="C139" s="30" t="s">
        <v>100</v>
      </c>
      <c r="D139" s="30" t="s">
        <v>346</v>
      </c>
      <c r="E139" s="31">
        <v>42836</v>
      </c>
      <c r="F139" s="30" t="s">
        <v>102</v>
      </c>
      <c r="G139" s="30" t="s">
        <v>103</v>
      </c>
      <c r="H139" s="30" t="s">
        <v>347</v>
      </c>
      <c r="I139" s="29">
        <v>3500000</v>
      </c>
      <c r="J139" s="29">
        <v>10</v>
      </c>
      <c r="K139" s="29">
        <v>350000</v>
      </c>
      <c r="L139" s="38"/>
      <c r="M139" s="39"/>
      <c r="N139" s="40"/>
      <c r="O139" s="35"/>
      <c r="P139" s="36"/>
      <c r="Q139" s="36"/>
      <c r="T139" s="36"/>
    </row>
    <row r="140" spans="1:20" s="37" customFormat="1" ht="18.75" customHeight="1">
      <c r="A140" s="29">
        <f t="shared" si="2"/>
        <v>126</v>
      </c>
      <c r="B140" s="30"/>
      <c r="C140" s="30" t="s">
        <v>125</v>
      </c>
      <c r="D140" s="30" t="s">
        <v>348</v>
      </c>
      <c r="E140" s="31">
        <v>42836</v>
      </c>
      <c r="F140" s="30" t="s">
        <v>127</v>
      </c>
      <c r="G140" s="30" t="s">
        <v>128</v>
      </c>
      <c r="H140" s="30" t="s">
        <v>129</v>
      </c>
      <c r="I140" s="29">
        <v>909091</v>
      </c>
      <c r="J140" s="29">
        <v>10</v>
      </c>
      <c r="K140" s="29">
        <v>90909</v>
      </c>
      <c r="L140" s="38"/>
      <c r="M140" s="39"/>
      <c r="N140" s="40"/>
      <c r="O140" s="35"/>
      <c r="P140" s="36"/>
      <c r="Q140" s="36"/>
      <c r="T140" s="36"/>
    </row>
    <row r="141" spans="1:20" s="37" customFormat="1" ht="18.75" customHeight="1">
      <c r="A141" s="29">
        <f t="shared" si="2"/>
        <v>127</v>
      </c>
      <c r="B141" s="30"/>
      <c r="C141" s="30" t="s">
        <v>261</v>
      </c>
      <c r="D141" s="30" t="s">
        <v>349</v>
      </c>
      <c r="E141" s="31">
        <v>42837</v>
      </c>
      <c r="F141" s="30" t="s">
        <v>139</v>
      </c>
      <c r="G141" s="30" t="s">
        <v>140</v>
      </c>
      <c r="H141" s="30" t="s">
        <v>263</v>
      </c>
      <c r="I141" s="29">
        <v>661670</v>
      </c>
      <c r="J141" s="29">
        <v>10</v>
      </c>
      <c r="K141" s="29">
        <v>66167</v>
      </c>
      <c r="L141" s="38"/>
      <c r="M141" s="39"/>
      <c r="N141" s="40"/>
      <c r="O141" s="35"/>
      <c r="P141" s="36"/>
      <c r="Q141" s="36"/>
      <c r="T141" s="36"/>
    </row>
    <row r="142" spans="1:20" s="37" customFormat="1" ht="18.75" customHeight="1">
      <c r="A142" s="29">
        <f t="shared" si="2"/>
        <v>128</v>
      </c>
      <c r="B142" s="30"/>
      <c r="C142" s="30" t="s">
        <v>261</v>
      </c>
      <c r="D142" s="30" t="s">
        <v>350</v>
      </c>
      <c r="E142" s="31">
        <v>42837</v>
      </c>
      <c r="F142" s="30" t="s">
        <v>139</v>
      </c>
      <c r="G142" s="30" t="s">
        <v>140</v>
      </c>
      <c r="H142" s="30" t="s">
        <v>263</v>
      </c>
      <c r="I142" s="29">
        <v>44545</v>
      </c>
      <c r="J142" s="29">
        <v>10</v>
      </c>
      <c r="K142" s="29">
        <v>4455</v>
      </c>
      <c r="L142" s="38"/>
      <c r="M142" s="39"/>
      <c r="N142" s="40"/>
      <c r="O142" s="35"/>
      <c r="P142" s="36"/>
      <c r="Q142" s="36"/>
      <c r="T142" s="36"/>
    </row>
    <row r="143" spans="1:20" s="37" customFormat="1" ht="18.75" customHeight="1">
      <c r="A143" s="29">
        <f t="shared" si="2"/>
        <v>129</v>
      </c>
      <c r="B143" s="30"/>
      <c r="C143" s="30" t="s">
        <v>261</v>
      </c>
      <c r="D143" s="30" t="s">
        <v>351</v>
      </c>
      <c r="E143" s="31">
        <v>42837</v>
      </c>
      <c r="F143" s="30" t="s">
        <v>139</v>
      </c>
      <c r="G143" s="30" t="s">
        <v>140</v>
      </c>
      <c r="H143" s="30" t="s">
        <v>263</v>
      </c>
      <c r="I143" s="29">
        <v>276530</v>
      </c>
      <c r="J143" s="29">
        <v>10</v>
      </c>
      <c r="K143" s="29">
        <v>27653</v>
      </c>
      <c r="L143" s="38"/>
      <c r="M143" s="39"/>
      <c r="N143" s="40"/>
      <c r="O143" s="35"/>
      <c r="P143" s="36"/>
      <c r="Q143" s="36"/>
      <c r="T143" s="36"/>
    </row>
    <row r="144" spans="1:20" s="37" customFormat="1" ht="18.75" customHeight="1">
      <c r="A144" s="29">
        <f t="shared" si="2"/>
        <v>130</v>
      </c>
      <c r="B144" s="30"/>
      <c r="C144" s="30" t="s">
        <v>261</v>
      </c>
      <c r="D144" s="30" t="s">
        <v>352</v>
      </c>
      <c r="E144" s="31">
        <v>42837</v>
      </c>
      <c r="F144" s="30" t="s">
        <v>139</v>
      </c>
      <c r="G144" s="30" t="s">
        <v>140</v>
      </c>
      <c r="H144" s="30" t="s">
        <v>263</v>
      </c>
      <c r="I144" s="29">
        <v>509973</v>
      </c>
      <c r="J144" s="29">
        <v>10</v>
      </c>
      <c r="K144" s="29">
        <v>50997</v>
      </c>
      <c r="L144" s="38"/>
      <c r="M144" s="39"/>
      <c r="N144" s="40"/>
      <c r="O144" s="35"/>
      <c r="P144" s="36"/>
      <c r="Q144" s="36"/>
      <c r="T144" s="36"/>
    </row>
    <row r="145" spans="1:20" s="37" customFormat="1" ht="18.75" customHeight="1">
      <c r="A145" s="29">
        <f t="shared" si="2"/>
        <v>131</v>
      </c>
      <c r="B145" s="30"/>
      <c r="C145" s="30" t="s">
        <v>353</v>
      </c>
      <c r="D145" s="30" t="s">
        <v>135</v>
      </c>
      <c r="E145" s="31">
        <v>42839</v>
      </c>
      <c r="F145" s="30" t="s">
        <v>354</v>
      </c>
      <c r="G145" s="30" t="s">
        <v>355</v>
      </c>
      <c r="H145" s="30" t="s">
        <v>356</v>
      </c>
      <c r="I145" s="29">
        <v>32500000</v>
      </c>
      <c r="J145" s="29">
        <v>10</v>
      </c>
      <c r="K145" s="29">
        <v>3250000</v>
      </c>
      <c r="L145" s="38" t="s">
        <v>52</v>
      </c>
      <c r="M145" s="39">
        <v>42844</v>
      </c>
      <c r="N145" s="40" t="s">
        <v>276</v>
      </c>
      <c r="O145" s="35"/>
      <c r="P145" s="36"/>
      <c r="Q145" s="36"/>
      <c r="T145" s="36"/>
    </row>
    <row r="146" spans="1:20" s="37" customFormat="1" ht="18.75" customHeight="1">
      <c r="A146" s="29">
        <f t="shared" si="2"/>
        <v>132</v>
      </c>
      <c r="B146" s="30"/>
      <c r="C146" s="30" t="s">
        <v>54</v>
      </c>
      <c r="D146" s="30" t="s">
        <v>357</v>
      </c>
      <c r="E146" s="31">
        <v>42839</v>
      </c>
      <c r="F146" s="30" t="s">
        <v>56</v>
      </c>
      <c r="G146" s="30" t="s">
        <v>57</v>
      </c>
      <c r="H146" s="30" t="s">
        <v>268</v>
      </c>
      <c r="I146" s="29">
        <v>9492780</v>
      </c>
      <c r="J146" s="29">
        <v>10</v>
      </c>
      <c r="K146" s="29">
        <v>949278</v>
      </c>
      <c r="L146" s="38"/>
      <c r="M146" s="39"/>
      <c r="N146" s="40"/>
      <c r="O146" s="35"/>
      <c r="P146" s="36"/>
      <c r="Q146" s="36"/>
      <c r="T146" s="36"/>
    </row>
    <row r="147" spans="1:20" s="37" customFormat="1" ht="18.75" customHeight="1">
      <c r="A147" s="29">
        <f t="shared" si="2"/>
        <v>133</v>
      </c>
      <c r="B147" s="30"/>
      <c r="C147" s="30" t="s">
        <v>162</v>
      </c>
      <c r="D147" s="30" t="s">
        <v>358</v>
      </c>
      <c r="E147" s="31">
        <v>42839</v>
      </c>
      <c r="F147" s="30" t="s">
        <v>164</v>
      </c>
      <c r="G147" s="30" t="s">
        <v>165</v>
      </c>
      <c r="H147" s="30" t="s">
        <v>166</v>
      </c>
      <c r="I147" s="29">
        <v>14516034</v>
      </c>
      <c r="J147" s="29">
        <v>10</v>
      </c>
      <c r="K147" s="29">
        <v>1451603</v>
      </c>
      <c r="L147" s="38" t="s">
        <v>52</v>
      </c>
      <c r="M147" s="39">
        <v>42879</v>
      </c>
      <c r="N147" s="40" t="s">
        <v>276</v>
      </c>
      <c r="O147" s="35"/>
      <c r="P147" s="36"/>
      <c r="Q147" s="36"/>
      <c r="T147" s="36"/>
    </row>
    <row r="148" spans="1:20" s="37" customFormat="1" ht="18.75" customHeight="1">
      <c r="A148" s="29">
        <f t="shared" si="2"/>
        <v>134</v>
      </c>
      <c r="B148" s="30"/>
      <c r="C148" s="30" t="s">
        <v>162</v>
      </c>
      <c r="D148" s="30" t="s">
        <v>359</v>
      </c>
      <c r="E148" s="31">
        <v>42839</v>
      </c>
      <c r="F148" s="30" t="s">
        <v>164</v>
      </c>
      <c r="G148" s="30" t="s">
        <v>165</v>
      </c>
      <c r="H148" s="30" t="s">
        <v>166</v>
      </c>
      <c r="I148" s="29">
        <v>10808827</v>
      </c>
      <c r="J148" s="29">
        <v>10</v>
      </c>
      <c r="K148" s="29">
        <v>1080883</v>
      </c>
      <c r="L148" s="38" t="s">
        <v>52</v>
      </c>
      <c r="M148" s="39">
        <v>42879</v>
      </c>
      <c r="N148" s="40" t="s">
        <v>276</v>
      </c>
      <c r="O148" s="35"/>
      <c r="P148" s="36"/>
      <c r="Q148" s="36"/>
      <c r="T148" s="36"/>
    </row>
    <row r="149" spans="1:20" s="37" customFormat="1" ht="18.75" customHeight="1">
      <c r="A149" s="29">
        <f t="shared" si="2"/>
        <v>135</v>
      </c>
      <c r="B149" s="30"/>
      <c r="C149" s="30" t="s">
        <v>162</v>
      </c>
      <c r="D149" s="30" t="s">
        <v>360</v>
      </c>
      <c r="E149" s="31">
        <v>42839</v>
      </c>
      <c r="F149" s="30" t="s">
        <v>164</v>
      </c>
      <c r="G149" s="30" t="s">
        <v>165</v>
      </c>
      <c r="H149" s="30" t="s">
        <v>166</v>
      </c>
      <c r="I149" s="29">
        <v>13198843</v>
      </c>
      <c r="J149" s="29">
        <v>10</v>
      </c>
      <c r="K149" s="29">
        <v>1319884</v>
      </c>
      <c r="L149" s="38" t="s">
        <v>52</v>
      </c>
      <c r="M149" s="39">
        <v>42879</v>
      </c>
      <c r="N149" s="40" t="s">
        <v>276</v>
      </c>
      <c r="O149" s="35"/>
      <c r="P149" s="36"/>
      <c r="Q149" s="36"/>
      <c r="T149" s="36"/>
    </row>
    <row r="150" spans="1:20" s="37" customFormat="1" ht="18.75" customHeight="1">
      <c r="A150" s="29">
        <f t="shared" si="2"/>
        <v>136</v>
      </c>
      <c r="B150" s="30"/>
      <c r="C150" s="30" t="s">
        <v>125</v>
      </c>
      <c r="D150" s="30" t="s">
        <v>361</v>
      </c>
      <c r="E150" s="31">
        <v>42840</v>
      </c>
      <c r="F150" s="30" t="s">
        <v>362</v>
      </c>
      <c r="G150" s="30" t="s">
        <v>363</v>
      </c>
      <c r="H150" s="30" t="s">
        <v>129</v>
      </c>
      <c r="I150" s="29">
        <v>2447273</v>
      </c>
      <c r="J150" s="29">
        <v>10</v>
      </c>
      <c r="K150" s="29">
        <v>244727</v>
      </c>
      <c r="L150" s="38"/>
      <c r="M150" s="39"/>
      <c r="N150" s="40"/>
      <c r="O150" s="35"/>
      <c r="P150" s="36"/>
      <c r="Q150" s="36"/>
      <c r="T150" s="36"/>
    </row>
    <row r="151" spans="1:20" s="37" customFormat="1" ht="18.75" customHeight="1">
      <c r="A151" s="29">
        <f t="shared" si="2"/>
        <v>137</v>
      </c>
      <c r="B151" s="30"/>
      <c r="C151" s="30" t="s">
        <v>125</v>
      </c>
      <c r="D151" s="30" t="s">
        <v>364</v>
      </c>
      <c r="E151" s="31">
        <v>42840</v>
      </c>
      <c r="F151" s="30" t="s">
        <v>362</v>
      </c>
      <c r="G151" s="30" t="s">
        <v>363</v>
      </c>
      <c r="H151" s="30" t="s">
        <v>129</v>
      </c>
      <c r="I151" s="29">
        <v>454545</v>
      </c>
      <c r="J151" s="29">
        <v>10</v>
      </c>
      <c r="K151" s="29">
        <v>45455</v>
      </c>
      <c r="L151" s="38"/>
      <c r="M151" s="39"/>
      <c r="N151" s="40"/>
      <c r="O151" s="35"/>
      <c r="P151" s="36"/>
      <c r="Q151" s="36"/>
      <c r="T151" s="36"/>
    </row>
    <row r="152" spans="1:20" s="37" customFormat="1" ht="18.75" customHeight="1">
      <c r="A152" s="29">
        <f t="shared" si="2"/>
        <v>138</v>
      </c>
      <c r="B152" s="30"/>
      <c r="C152" s="30" t="s">
        <v>130</v>
      </c>
      <c r="D152" s="30" t="s">
        <v>365</v>
      </c>
      <c r="E152" s="31">
        <v>42841</v>
      </c>
      <c r="F152" s="30" t="s">
        <v>333</v>
      </c>
      <c r="G152" s="30" t="s">
        <v>334</v>
      </c>
      <c r="H152" s="30" t="s">
        <v>134</v>
      </c>
      <c r="I152" s="29">
        <v>2231000</v>
      </c>
      <c r="J152" s="29">
        <v>10</v>
      </c>
      <c r="K152" s="29">
        <v>223100</v>
      </c>
      <c r="L152" s="38"/>
      <c r="M152" s="39"/>
      <c r="N152" s="40"/>
      <c r="O152" s="35"/>
      <c r="P152" s="36"/>
      <c r="Q152" s="36"/>
      <c r="T152" s="36"/>
    </row>
    <row r="153" spans="1:20" s="37" customFormat="1" ht="18.75" customHeight="1">
      <c r="A153" s="29">
        <f t="shared" si="2"/>
        <v>139</v>
      </c>
      <c r="B153" s="30"/>
      <c r="C153" s="30" t="s">
        <v>366</v>
      </c>
      <c r="D153" s="30" t="s">
        <v>367</v>
      </c>
      <c r="E153" s="31">
        <v>42841</v>
      </c>
      <c r="F153" s="30" t="s">
        <v>368</v>
      </c>
      <c r="G153" s="30" t="s">
        <v>369</v>
      </c>
      <c r="H153" s="30" t="s">
        <v>370</v>
      </c>
      <c r="I153" s="29">
        <v>1126364</v>
      </c>
      <c r="J153" s="29">
        <v>10</v>
      </c>
      <c r="K153" s="29">
        <v>112636</v>
      </c>
      <c r="L153" s="38"/>
      <c r="M153" s="39"/>
      <c r="N153" s="40"/>
      <c r="O153" s="35"/>
      <c r="P153" s="36"/>
      <c r="Q153" s="36"/>
      <c r="T153" s="36"/>
    </row>
    <row r="154" spans="1:20" s="37" customFormat="1" ht="18.75" customHeight="1">
      <c r="A154" s="29">
        <f t="shared" si="2"/>
        <v>140</v>
      </c>
      <c r="B154" s="30"/>
      <c r="C154" s="30" t="s">
        <v>320</v>
      </c>
      <c r="D154" s="30" t="s">
        <v>371</v>
      </c>
      <c r="E154" s="31">
        <v>42842</v>
      </c>
      <c r="F154" s="30" t="s">
        <v>372</v>
      </c>
      <c r="G154" s="30" t="s">
        <v>373</v>
      </c>
      <c r="H154" s="30" t="s">
        <v>374</v>
      </c>
      <c r="I154" s="29">
        <v>63000000</v>
      </c>
      <c r="J154" s="29">
        <v>10</v>
      </c>
      <c r="K154" s="29">
        <v>6300000</v>
      </c>
      <c r="L154" s="38" t="s">
        <v>52</v>
      </c>
      <c r="M154" s="39">
        <v>42850</v>
      </c>
      <c r="N154" s="40" t="s">
        <v>276</v>
      </c>
      <c r="O154" s="35"/>
      <c r="P154" s="36"/>
      <c r="Q154" s="36"/>
      <c r="T154" s="36"/>
    </row>
    <row r="155" spans="1:20" s="37" customFormat="1" ht="18.75" customHeight="1">
      <c r="A155" s="29">
        <f t="shared" si="2"/>
        <v>141</v>
      </c>
      <c r="B155" s="30"/>
      <c r="C155" s="30" t="s">
        <v>93</v>
      </c>
      <c r="D155" s="30" t="s">
        <v>375</v>
      </c>
      <c r="E155" s="31">
        <v>42842</v>
      </c>
      <c r="F155" s="30" t="s">
        <v>49</v>
      </c>
      <c r="G155" s="30" t="s">
        <v>50</v>
      </c>
      <c r="H155" s="30" t="s">
        <v>51</v>
      </c>
      <c r="I155" s="29">
        <v>100880000</v>
      </c>
      <c r="J155" s="29">
        <v>10</v>
      </c>
      <c r="K155" s="29">
        <v>10088000</v>
      </c>
      <c r="L155" s="38" t="s">
        <v>52</v>
      </c>
      <c r="M155" s="39">
        <v>42887</v>
      </c>
      <c r="N155" s="40" t="s">
        <v>276</v>
      </c>
      <c r="O155" s="35"/>
      <c r="P155" s="36"/>
      <c r="Q155" s="36"/>
      <c r="T155" s="36"/>
    </row>
    <row r="156" spans="1:20" s="37" customFormat="1" ht="18.75" customHeight="1">
      <c r="A156" s="29">
        <f t="shared" si="2"/>
        <v>142</v>
      </c>
      <c r="B156" s="30"/>
      <c r="C156" s="30" t="s">
        <v>100</v>
      </c>
      <c r="D156" s="30" t="s">
        <v>376</v>
      </c>
      <c r="E156" s="31">
        <v>42843</v>
      </c>
      <c r="F156" s="30" t="s">
        <v>102</v>
      </c>
      <c r="G156" s="30" t="s">
        <v>103</v>
      </c>
      <c r="H156" s="30" t="s">
        <v>377</v>
      </c>
      <c r="I156" s="29">
        <v>7110000</v>
      </c>
      <c r="J156" s="29">
        <v>10</v>
      </c>
      <c r="K156" s="29">
        <v>711000</v>
      </c>
      <c r="L156" s="38"/>
      <c r="M156" s="39"/>
      <c r="N156" s="40"/>
      <c r="O156" s="35"/>
      <c r="P156" s="36"/>
      <c r="Q156" s="36"/>
      <c r="T156" s="36"/>
    </row>
    <row r="157" spans="1:20" s="37" customFormat="1" ht="18.75" customHeight="1">
      <c r="A157" s="29">
        <f t="shared" si="2"/>
        <v>143</v>
      </c>
      <c r="B157" s="30"/>
      <c r="C157" s="30" t="s">
        <v>69</v>
      </c>
      <c r="D157" s="30" t="s">
        <v>378</v>
      </c>
      <c r="E157" s="31">
        <v>42843</v>
      </c>
      <c r="F157" s="30" t="s">
        <v>71</v>
      </c>
      <c r="G157" s="30" t="s">
        <v>72</v>
      </c>
      <c r="H157" s="30" t="s">
        <v>40</v>
      </c>
      <c r="I157" s="29">
        <v>800000</v>
      </c>
      <c r="J157" s="29">
        <v>10</v>
      </c>
      <c r="K157" s="29">
        <v>80000</v>
      </c>
      <c r="L157" s="38"/>
      <c r="M157" s="39"/>
      <c r="N157" s="40"/>
      <c r="O157" s="35"/>
      <c r="P157" s="36"/>
      <c r="Q157" s="36"/>
      <c r="T157" s="36"/>
    </row>
    <row r="158" spans="1:20" s="37" customFormat="1" ht="18.75" customHeight="1">
      <c r="A158" s="29">
        <f t="shared" si="2"/>
        <v>144</v>
      </c>
      <c r="B158" s="30"/>
      <c r="C158" s="30" t="s">
        <v>152</v>
      </c>
      <c r="D158" s="30" t="s">
        <v>379</v>
      </c>
      <c r="E158" s="31">
        <v>42844</v>
      </c>
      <c r="F158" s="30" t="s">
        <v>318</v>
      </c>
      <c r="G158" s="30" t="s">
        <v>155</v>
      </c>
      <c r="H158" s="30" t="s">
        <v>319</v>
      </c>
      <c r="I158" s="29">
        <v>978000</v>
      </c>
      <c r="J158" s="29">
        <v>10</v>
      </c>
      <c r="K158" s="29">
        <v>97800</v>
      </c>
      <c r="L158" s="38"/>
      <c r="M158" s="39"/>
      <c r="N158" s="40"/>
      <c r="O158" s="35"/>
      <c r="P158" s="36"/>
      <c r="Q158" s="36"/>
      <c r="T158" s="36"/>
    </row>
    <row r="159" spans="1:20" s="37" customFormat="1" ht="18.75" customHeight="1">
      <c r="A159" s="29">
        <f t="shared" si="2"/>
        <v>145</v>
      </c>
      <c r="B159" s="30"/>
      <c r="C159" s="30" t="s">
        <v>162</v>
      </c>
      <c r="D159" s="30" t="s">
        <v>380</v>
      </c>
      <c r="E159" s="31">
        <v>42844</v>
      </c>
      <c r="F159" s="30" t="s">
        <v>273</v>
      </c>
      <c r="G159" s="30" t="s">
        <v>274</v>
      </c>
      <c r="H159" s="30" t="s">
        <v>381</v>
      </c>
      <c r="I159" s="29">
        <v>12253000</v>
      </c>
      <c r="J159" s="29">
        <v>10</v>
      </c>
      <c r="K159" s="29">
        <v>1225300</v>
      </c>
      <c r="L159" s="38"/>
      <c r="M159" s="39"/>
      <c r="N159" s="40"/>
      <c r="O159" s="35"/>
      <c r="P159" s="36"/>
      <c r="Q159" s="36"/>
      <c r="T159" s="36"/>
    </row>
    <row r="160" spans="1:20" s="37" customFormat="1" ht="18.75" customHeight="1">
      <c r="A160" s="29">
        <f t="shared" si="2"/>
        <v>146</v>
      </c>
      <c r="B160" s="30"/>
      <c r="C160" s="30" t="s">
        <v>112</v>
      </c>
      <c r="D160" s="30" t="s">
        <v>382</v>
      </c>
      <c r="E160" s="31">
        <v>42844</v>
      </c>
      <c r="F160" s="30" t="s">
        <v>114</v>
      </c>
      <c r="G160" s="30" t="s">
        <v>115</v>
      </c>
      <c r="H160" s="30" t="s">
        <v>116</v>
      </c>
      <c r="I160" s="29">
        <v>10000</v>
      </c>
      <c r="J160" s="29">
        <v>10</v>
      </c>
      <c r="K160" s="29">
        <v>1000</v>
      </c>
      <c r="L160" s="38"/>
      <c r="M160" s="39"/>
      <c r="N160" s="40"/>
      <c r="O160" s="35"/>
      <c r="P160" s="36"/>
      <c r="Q160" s="36"/>
      <c r="T160" s="36"/>
    </row>
    <row r="161" spans="1:20" s="37" customFormat="1" ht="18.75" customHeight="1">
      <c r="A161" s="29">
        <f t="shared" si="2"/>
        <v>147</v>
      </c>
      <c r="B161" s="30"/>
      <c r="C161" s="30" t="s">
        <v>112</v>
      </c>
      <c r="D161" s="30" t="s">
        <v>383</v>
      </c>
      <c r="E161" s="31">
        <v>42844</v>
      </c>
      <c r="F161" s="30" t="s">
        <v>114</v>
      </c>
      <c r="G161" s="30" t="s">
        <v>115</v>
      </c>
      <c r="H161" s="30" t="s">
        <v>116</v>
      </c>
      <c r="I161" s="29">
        <v>20000</v>
      </c>
      <c r="J161" s="29">
        <v>10</v>
      </c>
      <c r="K161" s="29">
        <v>2000</v>
      </c>
      <c r="L161" s="38"/>
      <c r="M161" s="39"/>
      <c r="N161" s="40"/>
      <c r="O161" s="35"/>
      <c r="P161" s="36"/>
      <c r="Q161" s="36"/>
      <c r="T161" s="36"/>
    </row>
    <row r="162" spans="1:20" s="37" customFormat="1" ht="18.75" customHeight="1">
      <c r="A162" s="29">
        <f t="shared" si="2"/>
        <v>148</v>
      </c>
      <c r="B162" s="30"/>
      <c r="C162" s="30" t="s">
        <v>112</v>
      </c>
      <c r="D162" s="30" t="s">
        <v>384</v>
      </c>
      <c r="E162" s="31">
        <v>42844</v>
      </c>
      <c r="F162" s="30" t="s">
        <v>114</v>
      </c>
      <c r="G162" s="30" t="s">
        <v>115</v>
      </c>
      <c r="H162" s="30" t="s">
        <v>116</v>
      </c>
      <c r="I162" s="29">
        <v>20000</v>
      </c>
      <c r="J162" s="29">
        <v>10</v>
      </c>
      <c r="K162" s="29">
        <v>2000</v>
      </c>
      <c r="L162" s="38"/>
      <c r="M162" s="39"/>
      <c r="N162" s="40"/>
      <c r="O162" s="35"/>
      <c r="P162" s="36"/>
      <c r="Q162" s="36"/>
      <c r="T162" s="36"/>
    </row>
    <row r="163" spans="1:20" s="37" customFormat="1" ht="18.75" customHeight="1">
      <c r="A163" s="29">
        <f t="shared" si="2"/>
        <v>149</v>
      </c>
      <c r="B163" s="30"/>
      <c r="C163" s="30" t="s">
        <v>112</v>
      </c>
      <c r="D163" s="30" t="s">
        <v>385</v>
      </c>
      <c r="E163" s="31">
        <v>42844</v>
      </c>
      <c r="F163" s="30" t="s">
        <v>114</v>
      </c>
      <c r="G163" s="30" t="s">
        <v>115</v>
      </c>
      <c r="H163" s="30" t="s">
        <v>116</v>
      </c>
      <c r="I163" s="29">
        <v>20000</v>
      </c>
      <c r="J163" s="29">
        <v>10</v>
      </c>
      <c r="K163" s="29">
        <v>2000</v>
      </c>
      <c r="L163" s="38"/>
      <c r="M163" s="39"/>
      <c r="N163" s="40"/>
      <c r="O163" s="35"/>
      <c r="P163" s="36"/>
      <c r="Q163" s="36"/>
      <c r="T163" s="36"/>
    </row>
    <row r="164" spans="1:20" s="37" customFormat="1" ht="18.75" customHeight="1">
      <c r="A164" s="29">
        <f t="shared" si="2"/>
        <v>150</v>
      </c>
      <c r="B164" s="30"/>
      <c r="C164" s="30" t="s">
        <v>112</v>
      </c>
      <c r="D164" s="30" t="s">
        <v>386</v>
      </c>
      <c r="E164" s="31">
        <v>42844</v>
      </c>
      <c r="F164" s="30" t="s">
        <v>114</v>
      </c>
      <c r="G164" s="30" t="s">
        <v>115</v>
      </c>
      <c r="H164" s="30" t="s">
        <v>116</v>
      </c>
      <c r="I164" s="29">
        <v>20000</v>
      </c>
      <c r="J164" s="29">
        <v>10</v>
      </c>
      <c r="K164" s="29">
        <v>2000</v>
      </c>
      <c r="L164" s="38"/>
      <c r="M164" s="39"/>
      <c r="N164" s="40"/>
      <c r="O164" s="35"/>
      <c r="P164" s="36"/>
      <c r="Q164" s="36"/>
      <c r="T164" s="36"/>
    </row>
    <row r="165" spans="1:20" s="37" customFormat="1" ht="18.75" customHeight="1">
      <c r="A165" s="29">
        <f t="shared" si="2"/>
        <v>151</v>
      </c>
      <c r="B165" s="30"/>
      <c r="C165" s="30" t="s">
        <v>112</v>
      </c>
      <c r="D165" s="30" t="s">
        <v>387</v>
      </c>
      <c r="E165" s="31">
        <v>42844</v>
      </c>
      <c r="F165" s="30" t="s">
        <v>114</v>
      </c>
      <c r="G165" s="30" t="s">
        <v>115</v>
      </c>
      <c r="H165" s="30" t="s">
        <v>116</v>
      </c>
      <c r="I165" s="29">
        <v>20000</v>
      </c>
      <c r="J165" s="29">
        <v>10</v>
      </c>
      <c r="K165" s="29">
        <v>2000</v>
      </c>
      <c r="L165" s="38"/>
      <c r="M165" s="39"/>
      <c r="N165" s="40"/>
      <c r="O165" s="35"/>
      <c r="P165" s="36"/>
      <c r="Q165" s="36"/>
      <c r="T165" s="36"/>
    </row>
    <row r="166" spans="1:20" s="37" customFormat="1" ht="18.75" customHeight="1">
      <c r="A166" s="29">
        <f t="shared" si="2"/>
        <v>152</v>
      </c>
      <c r="B166" s="30"/>
      <c r="C166" s="30" t="s">
        <v>388</v>
      </c>
      <c r="D166" s="30" t="s">
        <v>389</v>
      </c>
      <c r="E166" s="31">
        <v>42845</v>
      </c>
      <c r="F166" s="30" t="s">
        <v>390</v>
      </c>
      <c r="G166" s="30" t="s">
        <v>391</v>
      </c>
      <c r="H166" s="30" t="s">
        <v>134</v>
      </c>
      <c r="I166" s="29">
        <v>2522727</v>
      </c>
      <c r="J166" s="29">
        <v>10</v>
      </c>
      <c r="K166" s="29">
        <v>252273</v>
      </c>
      <c r="L166" s="38"/>
      <c r="M166" s="39"/>
      <c r="N166" s="40"/>
      <c r="O166" s="35"/>
      <c r="P166" s="36"/>
      <c r="Q166" s="36"/>
      <c r="T166" s="36"/>
    </row>
    <row r="167" spans="1:20" s="37" customFormat="1" ht="18.75" customHeight="1">
      <c r="A167" s="29">
        <f t="shared" si="2"/>
        <v>153</v>
      </c>
      <c r="B167" s="30"/>
      <c r="C167" s="30" t="s">
        <v>74</v>
      </c>
      <c r="D167" s="30" t="s">
        <v>392</v>
      </c>
      <c r="E167" s="31">
        <v>42845</v>
      </c>
      <c r="F167" s="30" t="s">
        <v>76</v>
      </c>
      <c r="G167" s="30" t="s">
        <v>77</v>
      </c>
      <c r="H167" s="30" t="s">
        <v>393</v>
      </c>
      <c r="I167" s="29">
        <v>1011600</v>
      </c>
      <c r="J167" s="29">
        <v>10</v>
      </c>
      <c r="K167" s="29">
        <v>101160</v>
      </c>
      <c r="L167" s="38"/>
      <c r="M167" s="39"/>
      <c r="N167" s="40"/>
      <c r="O167" s="35"/>
      <c r="P167" s="36"/>
      <c r="Q167" s="36"/>
      <c r="T167" s="36"/>
    </row>
    <row r="168" spans="1:20" s="37" customFormat="1" ht="18.75" customHeight="1">
      <c r="A168" s="29">
        <f t="shared" ref="A168:A192" si="3">+A167+1</f>
        <v>154</v>
      </c>
      <c r="B168" s="30"/>
      <c r="C168" s="30" t="s">
        <v>93</v>
      </c>
      <c r="D168" s="30" t="s">
        <v>394</v>
      </c>
      <c r="E168" s="31">
        <v>42845</v>
      </c>
      <c r="F168" s="30" t="s">
        <v>336</v>
      </c>
      <c r="G168" s="30" t="s">
        <v>337</v>
      </c>
      <c r="H168" s="30" t="s">
        <v>395</v>
      </c>
      <c r="I168" s="29">
        <v>196294660</v>
      </c>
      <c r="J168" s="29">
        <v>10</v>
      </c>
      <c r="K168" s="29">
        <v>19629466</v>
      </c>
      <c r="L168" s="38" t="s">
        <v>52</v>
      </c>
      <c r="M168" s="39">
        <v>42850</v>
      </c>
      <c r="N168" s="40" t="s">
        <v>276</v>
      </c>
      <c r="O168" s="35"/>
      <c r="P168" s="36"/>
      <c r="Q168" s="36"/>
      <c r="T168" s="36"/>
    </row>
    <row r="169" spans="1:20" s="37" customFormat="1" ht="18.75" customHeight="1">
      <c r="A169" s="29">
        <f t="shared" si="3"/>
        <v>155</v>
      </c>
      <c r="B169" s="30"/>
      <c r="C169" s="30" t="s">
        <v>162</v>
      </c>
      <c r="D169" s="30" t="s">
        <v>396</v>
      </c>
      <c r="E169" s="31">
        <v>42845</v>
      </c>
      <c r="F169" s="30" t="s">
        <v>164</v>
      </c>
      <c r="G169" s="30" t="s">
        <v>165</v>
      </c>
      <c r="H169" s="30" t="s">
        <v>166</v>
      </c>
      <c r="I169" s="29">
        <v>3480308</v>
      </c>
      <c r="J169" s="29">
        <v>10</v>
      </c>
      <c r="K169" s="29">
        <v>348031</v>
      </c>
      <c r="L169" s="38" t="s">
        <v>52</v>
      </c>
      <c r="M169" s="39">
        <v>42879</v>
      </c>
      <c r="N169" s="40" t="s">
        <v>276</v>
      </c>
      <c r="O169" s="35"/>
      <c r="P169" s="36"/>
      <c r="Q169" s="36"/>
      <c r="T169" s="36"/>
    </row>
    <row r="170" spans="1:20" s="37" customFormat="1" ht="18.75" customHeight="1">
      <c r="A170" s="29">
        <f t="shared" si="3"/>
        <v>156</v>
      </c>
      <c r="B170" s="30"/>
      <c r="C170" s="30" t="s">
        <v>162</v>
      </c>
      <c r="D170" s="30" t="s">
        <v>397</v>
      </c>
      <c r="E170" s="31">
        <v>42845</v>
      </c>
      <c r="F170" s="30" t="s">
        <v>164</v>
      </c>
      <c r="G170" s="30" t="s">
        <v>165</v>
      </c>
      <c r="H170" s="30" t="s">
        <v>166</v>
      </c>
      <c r="I170" s="29">
        <v>13940559</v>
      </c>
      <c r="J170" s="29">
        <v>10</v>
      </c>
      <c r="K170" s="29">
        <v>1394056</v>
      </c>
      <c r="L170" s="38" t="s">
        <v>52</v>
      </c>
      <c r="M170" s="39">
        <v>42879</v>
      </c>
      <c r="N170" s="40" t="s">
        <v>276</v>
      </c>
      <c r="O170" s="35"/>
      <c r="P170" s="36"/>
      <c r="Q170" s="36"/>
      <c r="T170" s="36"/>
    </row>
    <row r="171" spans="1:20" s="37" customFormat="1" ht="18.75" customHeight="1">
      <c r="A171" s="29">
        <f t="shared" si="3"/>
        <v>157</v>
      </c>
      <c r="B171" s="30"/>
      <c r="C171" s="30" t="s">
        <v>157</v>
      </c>
      <c r="D171" s="30" t="s">
        <v>379</v>
      </c>
      <c r="E171" s="31">
        <v>42845</v>
      </c>
      <c r="F171" s="30" t="s">
        <v>159</v>
      </c>
      <c r="G171" s="30" t="s">
        <v>160</v>
      </c>
      <c r="H171" s="30" t="s">
        <v>161</v>
      </c>
      <c r="I171" s="29">
        <v>9000000</v>
      </c>
      <c r="J171" s="29">
        <v>10</v>
      </c>
      <c r="K171" s="29">
        <v>900000</v>
      </c>
      <c r="L171" s="38"/>
      <c r="M171" s="39"/>
      <c r="N171" s="40"/>
      <c r="O171" s="35"/>
      <c r="P171" s="36"/>
      <c r="Q171" s="36"/>
      <c r="T171" s="36"/>
    </row>
    <row r="172" spans="1:20" s="37" customFormat="1" ht="18.75" customHeight="1">
      <c r="A172" s="29">
        <f t="shared" si="3"/>
        <v>158</v>
      </c>
      <c r="B172" s="30"/>
      <c r="C172" s="30" t="s">
        <v>125</v>
      </c>
      <c r="D172" s="30" t="s">
        <v>398</v>
      </c>
      <c r="E172" s="31">
        <v>42845</v>
      </c>
      <c r="F172" s="30" t="s">
        <v>362</v>
      </c>
      <c r="G172" s="30" t="s">
        <v>363</v>
      </c>
      <c r="H172" s="30" t="s">
        <v>129</v>
      </c>
      <c r="I172" s="29">
        <v>454545</v>
      </c>
      <c r="J172" s="29">
        <v>10</v>
      </c>
      <c r="K172" s="29">
        <v>45455</v>
      </c>
      <c r="L172" s="38"/>
      <c r="M172" s="39"/>
      <c r="N172" s="40"/>
      <c r="O172" s="35"/>
      <c r="P172" s="36"/>
      <c r="Q172" s="36"/>
      <c r="T172" s="36"/>
    </row>
    <row r="173" spans="1:20" s="37" customFormat="1" ht="18.75" customHeight="1">
      <c r="A173" s="29">
        <f t="shared" si="3"/>
        <v>159</v>
      </c>
      <c r="B173" s="30"/>
      <c r="C173" s="30" t="s">
        <v>162</v>
      </c>
      <c r="D173" s="30" t="s">
        <v>399</v>
      </c>
      <c r="E173" s="31">
        <v>42846</v>
      </c>
      <c r="F173" s="30" t="s">
        <v>164</v>
      </c>
      <c r="G173" s="30" t="s">
        <v>165</v>
      </c>
      <c r="H173" s="30" t="s">
        <v>166</v>
      </c>
      <c r="I173" s="29">
        <v>5557518</v>
      </c>
      <c r="J173" s="29">
        <v>10</v>
      </c>
      <c r="K173" s="29">
        <v>555752</v>
      </c>
      <c r="L173" s="38"/>
      <c r="M173" s="39"/>
      <c r="N173" s="40"/>
      <c r="O173" s="35"/>
      <c r="P173" s="36"/>
      <c r="Q173" s="36"/>
      <c r="T173" s="36"/>
    </row>
    <row r="174" spans="1:20" s="37" customFormat="1" ht="18.75" customHeight="1">
      <c r="A174" s="29">
        <f t="shared" si="3"/>
        <v>160</v>
      </c>
      <c r="B174" s="30"/>
      <c r="C174" s="30" t="s">
        <v>100</v>
      </c>
      <c r="D174" s="30" t="s">
        <v>400</v>
      </c>
      <c r="E174" s="31">
        <v>42847</v>
      </c>
      <c r="F174" s="30" t="s">
        <v>102</v>
      </c>
      <c r="G174" s="30" t="s">
        <v>103</v>
      </c>
      <c r="H174" s="30" t="s">
        <v>377</v>
      </c>
      <c r="I174" s="29">
        <v>18000000</v>
      </c>
      <c r="J174" s="29">
        <v>10</v>
      </c>
      <c r="K174" s="29">
        <v>1800000</v>
      </c>
      <c r="L174" s="38"/>
      <c r="M174" s="39"/>
      <c r="N174" s="40"/>
      <c r="O174" s="35"/>
      <c r="P174" s="36"/>
      <c r="Q174" s="36"/>
      <c r="T174" s="36"/>
    </row>
    <row r="175" spans="1:20" s="37" customFormat="1" ht="18.75" customHeight="1">
      <c r="A175" s="29">
        <f t="shared" si="3"/>
        <v>161</v>
      </c>
      <c r="B175" s="30"/>
      <c r="C175" s="30" t="s">
        <v>194</v>
      </c>
      <c r="D175" s="30" t="s">
        <v>401</v>
      </c>
      <c r="E175" s="31">
        <v>42849</v>
      </c>
      <c r="F175" s="30" t="s">
        <v>196</v>
      </c>
      <c r="G175" s="30" t="s">
        <v>197</v>
      </c>
      <c r="H175" s="30" t="s">
        <v>402</v>
      </c>
      <c r="I175" s="29">
        <v>936349</v>
      </c>
      <c r="J175" s="29">
        <v>10</v>
      </c>
      <c r="K175" s="29">
        <v>93635</v>
      </c>
      <c r="L175" s="38"/>
      <c r="M175" s="39"/>
      <c r="N175" s="40"/>
      <c r="O175" s="35"/>
      <c r="P175" s="36"/>
      <c r="Q175" s="36"/>
      <c r="T175" s="36"/>
    </row>
    <row r="176" spans="1:20" s="37" customFormat="1" ht="18.75" customHeight="1">
      <c r="A176" s="29">
        <f t="shared" si="3"/>
        <v>162</v>
      </c>
      <c r="B176" s="30"/>
      <c r="C176" s="30" t="s">
        <v>93</v>
      </c>
      <c r="D176" s="30" t="s">
        <v>403</v>
      </c>
      <c r="E176" s="31">
        <v>42850</v>
      </c>
      <c r="F176" s="30" t="s">
        <v>49</v>
      </c>
      <c r="G176" s="30" t="s">
        <v>50</v>
      </c>
      <c r="H176" s="30" t="s">
        <v>51</v>
      </c>
      <c r="I176" s="29">
        <v>153408000</v>
      </c>
      <c r="J176" s="29">
        <v>10</v>
      </c>
      <c r="K176" s="29">
        <v>15340800</v>
      </c>
      <c r="L176" s="38" t="s">
        <v>52</v>
      </c>
      <c r="M176" s="39">
        <v>42887</v>
      </c>
      <c r="N176" s="40" t="s">
        <v>276</v>
      </c>
      <c r="O176" s="35"/>
      <c r="P176" s="36"/>
      <c r="Q176" s="36"/>
      <c r="T176" s="36"/>
    </row>
    <row r="177" spans="1:20" s="37" customFormat="1" ht="18.75" customHeight="1">
      <c r="A177" s="29">
        <f t="shared" si="3"/>
        <v>163</v>
      </c>
      <c r="B177" s="30"/>
      <c r="C177" s="30" t="s">
        <v>218</v>
      </c>
      <c r="D177" s="30" t="s">
        <v>404</v>
      </c>
      <c r="E177" s="31">
        <v>42850</v>
      </c>
      <c r="F177" s="30" t="s">
        <v>405</v>
      </c>
      <c r="G177" s="30" t="s">
        <v>221</v>
      </c>
      <c r="H177" s="30" t="s">
        <v>406</v>
      </c>
      <c r="I177" s="29">
        <v>661000</v>
      </c>
      <c r="J177" s="29">
        <v>10</v>
      </c>
      <c r="K177" s="29">
        <v>66100</v>
      </c>
      <c r="L177" s="38"/>
      <c r="M177" s="39"/>
      <c r="N177" s="40"/>
      <c r="O177" s="35"/>
      <c r="P177" s="36"/>
      <c r="Q177" s="36"/>
      <c r="T177" s="36"/>
    </row>
    <row r="178" spans="1:20" s="37" customFormat="1" ht="18.75" customHeight="1">
      <c r="A178" s="29">
        <f t="shared" si="3"/>
        <v>164</v>
      </c>
      <c r="B178" s="30"/>
      <c r="C178" s="30" t="s">
        <v>125</v>
      </c>
      <c r="D178" s="30" t="s">
        <v>407</v>
      </c>
      <c r="E178" s="31">
        <v>42851</v>
      </c>
      <c r="F178" s="30" t="s">
        <v>127</v>
      </c>
      <c r="G178" s="30" t="s">
        <v>128</v>
      </c>
      <c r="H178" s="30" t="s">
        <v>129</v>
      </c>
      <c r="I178" s="29">
        <v>454545</v>
      </c>
      <c r="J178" s="29">
        <v>10</v>
      </c>
      <c r="K178" s="29">
        <v>45455</v>
      </c>
      <c r="L178" s="38"/>
      <c r="M178" s="39"/>
      <c r="N178" s="40"/>
      <c r="O178" s="35"/>
      <c r="P178" s="36"/>
      <c r="Q178" s="36"/>
      <c r="T178" s="36"/>
    </row>
    <row r="179" spans="1:20" s="37" customFormat="1" ht="18.75" customHeight="1">
      <c r="A179" s="29">
        <f t="shared" si="3"/>
        <v>165</v>
      </c>
      <c r="B179" s="30"/>
      <c r="C179" s="30" t="s">
        <v>167</v>
      </c>
      <c r="D179" s="30" t="s">
        <v>408</v>
      </c>
      <c r="E179" s="31">
        <v>42852</v>
      </c>
      <c r="F179" s="30" t="s">
        <v>409</v>
      </c>
      <c r="G179" s="30" t="s">
        <v>410</v>
      </c>
      <c r="H179" s="30" t="s">
        <v>411</v>
      </c>
      <c r="I179" s="29">
        <v>233635100</v>
      </c>
      <c r="J179" s="29">
        <v>10</v>
      </c>
      <c r="K179" s="29">
        <v>23363510</v>
      </c>
      <c r="L179" s="38" t="s">
        <v>52</v>
      </c>
      <c r="M179" s="39">
        <v>42879</v>
      </c>
      <c r="N179" s="40" t="s">
        <v>276</v>
      </c>
      <c r="O179" s="35"/>
      <c r="P179" s="36"/>
      <c r="Q179" s="36"/>
      <c r="T179" s="36"/>
    </row>
    <row r="180" spans="1:20" s="37" customFormat="1" ht="18.75" customHeight="1">
      <c r="A180" s="29">
        <f t="shared" si="3"/>
        <v>166</v>
      </c>
      <c r="B180" s="30"/>
      <c r="C180" s="30" t="s">
        <v>242</v>
      </c>
      <c r="D180" s="30" t="s">
        <v>412</v>
      </c>
      <c r="E180" s="31">
        <v>42852</v>
      </c>
      <c r="F180" s="30" t="s">
        <v>413</v>
      </c>
      <c r="G180" s="30" t="s">
        <v>414</v>
      </c>
      <c r="H180" s="30" t="s">
        <v>415</v>
      </c>
      <c r="I180" s="29">
        <v>1710000</v>
      </c>
      <c r="J180" s="29">
        <v>10</v>
      </c>
      <c r="K180" s="29">
        <v>171000</v>
      </c>
      <c r="L180" s="38"/>
      <c r="M180" s="39"/>
      <c r="N180" s="40"/>
      <c r="O180" s="35"/>
      <c r="P180" s="36"/>
      <c r="Q180" s="36"/>
      <c r="T180" s="36"/>
    </row>
    <row r="181" spans="1:20" s="37" customFormat="1" ht="18.75" customHeight="1">
      <c r="A181" s="29">
        <f t="shared" si="3"/>
        <v>167</v>
      </c>
      <c r="B181" s="30"/>
      <c r="C181" s="30" t="s">
        <v>162</v>
      </c>
      <c r="D181" s="30" t="s">
        <v>416</v>
      </c>
      <c r="E181" s="31">
        <v>42852</v>
      </c>
      <c r="F181" s="30" t="s">
        <v>273</v>
      </c>
      <c r="G181" s="30" t="s">
        <v>274</v>
      </c>
      <c r="H181" s="30" t="s">
        <v>417</v>
      </c>
      <c r="I181" s="29">
        <v>53925320</v>
      </c>
      <c r="J181" s="29">
        <v>10</v>
      </c>
      <c r="K181" s="29">
        <v>5392532</v>
      </c>
      <c r="L181" s="38" t="s">
        <v>52</v>
      </c>
      <c r="M181" s="39">
        <v>42907</v>
      </c>
      <c r="N181" s="40" t="s">
        <v>276</v>
      </c>
      <c r="O181" s="35"/>
      <c r="P181" s="36"/>
      <c r="Q181" s="36"/>
      <c r="T181" s="36"/>
    </row>
    <row r="182" spans="1:20" s="37" customFormat="1" ht="18.75" customHeight="1">
      <c r="A182" s="29">
        <f t="shared" si="3"/>
        <v>168</v>
      </c>
      <c r="B182" s="30"/>
      <c r="C182" s="30" t="s">
        <v>162</v>
      </c>
      <c r="D182" s="30" t="s">
        <v>418</v>
      </c>
      <c r="E182" s="31">
        <v>42852</v>
      </c>
      <c r="F182" s="30" t="s">
        <v>314</v>
      </c>
      <c r="G182" s="30" t="s">
        <v>315</v>
      </c>
      <c r="H182" s="30" t="s">
        <v>316</v>
      </c>
      <c r="I182" s="29">
        <v>1583636</v>
      </c>
      <c r="J182" s="29">
        <v>10</v>
      </c>
      <c r="K182" s="29">
        <v>158364</v>
      </c>
      <c r="L182" s="38"/>
      <c r="M182" s="39"/>
      <c r="N182" s="40"/>
      <c r="O182" s="35"/>
      <c r="P182" s="36"/>
      <c r="Q182" s="36"/>
      <c r="T182" s="36"/>
    </row>
    <row r="183" spans="1:20" s="37" customFormat="1" ht="18.75" customHeight="1">
      <c r="A183" s="29">
        <f t="shared" si="3"/>
        <v>169</v>
      </c>
      <c r="B183" s="30"/>
      <c r="C183" s="30" t="s">
        <v>419</v>
      </c>
      <c r="D183" s="30" t="s">
        <v>420</v>
      </c>
      <c r="E183" s="31">
        <v>42852</v>
      </c>
      <c r="F183" s="30" t="s">
        <v>421</v>
      </c>
      <c r="G183" s="30" t="s">
        <v>422</v>
      </c>
      <c r="H183" s="30" t="s">
        <v>134</v>
      </c>
      <c r="I183" s="29">
        <v>1011000</v>
      </c>
      <c r="J183" s="29">
        <v>10</v>
      </c>
      <c r="K183" s="29">
        <v>101100</v>
      </c>
      <c r="L183" s="38"/>
      <c r="M183" s="39"/>
      <c r="N183" s="40"/>
      <c r="O183" s="35"/>
      <c r="P183" s="36"/>
      <c r="Q183" s="36"/>
      <c r="T183" s="36"/>
    </row>
    <row r="184" spans="1:20" s="37" customFormat="1" ht="18.75" customHeight="1">
      <c r="A184" s="29">
        <f t="shared" si="3"/>
        <v>170</v>
      </c>
      <c r="B184" s="30"/>
      <c r="C184" s="30" t="s">
        <v>231</v>
      </c>
      <c r="D184" s="30" t="s">
        <v>423</v>
      </c>
      <c r="E184" s="31">
        <v>42853</v>
      </c>
      <c r="F184" s="30" t="s">
        <v>233</v>
      </c>
      <c r="G184" s="30" t="s">
        <v>234</v>
      </c>
      <c r="H184" s="30" t="s">
        <v>235</v>
      </c>
      <c r="I184" s="29">
        <v>52933900</v>
      </c>
      <c r="J184" s="29">
        <v>10</v>
      </c>
      <c r="K184" s="29">
        <v>5293390</v>
      </c>
      <c r="L184" s="38" t="s">
        <v>52</v>
      </c>
      <c r="M184" s="39">
        <v>42879</v>
      </c>
      <c r="N184" s="40" t="s">
        <v>276</v>
      </c>
      <c r="O184" s="35"/>
      <c r="P184" s="36"/>
      <c r="Q184" s="36"/>
      <c r="T184" s="36"/>
    </row>
    <row r="185" spans="1:20" s="37" customFormat="1" ht="18.75" customHeight="1">
      <c r="A185" s="29">
        <f t="shared" si="3"/>
        <v>171</v>
      </c>
      <c r="B185" s="30"/>
      <c r="C185" s="30" t="s">
        <v>231</v>
      </c>
      <c r="D185" s="30" t="s">
        <v>424</v>
      </c>
      <c r="E185" s="31">
        <v>42853</v>
      </c>
      <c r="F185" s="30" t="s">
        <v>233</v>
      </c>
      <c r="G185" s="30" t="s">
        <v>234</v>
      </c>
      <c r="H185" s="30" t="s">
        <v>235</v>
      </c>
      <c r="I185" s="29">
        <v>33962750</v>
      </c>
      <c r="J185" s="29">
        <v>10</v>
      </c>
      <c r="K185" s="29">
        <v>3396275</v>
      </c>
      <c r="L185" s="38" t="s">
        <v>52</v>
      </c>
      <c r="M185" s="39">
        <v>42879</v>
      </c>
      <c r="N185" s="40" t="s">
        <v>276</v>
      </c>
      <c r="O185" s="35"/>
      <c r="P185" s="36"/>
      <c r="Q185" s="36"/>
      <c r="T185" s="36"/>
    </row>
    <row r="186" spans="1:20" s="37" customFormat="1" ht="18.75" customHeight="1">
      <c r="A186" s="29">
        <f t="shared" si="3"/>
        <v>172</v>
      </c>
      <c r="B186" s="30"/>
      <c r="C186" s="30" t="s">
        <v>231</v>
      </c>
      <c r="D186" s="30" t="s">
        <v>425</v>
      </c>
      <c r="E186" s="31">
        <v>42853</v>
      </c>
      <c r="F186" s="30" t="s">
        <v>239</v>
      </c>
      <c r="G186" s="30" t="s">
        <v>240</v>
      </c>
      <c r="H186" s="30" t="s">
        <v>426</v>
      </c>
      <c r="I186" s="29">
        <v>32799500</v>
      </c>
      <c r="J186" s="29">
        <v>10</v>
      </c>
      <c r="K186" s="29">
        <v>3279950</v>
      </c>
      <c r="L186" s="38" t="s">
        <v>52</v>
      </c>
      <c r="M186" s="39">
        <v>42879</v>
      </c>
      <c r="N186" s="40" t="s">
        <v>276</v>
      </c>
      <c r="O186" s="35"/>
      <c r="P186" s="36"/>
      <c r="Q186" s="36"/>
      <c r="T186" s="36"/>
    </row>
    <row r="187" spans="1:20" s="37" customFormat="1" ht="18.75" customHeight="1">
      <c r="A187" s="29">
        <f t="shared" si="3"/>
        <v>173</v>
      </c>
      <c r="B187" s="30"/>
      <c r="C187" s="30" t="s">
        <v>93</v>
      </c>
      <c r="D187" s="30" t="s">
        <v>427</v>
      </c>
      <c r="E187" s="31">
        <v>42853</v>
      </c>
      <c r="F187" s="30" t="s">
        <v>258</v>
      </c>
      <c r="G187" s="30" t="s">
        <v>259</v>
      </c>
      <c r="H187" s="30" t="s">
        <v>428</v>
      </c>
      <c r="I187" s="29">
        <v>33803285</v>
      </c>
      <c r="J187" s="29">
        <v>10</v>
      </c>
      <c r="K187" s="29">
        <v>3380329</v>
      </c>
      <c r="L187" s="38" t="s">
        <v>52</v>
      </c>
      <c r="M187" s="39">
        <v>42879</v>
      </c>
      <c r="N187" s="40" t="s">
        <v>276</v>
      </c>
      <c r="O187" s="35"/>
      <c r="P187" s="36"/>
      <c r="Q187" s="36"/>
      <c r="T187" s="36"/>
    </row>
    <row r="188" spans="1:20" s="37" customFormat="1" ht="18.75" customHeight="1">
      <c r="A188" s="29">
        <f t="shared" si="3"/>
        <v>174</v>
      </c>
      <c r="B188" s="30"/>
      <c r="C188" s="30" t="s">
        <v>93</v>
      </c>
      <c r="D188" s="30" t="s">
        <v>429</v>
      </c>
      <c r="E188" s="31">
        <v>42853</v>
      </c>
      <c r="F188" s="30" t="s">
        <v>258</v>
      </c>
      <c r="G188" s="30" t="s">
        <v>259</v>
      </c>
      <c r="H188" s="30" t="s">
        <v>374</v>
      </c>
      <c r="I188" s="29">
        <v>1413000</v>
      </c>
      <c r="J188" s="29">
        <v>10</v>
      </c>
      <c r="K188" s="29">
        <v>141300</v>
      </c>
      <c r="L188" s="38" t="s">
        <v>52</v>
      </c>
      <c r="M188" s="39">
        <v>42879</v>
      </c>
      <c r="N188" s="40" t="s">
        <v>276</v>
      </c>
      <c r="O188" s="35"/>
      <c r="P188" s="36"/>
      <c r="Q188" s="36"/>
      <c r="T188" s="36"/>
    </row>
    <row r="189" spans="1:20" s="37" customFormat="1" ht="18.75" customHeight="1">
      <c r="A189" s="29">
        <f t="shared" si="3"/>
        <v>175</v>
      </c>
      <c r="B189" s="30"/>
      <c r="C189" s="30" t="s">
        <v>248</v>
      </c>
      <c r="D189" s="30" t="s">
        <v>430</v>
      </c>
      <c r="E189" s="31">
        <v>42854</v>
      </c>
      <c r="F189" s="30" t="s">
        <v>250</v>
      </c>
      <c r="G189" s="30" t="s">
        <v>251</v>
      </c>
      <c r="H189" s="30" t="s">
        <v>431</v>
      </c>
      <c r="I189" s="29">
        <v>220973182</v>
      </c>
      <c r="J189" s="29">
        <v>10</v>
      </c>
      <c r="K189" s="29">
        <v>22097318</v>
      </c>
      <c r="L189" s="38" t="s">
        <v>52</v>
      </c>
      <c r="M189" s="39">
        <v>42879</v>
      </c>
      <c r="N189" s="40" t="s">
        <v>276</v>
      </c>
      <c r="O189" s="35"/>
      <c r="P189" s="36"/>
      <c r="Q189" s="36"/>
      <c r="T189" s="36"/>
    </row>
    <row r="190" spans="1:20" s="37" customFormat="1" ht="18.75" customHeight="1">
      <c r="A190" s="29">
        <f t="shared" si="3"/>
        <v>176</v>
      </c>
      <c r="B190" s="30"/>
      <c r="C190" s="30" t="s">
        <v>248</v>
      </c>
      <c r="D190" s="30" t="s">
        <v>432</v>
      </c>
      <c r="E190" s="31">
        <v>42854</v>
      </c>
      <c r="F190" s="30" t="s">
        <v>250</v>
      </c>
      <c r="G190" s="30" t="s">
        <v>251</v>
      </c>
      <c r="H190" s="30" t="s">
        <v>433</v>
      </c>
      <c r="I190" s="29">
        <v>1600000</v>
      </c>
      <c r="J190" s="29">
        <v>10</v>
      </c>
      <c r="K190" s="29">
        <v>160000</v>
      </c>
      <c r="L190" s="38" t="s">
        <v>52</v>
      </c>
      <c r="M190" s="39">
        <v>42879</v>
      </c>
      <c r="N190" s="40" t="s">
        <v>276</v>
      </c>
      <c r="O190" s="35"/>
      <c r="P190" s="36"/>
      <c r="Q190" s="36"/>
      <c r="T190" s="36"/>
    </row>
    <row r="191" spans="1:20" s="37" customFormat="1" ht="18.75" customHeight="1">
      <c r="A191" s="29">
        <f t="shared" si="3"/>
        <v>177</v>
      </c>
      <c r="B191" s="30"/>
      <c r="C191" s="30" t="s">
        <v>248</v>
      </c>
      <c r="D191" s="30" t="s">
        <v>434</v>
      </c>
      <c r="E191" s="31">
        <v>42854</v>
      </c>
      <c r="F191" s="30" t="s">
        <v>250</v>
      </c>
      <c r="G191" s="30" t="s">
        <v>251</v>
      </c>
      <c r="H191" s="30" t="s">
        <v>435</v>
      </c>
      <c r="I191" s="29">
        <v>1560000</v>
      </c>
      <c r="J191" s="29">
        <v>10</v>
      </c>
      <c r="K191" s="29">
        <v>156000</v>
      </c>
      <c r="L191" s="38" t="s">
        <v>52</v>
      </c>
      <c r="M191" s="39">
        <v>42879</v>
      </c>
      <c r="N191" s="40" t="s">
        <v>276</v>
      </c>
      <c r="O191" s="35"/>
      <c r="P191" s="36"/>
      <c r="Q191" s="36"/>
      <c r="T191" s="36"/>
    </row>
    <row r="192" spans="1:20" s="37" customFormat="1" ht="18.75" customHeight="1">
      <c r="A192" s="29">
        <f t="shared" si="3"/>
        <v>178</v>
      </c>
      <c r="B192" s="30"/>
      <c r="C192" s="30" t="s">
        <v>130</v>
      </c>
      <c r="D192" s="30" t="s">
        <v>436</v>
      </c>
      <c r="E192" s="31">
        <v>42855</v>
      </c>
      <c r="F192" s="30" t="s">
        <v>333</v>
      </c>
      <c r="G192" s="30" t="s">
        <v>334</v>
      </c>
      <c r="H192" s="30" t="s">
        <v>134</v>
      </c>
      <c r="I192" s="29">
        <v>3713000</v>
      </c>
      <c r="J192" s="29">
        <v>10</v>
      </c>
      <c r="K192" s="29">
        <v>371300</v>
      </c>
      <c r="L192" s="41"/>
      <c r="M192" s="42"/>
      <c r="N192" s="40"/>
      <c r="O192" s="35"/>
      <c r="P192" s="36"/>
      <c r="Q192" s="36"/>
      <c r="T192" s="36"/>
    </row>
    <row r="193" spans="1:255" s="37" customFormat="1" ht="18.75" customHeight="1">
      <c r="A193" s="205" t="s">
        <v>264</v>
      </c>
      <c r="B193" s="205"/>
      <c r="C193" s="205"/>
      <c r="D193" s="205"/>
      <c r="E193" s="205"/>
      <c r="F193" s="205"/>
      <c r="G193" s="205"/>
      <c r="H193" s="205"/>
      <c r="I193" s="43">
        <f>SUM(I101:I192)</f>
        <v>2525856090</v>
      </c>
      <c r="J193" s="43"/>
      <c r="K193" s="43">
        <f>SUM(K101:K192)</f>
        <v>252585611</v>
      </c>
      <c r="L193" s="44"/>
      <c r="M193" s="45"/>
      <c r="N193" s="46"/>
      <c r="O193" s="35"/>
      <c r="P193" s="49">
        <v>254690111</v>
      </c>
      <c r="Q193" s="36"/>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c r="CA193" s="10"/>
      <c r="CB193" s="10"/>
      <c r="CC193" s="10"/>
      <c r="CD193" s="10"/>
      <c r="CE193" s="10"/>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c r="DG193" s="10"/>
      <c r="DH193" s="10"/>
      <c r="DI193" s="10"/>
      <c r="DJ193" s="10"/>
      <c r="DK193" s="10"/>
      <c r="DL193" s="10"/>
      <c r="DM193" s="10"/>
      <c r="DN193" s="10"/>
      <c r="DO193" s="10"/>
      <c r="DP193" s="10"/>
      <c r="DQ193" s="10"/>
      <c r="DR193" s="10"/>
      <c r="DS193" s="10"/>
      <c r="DT193" s="10"/>
      <c r="DU193" s="10"/>
      <c r="DV193" s="10"/>
      <c r="DW193" s="10"/>
      <c r="DX193" s="10"/>
      <c r="DY193" s="10"/>
      <c r="DZ193" s="10"/>
      <c r="EA193" s="10"/>
      <c r="EB193" s="10"/>
      <c r="EC193" s="10"/>
      <c r="ED193" s="10"/>
      <c r="EE193" s="10"/>
      <c r="EF193" s="10"/>
      <c r="EG193" s="10"/>
      <c r="EH193" s="10"/>
      <c r="EI193" s="10"/>
      <c r="EJ193" s="10"/>
      <c r="EK193" s="10"/>
      <c r="EL193" s="10"/>
      <c r="EM193" s="10"/>
      <c r="EN193" s="10"/>
      <c r="EO193" s="10"/>
      <c r="EP193" s="10"/>
      <c r="EQ193" s="10"/>
      <c r="ER193" s="10"/>
      <c r="ES193" s="10"/>
      <c r="ET193" s="10"/>
      <c r="EU193" s="10"/>
      <c r="EV193" s="10"/>
      <c r="EW193" s="10"/>
      <c r="EX193" s="10"/>
      <c r="EY193" s="10"/>
      <c r="EZ193" s="10"/>
      <c r="FA193" s="10"/>
      <c r="FB193" s="10"/>
      <c r="FC193" s="10"/>
      <c r="FD193" s="10"/>
      <c r="FE193" s="10"/>
      <c r="FF193" s="10"/>
      <c r="FG193" s="10"/>
      <c r="FH193" s="10"/>
      <c r="FI193" s="10"/>
      <c r="FJ193" s="10"/>
      <c r="FK193" s="10"/>
      <c r="FL193" s="10"/>
      <c r="FM193" s="10"/>
      <c r="FN193" s="10"/>
      <c r="FO193" s="10"/>
      <c r="FP193" s="10"/>
      <c r="FQ193" s="10"/>
      <c r="FR193" s="10"/>
      <c r="FS193" s="10"/>
      <c r="FT193" s="10"/>
      <c r="FU193" s="10"/>
      <c r="FV193" s="10"/>
      <c r="FW193" s="10"/>
      <c r="FX193" s="10"/>
      <c r="FY193" s="10"/>
      <c r="FZ193" s="10"/>
      <c r="GA193" s="10"/>
      <c r="GB193" s="10"/>
      <c r="GC193" s="10"/>
      <c r="GD193" s="10"/>
      <c r="GE193" s="10"/>
      <c r="GF193" s="10"/>
      <c r="GG193" s="10"/>
      <c r="GH193" s="10"/>
      <c r="GI193" s="10"/>
      <c r="GJ193" s="10"/>
      <c r="GK193" s="10"/>
      <c r="GL193" s="10"/>
      <c r="GM193" s="10"/>
      <c r="GN193" s="10"/>
      <c r="GO193" s="10"/>
      <c r="GP193" s="10"/>
      <c r="GQ193" s="10"/>
      <c r="GR193" s="10"/>
      <c r="GS193" s="10"/>
      <c r="GT193" s="10"/>
      <c r="GU193" s="10"/>
      <c r="GV193" s="10"/>
      <c r="GW193" s="10"/>
      <c r="GX193" s="10"/>
      <c r="GY193" s="10"/>
      <c r="GZ193" s="10"/>
      <c r="HA193" s="10"/>
      <c r="HB193" s="10"/>
      <c r="HC193" s="10"/>
      <c r="HD193" s="10"/>
      <c r="HE193" s="10"/>
      <c r="HF193" s="10"/>
      <c r="HG193" s="10"/>
      <c r="HH193" s="10"/>
      <c r="HI193" s="10"/>
      <c r="HJ193" s="10"/>
      <c r="HK193" s="10"/>
      <c r="HL193" s="10"/>
      <c r="HM193" s="10"/>
      <c r="HN193" s="10"/>
      <c r="HO193" s="10"/>
      <c r="HP193" s="10"/>
      <c r="HQ193" s="10"/>
      <c r="HR193" s="10"/>
      <c r="HS193" s="10"/>
      <c r="HT193" s="10"/>
      <c r="HU193" s="10"/>
      <c r="HV193" s="10"/>
      <c r="HW193" s="10"/>
      <c r="HX193" s="10"/>
      <c r="HY193" s="10"/>
      <c r="HZ193" s="10"/>
      <c r="IA193" s="10"/>
      <c r="IB193" s="10"/>
      <c r="IC193" s="10"/>
      <c r="ID193" s="10"/>
      <c r="IE193" s="10"/>
      <c r="IF193" s="10"/>
      <c r="IG193" s="10"/>
      <c r="IH193" s="10"/>
      <c r="II193" s="10"/>
      <c r="IJ193" s="10"/>
      <c r="IK193" s="10"/>
      <c r="IL193" s="10"/>
      <c r="IM193" s="10"/>
      <c r="IN193" s="10"/>
      <c r="IO193" s="10"/>
      <c r="IP193" s="10"/>
      <c r="IQ193" s="10"/>
      <c r="IR193" s="10"/>
      <c r="IS193" s="10"/>
      <c r="IT193" s="10"/>
      <c r="IU193" s="10"/>
    </row>
    <row r="194" spans="1:255" s="37" customFormat="1" ht="18.75" customHeight="1">
      <c r="A194" s="29">
        <f>A192+1</f>
        <v>179</v>
      </c>
      <c r="B194" s="30"/>
      <c r="C194" s="30" t="s">
        <v>93</v>
      </c>
      <c r="D194" s="30" t="s">
        <v>437</v>
      </c>
      <c r="E194" s="31">
        <v>42835</v>
      </c>
      <c r="F194" s="30" t="s">
        <v>49</v>
      </c>
      <c r="G194" s="30" t="s">
        <v>50</v>
      </c>
      <c r="H194" s="30" t="s">
        <v>51</v>
      </c>
      <c r="I194" s="29">
        <v>161000000</v>
      </c>
      <c r="J194" s="29">
        <v>10</v>
      </c>
      <c r="K194" s="29">
        <v>16100000</v>
      </c>
      <c r="L194" s="47" t="s">
        <v>52</v>
      </c>
      <c r="M194" s="48">
        <v>42887</v>
      </c>
      <c r="N194" s="40" t="s">
        <v>438</v>
      </c>
      <c r="O194" s="35"/>
      <c r="P194" s="36">
        <f>K193-P193</f>
        <v>-2104500</v>
      </c>
      <c r="Q194" s="36"/>
      <c r="T194" s="36"/>
    </row>
    <row r="195" spans="1:255" s="37" customFormat="1" ht="18.75" customHeight="1">
      <c r="A195" s="29">
        <f>+A194+1</f>
        <v>180</v>
      </c>
      <c r="B195" s="30"/>
      <c r="C195" s="30" t="s">
        <v>439</v>
      </c>
      <c r="D195" s="30" t="s">
        <v>440</v>
      </c>
      <c r="E195" s="31">
        <v>42831</v>
      </c>
      <c r="F195" s="30" t="s">
        <v>441</v>
      </c>
      <c r="G195" s="30" t="s">
        <v>442</v>
      </c>
      <c r="H195" s="30" t="s">
        <v>134</v>
      </c>
      <c r="I195" s="29">
        <v>396636</v>
      </c>
      <c r="J195" s="29">
        <v>10</v>
      </c>
      <c r="K195" s="29">
        <v>39664</v>
      </c>
      <c r="L195" s="38"/>
      <c r="M195" s="39"/>
      <c r="N195" s="40"/>
      <c r="O195" s="35"/>
      <c r="P195" s="36"/>
      <c r="Q195" s="36"/>
      <c r="T195" s="36"/>
    </row>
    <row r="196" spans="1:255" s="37" customFormat="1" ht="18.75" customHeight="1">
      <c r="A196" s="29">
        <f t="shared" ref="A196:A259" si="4">+A195+1</f>
        <v>181</v>
      </c>
      <c r="B196" s="30"/>
      <c r="C196" s="30" t="s">
        <v>69</v>
      </c>
      <c r="D196" s="30" t="s">
        <v>443</v>
      </c>
      <c r="E196" s="31">
        <v>42843</v>
      </c>
      <c r="F196" s="30" t="s">
        <v>71</v>
      </c>
      <c r="G196" s="30" t="s">
        <v>72</v>
      </c>
      <c r="H196" s="30" t="s">
        <v>40</v>
      </c>
      <c r="I196" s="29">
        <v>800000</v>
      </c>
      <c r="J196" s="29">
        <v>10</v>
      </c>
      <c r="K196" s="29">
        <v>80000</v>
      </c>
      <c r="L196" s="38"/>
      <c r="M196" s="39"/>
      <c r="N196" s="40"/>
      <c r="O196" s="35"/>
      <c r="P196" s="36"/>
      <c r="Q196" s="36"/>
      <c r="T196" s="36"/>
    </row>
    <row r="197" spans="1:255" s="37" customFormat="1" ht="18.75" customHeight="1">
      <c r="A197" s="29">
        <f t="shared" si="4"/>
        <v>182</v>
      </c>
      <c r="B197" s="30"/>
      <c r="C197" s="30" t="s">
        <v>444</v>
      </c>
      <c r="D197" s="30" t="s">
        <v>445</v>
      </c>
      <c r="E197" s="31">
        <v>42844</v>
      </c>
      <c r="F197" s="30" t="s">
        <v>446</v>
      </c>
      <c r="G197" s="30" t="s">
        <v>447</v>
      </c>
      <c r="H197" s="30" t="s">
        <v>448</v>
      </c>
      <c r="I197" s="29">
        <f>32405440+1620272</f>
        <v>34025712</v>
      </c>
      <c r="J197" s="29">
        <v>10</v>
      </c>
      <c r="K197" s="29">
        <f>3240544/2</f>
        <v>1620272</v>
      </c>
      <c r="L197" s="38" t="s">
        <v>52</v>
      </c>
      <c r="M197" s="39">
        <v>42850</v>
      </c>
      <c r="N197" s="40" t="s">
        <v>438</v>
      </c>
      <c r="O197" s="35"/>
      <c r="P197" s="36"/>
      <c r="Q197" s="36"/>
      <c r="T197" s="36"/>
    </row>
    <row r="198" spans="1:255" s="37" customFormat="1" ht="18.75" customHeight="1">
      <c r="A198" s="29">
        <f t="shared" si="4"/>
        <v>183</v>
      </c>
      <c r="B198" s="30"/>
      <c r="C198" s="30" t="s">
        <v>93</v>
      </c>
      <c r="D198" s="30" t="s">
        <v>449</v>
      </c>
      <c r="E198" s="31">
        <v>42844</v>
      </c>
      <c r="F198" s="30" t="s">
        <v>49</v>
      </c>
      <c r="G198" s="30" t="s">
        <v>50</v>
      </c>
      <c r="H198" s="30" t="s">
        <v>51</v>
      </c>
      <c r="I198" s="29">
        <v>161800000</v>
      </c>
      <c r="J198" s="29">
        <v>10</v>
      </c>
      <c r="K198" s="29">
        <v>16180000</v>
      </c>
      <c r="L198" s="38" t="s">
        <v>52</v>
      </c>
      <c r="M198" s="39">
        <v>42887</v>
      </c>
      <c r="N198" s="40" t="s">
        <v>438</v>
      </c>
      <c r="O198" s="35"/>
      <c r="P198" s="36"/>
      <c r="Q198" s="36"/>
      <c r="T198" s="36"/>
    </row>
    <row r="199" spans="1:255" s="37" customFormat="1" ht="18.75" customHeight="1">
      <c r="A199" s="29">
        <f t="shared" si="4"/>
        <v>184</v>
      </c>
      <c r="B199" s="30"/>
      <c r="C199" s="30" t="s">
        <v>450</v>
      </c>
      <c r="D199" s="30" t="s">
        <v>451</v>
      </c>
      <c r="E199" s="31">
        <v>42844</v>
      </c>
      <c r="F199" s="30" t="s">
        <v>56</v>
      </c>
      <c r="G199" s="30" t="s">
        <v>57</v>
      </c>
      <c r="H199" s="30" t="s">
        <v>452</v>
      </c>
      <c r="I199" s="29">
        <v>9530400</v>
      </c>
      <c r="J199" s="29">
        <v>10</v>
      </c>
      <c r="K199" s="29">
        <v>953040</v>
      </c>
      <c r="L199" s="38"/>
      <c r="M199" s="39"/>
      <c r="N199" s="40"/>
      <c r="O199" s="35"/>
      <c r="P199" s="36"/>
      <c r="Q199" s="36"/>
      <c r="T199" s="36"/>
    </row>
    <row r="200" spans="1:255" s="37" customFormat="1" ht="18.75" customHeight="1">
      <c r="A200" s="29">
        <f t="shared" si="4"/>
        <v>185</v>
      </c>
      <c r="B200" s="30"/>
      <c r="C200" s="30" t="s">
        <v>453</v>
      </c>
      <c r="D200" s="30" t="s">
        <v>454</v>
      </c>
      <c r="E200" s="31">
        <v>42849</v>
      </c>
      <c r="F200" s="30" t="s">
        <v>280</v>
      </c>
      <c r="G200" s="30" t="s">
        <v>281</v>
      </c>
      <c r="H200" s="30" t="s">
        <v>452</v>
      </c>
      <c r="I200" s="29">
        <v>5373100</v>
      </c>
      <c r="J200" s="29">
        <v>10</v>
      </c>
      <c r="K200" s="29">
        <v>537310</v>
      </c>
      <c r="L200" s="38"/>
      <c r="M200" s="39"/>
      <c r="N200" s="40"/>
      <c r="O200" s="35"/>
      <c r="P200" s="36"/>
      <c r="Q200" s="36"/>
      <c r="T200" s="36"/>
    </row>
    <row r="201" spans="1:255" s="37" customFormat="1" ht="18.75" customHeight="1">
      <c r="A201" s="29">
        <f t="shared" si="4"/>
        <v>186</v>
      </c>
      <c r="B201" s="30"/>
      <c r="C201" s="30" t="s">
        <v>61</v>
      </c>
      <c r="D201" s="30" t="s">
        <v>455</v>
      </c>
      <c r="E201" s="31">
        <v>42853</v>
      </c>
      <c r="F201" s="30" t="s">
        <v>63</v>
      </c>
      <c r="G201" s="30" t="s">
        <v>64</v>
      </c>
      <c r="H201" s="30" t="s">
        <v>456</v>
      </c>
      <c r="I201" s="29">
        <v>15090909</v>
      </c>
      <c r="J201" s="29">
        <v>10</v>
      </c>
      <c r="K201" s="29">
        <v>1509091</v>
      </c>
      <c r="L201" s="38"/>
      <c r="M201" s="39"/>
      <c r="N201" s="40"/>
      <c r="O201" s="35"/>
      <c r="P201" s="36"/>
      <c r="Q201" s="36"/>
      <c r="T201" s="36"/>
    </row>
    <row r="202" spans="1:255" s="37" customFormat="1" ht="18.75" customHeight="1">
      <c r="A202" s="29">
        <f t="shared" si="4"/>
        <v>187</v>
      </c>
      <c r="B202" s="30"/>
      <c r="C202" s="30" t="s">
        <v>457</v>
      </c>
      <c r="D202" s="30" t="s">
        <v>458</v>
      </c>
      <c r="E202" s="31">
        <v>42853</v>
      </c>
      <c r="F202" s="30" t="s">
        <v>459</v>
      </c>
      <c r="G202" s="30" t="s">
        <v>460</v>
      </c>
      <c r="H202" s="30" t="s">
        <v>461</v>
      </c>
      <c r="I202" s="29">
        <v>1889800</v>
      </c>
      <c r="J202" s="29">
        <v>10</v>
      </c>
      <c r="K202" s="29">
        <v>188980</v>
      </c>
      <c r="L202" s="38"/>
      <c r="M202" s="39"/>
      <c r="N202" s="40"/>
      <c r="O202" s="35"/>
      <c r="P202" s="36"/>
      <c r="Q202" s="36"/>
      <c r="T202" s="36"/>
    </row>
    <row r="203" spans="1:255" s="37" customFormat="1" ht="18.75" customHeight="1">
      <c r="A203" s="29">
        <f t="shared" si="4"/>
        <v>188</v>
      </c>
      <c r="B203" s="30"/>
      <c r="C203" s="30" t="s">
        <v>61</v>
      </c>
      <c r="D203" s="30" t="s">
        <v>462</v>
      </c>
      <c r="E203" s="31">
        <v>42854</v>
      </c>
      <c r="F203" s="30" t="s">
        <v>63</v>
      </c>
      <c r="G203" s="30" t="s">
        <v>64</v>
      </c>
      <c r="H203" s="30" t="s">
        <v>463</v>
      </c>
      <c r="I203" s="29">
        <v>17863636</v>
      </c>
      <c r="J203" s="29">
        <v>10</v>
      </c>
      <c r="K203" s="29">
        <v>1786364</v>
      </c>
      <c r="L203" s="38"/>
      <c r="M203" s="39"/>
      <c r="N203" s="40"/>
      <c r="O203" s="35"/>
      <c r="P203" s="36"/>
      <c r="Q203" s="36"/>
      <c r="T203" s="36"/>
    </row>
    <row r="204" spans="1:255" s="37" customFormat="1" ht="18.75" customHeight="1">
      <c r="A204" s="29">
        <f t="shared" si="4"/>
        <v>189</v>
      </c>
      <c r="B204" s="30"/>
      <c r="C204" s="30" t="s">
        <v>464</v>
      </c>
      <c r="D204" s="30" t="s">
        <v>465</v>
      </c>
      <c r="E204" s="31">
        <v>42856</v>
      </c>
      <c r="F204" s="30" t="s">
        <v>89</v>
      </c>
      <c r="G204" s="30" t="s">
        <v>90</v>
      </c>
      <c r="H204" s="30" t="s">
        <v>466</v>
      </c>
      <c r="I204" s="29">
        <v>215073</v>
      </c>
      <c r="J204" s="29">
        <v>10</v>
      </c>
      <c r="K204" s="29">
        <v>21507</v>
      </c>
      <c r="L204" s="38"/>
      <c r="M204" s="39"/>
      <c r="N204" s="40"/>
      <c r="O204" s="35"/>
      <c r="P204" s="36"/>
      <c r="Q204" s="36"/>
      <c r="T204" s="36"/>
    </row>
    <row r="205" spans="1:255" s="37" customFormat="1" ht="18.75" customHeight="1">
      <c r="A205" s="29">
        <f t="shared" si="4"/>
        <v>190</v>
      </c>
      <c r="B205" s="30"/>
      <c r="C205" s="30" t="s">
        <v>464</v>
      </c>
      <c r="D205" s="30" t="s">
        <v>467</v>
      </c>
      <c r="E205" s="31">
        <v>42856</v>
      </c>
      <c r="F205" s="30" t="s">
        <v>89</v>
      </c>
      <c r="G205" s="30" t="s">
        <v>90</v>
      </c>
      <c r="H205" s="30" t="s">
        <v>466</v>
      </c>
      <c r="I205" s="29">
        <v>602804</v>
      </c>
      <c r="J205" s="29">
        <v>10</v>
      </c>
      <c r="K205" s="29">
        <v>60280</v>
      </c>
      <c r="L205" s="38"/>
      <c r="M205" s="39"/>
      <c r="N205" s="40"/>
      <c r="O205" s="35"/>
      <c r="P205" s="36"/>
      <c r="Q205" s="36"/>
      <c r="T205" s="36"/>
    </row>
    <row r="206" spans="1:255" s="37" customFormat="1" ht="18.75" customHeight="1">
      <c r="A206" s="29">
        <f t="shared" si="4"/>
        <v>191</v>
      </c>
      <c r="B206" s="30"/>
      <c r="C206" s="30" t="s">
        <v>468</v>
      </c>
      <c r="D206" s="30" t="s">
        <v>469</v>
      </c>
      <c r="E206" s="31">
        <v>42858</v>
      </c>
      <c r="F206" s="30" t="s">
        <v>181</v>
      </c>
      <c r="G206" s="30" t="s">
        <v>182</v>
      </c>
      <c r="H206" s="30" t="s">
        <v>470</v>
      </c>
      <c r="I206" s="29">
        <v>1252727</v>
      </c>
      <c r="J206" s="29">
        <v>10</v>
      </c>
      <c r="K206" s="29">
        <v>125273</v>
      </c>
      <c r="L206" s="38"/>
      <c r="M206" s="39"/>
      <c r="N206" s="40"/>
      <c r="O206" s="35"/>
      <c r="P206" s="36"/>
      <c r="Q206" s="36"/>
      <c r="T206" s="36"/>
    </row>
    <row r="207" spans="1:255" s="37" customFormat="1" ht="18.75" customHeight="1">
      <c r="A207" s="29">
        <f t="shared" si="4"/>
        <v>192</v>
      </c>
      <c r="B207" s="30"/>
      <c r="C207" s="30" t="s">
        <v>125</v>
      </c>
      <c r="D207" s="30" t="s">
        <v>471</v>
      </c>
      <c r="E207" s="31">
        <v>42858</v>
      </c>
      <c r="F207" s="30" t="s">
        <v>127</v>
      </c>
      <c r="G207" s="30" t="s">
        <v>128</v>
      </c>
      <c r="H207" s="30" t="s">
        <v>129</v>
      </c>
      <c r="I207" s="29">
        <v>454545</v>
      </c>
      <c r="J207" s="29">
        <v>10</v>
      </c>
      <c r="K207" s="29">
        <v>45455</v>
      </c>
      <c r="L207" s="38"/>
      <c r="M207" s="39"/>
      <c r="N207" s="40"/>
      <c r="O207" s="35"/>
      <c r="P207" s="36"/>
      <c r="Q207" s="36"/>
      <c r="T207" s="36"/>
    </row>
    <row r="208" spans="1:255" s="37" customFormat="1" ht="18.75" customHeight="1">
      <c r="A208" s="29">
        <f t="shared" si="4"/>
        <v>193</v>
      </c>
      <c r="B208" s="30"/>
      <c r="C208" s="30" t="s">
        <v>112</v>
      </c>
      <c r="D208" s="30" t="s">
        <v>472</v>
      </c>
      <c r="E208" s="31">
        <v>42858</v>
      </c>
      <c r="F208" s="30" t="s">
        <v>114</v>
      </c>
      <c r="G208" s="30" t="s">
        <v>115</v>
      </c>
      <c r="H208" s="30" t="s">
        <v>116</v>
      </c>
      <c r="I208" s="29">
        <v>10000</v>
      </c>
      <c r="J208" s="29">
        <v>10</v>
      </c>
      <c r="K208" s="29">
        <v>1000</v>
      </c>
      <c r="L208" s="38"/>
      <c r="M208" s="39"/>
      <c r="N208" s="40"/>
      <c r="O208" s="35"/>
      <c r="P208" s="36"/>
      <c r="Q208" s="36"/>
      <c r="T208" s="36"/>
    </row>
    <row r="209" spans="1:20" s="37" customFormat="1" ht="18.75" customHeight="1">
      <c r="A209" s="29">
        <f t="shared" si="4"/>
        <v>194</v>
      </c>
      <c r="B209" s="30"/>
      <c r="C209" s="30" t="s">
        <v>473</v>
      </c>
      <c r="D209" s="30" t="s">
        <v>474</v>
      </c>
      <c r="E209" s="31">
        <v>42859</v>
      </c>
      <c r="F209" s="30" t="s">
        <v>148</v>
      </c>
      <c r="G209" s="30" t="s">
        <v>149</v>
      </c>
      <c r="H209" s="30" t="s">
        <v>330</v>
      </c>
      <c r="I209" s="29">
        <v>1800000</v>
      </c>
      <c r="J209" s="29">
        <v>10</v>
      </c>
      <c r="K209" s="29">
        <v>180000</v>
      </c>
      <c r="L209" s="38"/>
      <c r="M209" s="39"/>
      <c r="N209" s="40"/>
      <c r="O209" s="35"/>
      <c r="P209" s="36"/>
      <c r="Q209" s="36"/>
      <c r="T209" s="36"/>
    </row>
    <row r="210" spans="1:20" s="37" customFormat="1" ht="18.75" customHeight="1">
      <c r="A210" s="29">
        <f t="shared" si="4"/>
        <v>195</v>
      </c>
      <c r="B210" s="30"/>
      <c r="C210" s="30" t="s">
        <v>226</v>
      </c>
      <c r="D210" s="30" t="s">
        <v>475</v>
      </c>
      <c r="E210" s="31">
        <v>42859</v>
      </c>
      <c r="F210" s="30" t="s">
        <v>228</v>
      </c>
      <c r="G210" s="30" t="s">
        <v>229</v>
      </c>
      <c r="H210" s="30" t="s">
        <v>476</v>
      </c>
      <c r="I210" s="29">
        <v>14925000</v>
      </c>
      <c r="J210" s="29">
        <v>10</v>
      </c>
      <c r="K210" s="29">
        <v>1492500</v>
      </c>
      <c r="L210" s="38"/>
      <c r="M210" s="39"/>
      <c r="N210" s="40"/>
      <c r="O210" s="35"/>
      <c r="P210" s="36"/>
      <c r="Q210" s="36"/>
      <c r="T210" s="36"/>
    </row>
    <row r="211" spans="1:20" s="37" customFormat="1" ht="18.75" customHeight="1">
      <c r="A211" s="29">
        <f t="shared" si="4"/>
        <v>196</v>
      </c>
      <c r="B211" s="30"/>
      <c r="C211" s="30" t="s">
        <v>450</v>
      </c>
      <c r="D211" s="30" t="s">
        <v>477</v>
      </c>
      <c r="E211" s="31">
        <v>42859</v>
      </c>
      <c r="F211" s="30" t="s">
        <v>56</v>
      </c>
      <c r="G211" s="30" t="s">
        <v>57</v>
      </c>
      <c r="H211" s="30" t="s">
        <v>452</v>
      </c>
      <c r="I211" s="29">
        <v>5787390</v>
      </c>
      <c r="J211" s="29">
        <v>10</v>
      </c>
      <c r="K211" s="29">
        <v>578739</v>
      </c>
      <c r="L211" s="38"/>
      <c r="M211" s="39"/>
      <c r="N211" s="40"/>
      <c r="O211" s="35"/>
      <c r="P211" s="36"/>
      <c r="Q211" s="36"/>
      <c r="T211" s="36"/>
    </row>
    <row r="212" spans="1:20" s="37" customFormat="1" ht="18.75" customHeight="1">
      <c r="A212" s="29">
        <f t="shared" si="4"/>
        <v>197</v>
      </c>
      <c r="B212" s="30"/>
      <c r="C212" s="30" t="s">
        <v>204</v>
      </c>
      <c r="D212" s="30" t="s">
        <v>478</v>
      </c>
      <c r="E212" s="31">
        <v>42860</v>
      </c>
      <c r="F212" s="30" t="s">
        <v>206</v>
      </c>
      <c r="G212" s="30" t="s">
        <v>207</v>
      </c>
      <c r="H212" s="30" t="s">
        <v>479</v>
      </c>
      <c r="I212" s="29">
        <v>254909041</v>
      </c>
      <c r="J212" s="29">
        <v>10</v>
      </c>
      <c r="K212" s="29">
        <v>25490904</v>
      </c>
      <c r="L212" s="38" t="s">
        <v>52</v>
      </c>
      <c r="M212" s="39">
        <v>42879</v>
      </c>
      <c r="N212" s="40" t="s">
        <v>438</v>
      </c>
      <c r="O212" s="35"/>
      <c r="P212" s="36"/>
      <c r="Q212" s="36"/>
      <c r="T212" s="36"/>
    </row>
    <row r="213" spans="1:20" s="37" customFormat="1" ht="18.75" customHeight="1">
      <c r="A213" s="29">
        <f t="shared" si="4"/>
        <v>198</v>
      </c>
      <c r="B213" s="30"/>
      <c r="C213" s="30" t="s">
        <v>125</v>
      </c>
      <c r="D213" s="30" t="s">
        <v>480</v>
      </c>
      <c r="E213" s="31">
        <v>42860</v>
      </c>
      <c r="F213" s="30" t="s">
        <v>127</v>
      </c>
      <c r="G213" s="30" t="s">
        <v>128</v>
      </c>
      <c r="H213" s="30" t="s">
        <v>129</v>
      </c>
      <c r="I213" s="29">
        <v>454545</v>
      </c>
      <c r="J213" s="29">
        <v>10</v>
      </c>
      <c r="K213" s="29">
        <v>45455</v>
      </c>
      <c r="L213" s="38"/>
      <c r="M213" s="39"/>
      <c r="N213" s="40"/>
      <c r="O213" s="35"/>
      <c r="P213" s="36"/>
      <c r="Q213" s="36"/>
      <c r="T213" s="36"/>
    </row>
    <row r="214" spans="1:20" s="37" customFormat="1" ht="18.75" customHeight="1">
      <c r="A214" s="29">
        <f t="shared" si="4"/>
        <v>199</v>
      </c>
      <c r="B214" s="30"/>
      <c r="C214" s="30" t="s">
        <v>167</v>
      </c>
      <c r="D214" s="30" t="s">
        <v>481</v>
      </c>
      <c r="E214" s="31">
        <v>42861</v>
      </c>
      <c r="F214" s="30" t="s">
        <v>482</v>
      </c>
      <c r="G214" s="30" t="s">
        <v>410</v>
      </c>
      <c r="H214" s="30" t="s">
        <v>411</v>
      </c>
      <c r="I214" s="29">
        <v>63762200</v>
      </c>
      <c r="J214" s="29">
        <v>10</v>
      </c>
      <c r="K214" s="29">
        <v>6376220</v>
      </c>
      <c r="L214" s="38" t="s">
        <v>52</v>
      </c>
      <c r="M214" s="39">
        <v>42887</v>
      </c>
      <c r="N214" s="40" t="s">
        <v>438</v>
      </c>
      <c r="O214" s="35"/>
      <c r="P214" s="36"/>
      <c r="Q214" s="36"/>
      <c r="T214" s="36"/>
    </row>
    <row r="215" spans="1:20" s="37" customFormat="1" ht="18.75" customHeight="1">
      <c r="A215" s="29">
        <f t="shared" si="4"/>
        <v>200</v>
      </c>
      <c r="B215" s="30"/>
      <c r="C215" s="30" t="s">
        <v>100</v>
      </c>
      <c r="D215" s="30" t="s">
        <v>483</v>
      </c>
      <c r="E215" s="31">
        <v>42863</v>
      </c>
      <c r="F215" s="30" t="s">
        <v>102</v>
      </c>
      <c r="G215" s="30" t="s">
        <v>103</v>
      </c>
      <c r="H215" s="30" t="s">
        <v>377</v>
      </c>
      <c r="I215" s="29">
        <v>23100000</v>
      </c>
      <c r="J215" s="29">
        <v>10</v>
      </c>
      <c r="K215" s="29">
        <v>2310000</v>
      </c>
      <c r="L215" s="38" t="s">
        <v>52</v>
      </c>
      <c r="M215" s="39">
        <v>42907</v>
      </c>
      <c r="N215" s="40" t="s">
        <v>438</v>
      </c>
      <c r="O215" s="35"/>
      <c r="P215" s="36"/>
      <c r="Q215" s="36"/>
      <c r="T215" s="36"/>
    </row>
    <row r="216" spans="1:20" s="37" customFormat="1" ht="18.75" customHeight="1">
      <c r="A216" s="29">
        <f t="shared" si="4"/>
        <v>201</v>
      </c>
      <c r="B216" s="30"/>
      <c r="C216" s="30" t="s">
        <v>162</v>
      </c>
      <c r="D216" s="30" t="s">
        <v>484</v>
      </c>
      <c r="E216" s="31">
        <v>42863</v>
      </c>
      <c r="F216" s="30" t="s">
        <v>164</v>
      </c>
      <c r="G216" s="30" t="s">
        <v>165</v>
      </c>
      <c r="H216" s="30" t="s">
        <v>166</v>
      </c>
      <c r="I216" s="29">
        <v>13495072</v>
      </c>
      <c r="J216" s="29">
        <v>10</v>
      </c>
      <c r="K216" s="29">
        <v>1349507</v>
      </c>
      <c r="L216" s="38"/>
      <c r="M216" s="39"/>
      <c r="N216" s="40"/>
      <c r="O216" s="35"/>
      <c r="P216" s="36"/>
      <c r="Q216" s="36"/>
      <c r="T216" s="36"/>
    </row>
    <row r="217" spans="1:20" s="37" customFormat="1" ht="18.75" customHeight="1">
      <c r="A217" s="29">
        <f t="shared" si="4"/>
        <v>202</v>
      </c>
      <c r="B217" s="30"/>
      <c r="C217" s="30" t="s">
        <v>453</v>
      </c>
      <c r="D217" s="30" t="s">
        <v>485</v>
      </c>
      <c r="E217" s="31">
        <v>42864</v>
      </c>
      <c r="F217" s="30" t="s">
        <v>280</v>
      </c>
      <c r="G217" s="30" t="s">
        <v>281</v>
      </c>
      <c r="H217" s="30" t="s">
        <v>452</v>
      </c>
      <c r="I217" s="29">
        <v>5373100</v>
      </c>
      <c r="J217" s="29">
        <v>10</v>
      </c>
      <c r="K217" s="29">
        <v>537310</v>
      </c>
      <c r="L217" s="38"/>
      <c r="M217" s="39"/>
      <c r="N217" s="40"/>
      <c r="O217" s="35"/>
      <c r="P217" s="36"/>
      <c r="Q217" s="36"/>
      <c r="T217" s="36"/>
    </row>
    <row r="218" spans="1:20" s="37" customFormat="1" ht="18.75" customHeight="1">
      <c r="A218" s="29">
        <f t="shared" si="4"/>
        <v>203</v>
      </c>
      <c r="B218" s="30"/>
      <c r="C218" s="30" t="s">
        <v>486</v>
      </c>
      <c r="D218" s="30" t="s">
        <v>487</v>
      </c>
      <c r="E218" s="31">
        <v>42864</v>
      </c>
      <c r="F218" s="30" t="s">
        <v>441</v>
      </c>
      <c r="G218" s="30" t="s">
        <v>442</v>
      </c>
      <c r="H218" s="30" t="s">
        <v>134</v>
      </c>
      <c r="I218" s="29">
        <v>232091</v>
      </c>
      <c r="J218" s="29">
        <v>10</v>
      </c>
      <c r="K218" s="29">
        <v>23209</v>
      </c>
      <c r="L218" s="38"/>
      <c r="M218" s="39"/>
      <c r="N218" s="40"/>
      <c r="O218" s="35"/>
      <c r="P218" s="36"/>
      <c r="Q218" s="36"/>
      <c r="T218" s="36"/>
    </row>
    <row r="219" spans="1:20" s="37" customFormat="1" ht="18.75" customHeight="1">
      <c r="A219" s="29">
        <f t="shared" si="4"/>
        <v>204</v>
      </c>
      <c r="B219" s="30"/>
      <c r="C219" s="30" t="s">
        <v>488</v>
      </c>
      <c r="D219" s="30" t="s">
        <v>489</v>
      </c>
      <c r="E219" s="31">
        <v>42864</v>
      </c>
      <c r="F219" s="30" t="s">
        <v>490</v>
      </c>
      <c r="G219" s="30" t="s">
        <v>491</v>
      </c>
      <c r="H219" s="30" t="s">
        <v>492</v>
      </c>
      <c r="I219" s="29">
        <v>12600000</v>
      </c>
      <c r="J219" s="29">
        <v>10</v>
      </c>
      <c r="K219" s="29">
        <v>1260000</v>
      </c>
      <c r="L219" s="38"/>
      <c r="M219" s="39"/>
      <c r="N219" s="40"/>
      <c r="O219" s="35"/>
      <c r="P219" s="36"/>
      <c r="Q219" s="36"/>
      <c r="T219" s="36"/>
    </row>
    <row r="220" spans="1:20" s="37" customFormat="1" ht="18.75" customHeight="1">
      <c r="A220" s="29">
        <f t="shared" si="4"/>
        <v>205</v>
      </c>
      <c r="B220" s="30"/>
      <c r="C220" s="30" t="s">
        <v>493</v>
      </c>
      <c r="D220" s="30" t="s">
        <v>494</v>
      </c>
      <c r="E220" s="31">
        <v>42865</v>
      </c>
      <c r="F220" s="30" t="s">
        <v>495</v>
      </c>
      <c r="G220" s="30" t="s">
        <v>496</v>
      </c>
      <c r="H220" s="30" t="s">
        <v>497</v>
      </c>
      <c r="I220" s="29">
        <v>18000000</v>
      </c>
      <c r="J220" s="29">
        <v>5</v>
      </c>
      <c r="K220" s="29">
        <v>900000</v>
      </c>
      <c r="L220" s="38"/>
      <c r="M220" s="39"/>
      <c r="N220" s="40"/>
      <c r="O220" s="35"/>
      <c r="P220" s="36"/>
      <c r="Q220" s="36"/>
      <c r="T220" s="36"/>
    </row>
    <row r="221" spans="1:20" s="37" customFormat="1" ht="18.75" customHeight="1">
      <c r="A221" s="29">
        <f t="shared" si="4"/>
        <v>206</v>
      </c>
      <c r="B221" s="30"/>
      <c r="C221" s="30" t="s">
        <v>93</v>
      </c>
      <c r="D221" s="30" t="s">
        <v>498</v>
      </c>
      <c r="E221" s="31">
        <v>42865</v>
      </c>
      <c r="F221" s="30" t="s">
        <v>336</v>
      </c>
      <c r="G221" s="30" t="s">
        <v>337</v>
      </c>
      <c r="H221" s="30" t="s">
        <v>338</v>
      </c>
      <c r="I221" s="29">
        <v>497563300</v>
      </c>
      <c r="J221" s="29">
        <v>10</v>
      </c>
      <c r="K221" s="29">
        <v>49756330</v>
      </c>
      <c r="L221" s="38" t="s">
        <v>52</v>
      </c>
      <c r="M221" s="39">
        <v>42887</v>
      </c>
      <c r="N221" s="40" t="s">
        <v>438</v>
      </c>
      <c r="O221" s="35"/>
      <c r="P221" s="36"/>
      <c r="Q221" s="36"/>
      <c r="T221" s="36"/>
    </row>
    <row r="222" spans="1:20" s="37" customFormat="1" ht="18.75" customHeight="1">
      <c r="A222" s="29">
        <f t="shared" si="4"/>
        <v>207</v>
      </c>
      <c r="B222" s="30"/>
      <c r="C222" s="30" t="s">
        <v>204</v>
      </c>
      <c r="D222" s="30" t="s">
        <v>499</v>
      </c>
      <c r="E222" s="31">
        <v>42866</v>
      </c>
      <c r="F222" s="30" t="s">
        <v>206</v>
      </c>
      <c r="G222" s="30" t="s">
        <v>207</v>
      </c>
      <c r="H222" s="30" t="s">
        <v>500</v>
      </c>
      <c r="I222" s="29">
        <v>64763202</v>
      </c>
      <c r="J222" s="29">
        <v>10</v>
      </c>
      <c r="K222" s="29">
        <v>6476320</v>
      </c>
      <c r="L222" s="38" t="s">
        <v>52</v>
      </c>
      <c r="M222" s="39">
        <v>42887</v>
      </c>
      <c r="N222" s="40" t="s">
        <v>438</v>
      </c>
      <c r="O222" s="35"/>
      <c r="P222" s="36"/>
      <c r="Q222" s="36"/>
      <c r="T222" s="36"/>
    </row>
    <row r="223" spans="1:20" s="37" customFormat="1" ht="18.75" customHeight="1">
      <c r="A223" s="29">
        <f t="shared" si="4"/>
        <v>208</v>
      </c>
      <c r="B223" s="30"/>
      <c r="C223" s="30" t="s">
        <v>130</v>
      </c>
      <c r="D223" s="30" t="s">
        <v>501</v>
      </c>
      <c r="E223" s="31">
        <v>42866</v>
      </c>
      <c r="F223" s="30" t="s">
        <v>333</v>
      </c>
      <c r="G223" s="30" t="s">
        <v>334</v>
      </c>
      <c r="H223" s="30" t="s">
        <v>134</v>
      </c>
      <c r="I223" s="29">
        <v>3918000</v>
      </c>
      <c r="J223" s="29">
        <v>10</v>
      </c>
      <c r="K223" s="29">
        <v>391800</v>
      </c>
      <c r="L223" s="38"/>
      <c r="M223" s="39"/>
      <c r="N223" s="40"/>
      <c r="O223" s="35"/>
      <c r="P223" s="36"/>
      <c r="Q223" s="36"/>
      <c r="T223" s="36"/>
    </row>
    <row r="224" spans="1:20" s="37" customFormat="1" ht="18.75" customHeight="1">
      <c r="A224" s="29">
        <f t="shared" si="4"/>
        <v>209</v>
      </c>
      <c r="B224" s="30"/>
      <c r="C224" s="30" t="s">
        <v>502</v>
      </c>
      <c r="D224" s="30" t="s">
        <v>503</v>
      </c>
      <c r="E224" s="31">
        <v>42866</v>
      </c>
      <c r="F224" s="30" t="s">
        <v>127</v>
      </c>
      <c r="G224" s="30" t="s">
        <v>128</v>
      </c>
      <c r="H224" s="30" t="s">
        <v>129</v>
      </c>
      <c r="I224" s="29">
        <v>454545</v>
      </c>
      <c r="J224" s="29">
        <v>10</v>
      </c>
      <c r="K224" s="29">
        <v>45455</v>
      </c>
      <c r="L224" s="38"/>
      <c r="M224" s="39"/>
      <c r="N224" s="40"/>
      <c r="O224" s="35"/>
      <c r="P224" s="36"/>
      <c r="Q224" s="36"/>
      <c r="T224" s="36"/>
    </row>
    <row r="225" spans="1:20" s="37" customFormat="1" ht="18.75" customHeight="1">
      <c r="A225" s="29">
        <f t="shared" si="4"/>
        <v>210</v>
      </c>
      <c r="B225" s="30"/>
      <c r="C225" s="30" t="s">
        <v>112</v>
      </c>
      <c r="D225" s="30" t="s">
        <v>504</v>
      </c>
      <c r="E225" s="31">
        <v>42866</v>
      </c>
      <c r="F225" s="30" t="s">
        <v>114</v>
      </c>
      <c r="G225" s="30" t="s">
        <v>115</v>
      </c>
      <c r="H225" s="30" t="s">
        <v>116</v>
      </c>
      <c r="I225" s="29">
        <v>20000</v>
      </c>
      <c r="J225" s="29">
        <v>10</v>
      </c>
      <c r="K225" s="29">
        <v>2000</v>
      </c>
      <c r="L225" s="38"/>
      <c r="M225" s="39"/>
      <c r="N225" s="40"/>
      <c r="O225" s="35"/>
      <c r="P225" s="36"/>
      <c r="Q225" s="36"/>
      <c r="T225" s="36"/>
    </row>
    <row r="226" spans="1:20" s="37" customFormat="1" ht="18.75" customHeight="1">
      <c r="A226" s="29">
        <f t="shared" si="4"/>
        <v>211</v>
      </c>
      <c r="B226" s="30"/>
      <c r="C226" s="30" t="s">
        <v>130</v>
      </c>
      <c r="D226" s="30" t="s">
        <v>505</v>
      </c>
      <c r="E226" s="31">
        <v>42867</v>
      </c>
      <c r="F226" s="30" t="s">
        <v>333</v>
      </c>
      <c r="G226" s="30" t="s">
        <v>334</v>
      </c>
      <c r="H226" s="30" t="s">
        <v>134</v>
      </c>
      <c r="I226" s="29">
        <v>437000</v>
      </c>
      <c r="J226" s="29">
        <v>10</v>
      </c>
      <c r="K226" s="29">
        <v>43700</v>
      </c>
      <c r="L226" s="38"/>
      <c r="M226" s="39"/>
      <c r="N226" s="40"/>
      <c r="O226" s="35"/>
      <c r="P226" s="36"/>
      <c r="Q226" s="36"/>
      <c r="T226" s="36"/>
    </row>
    <row r="227" spans="1:20" s="37" customFormat="1" ht="18.75" customHeight="1">
      <c r="A227" s="29">
        <f t="shared" si="4"/>
        <v>212</v>
      </c>
      <c r="B227" s="30"/>
      <c r="C227" s="30" t="s">
        <v>261</v>
      </c>
      <c r="D227" s="30" t="s">
        <v>506</v>
      </c>
      <c r="E227" s="31">
        <v>42867</v>
      </c>
      <c r="F227" s="30" t="s">
        <v>139</v>
      </c>
      <c r="G227" s="30" t="s">
        <v>140</v>
      </c>
      <c r="H227" s="30" t="s">
        <v>466</v>
      </c>
      <c r="I227" s="29">
        <v>730486</v>
      </c>
      <c r="J227" s="29">
        <v>10</v>
      </c>
      <c r="K227" s="29">
        <v>73049</v>
      </c>
      <c r="L227" s="38"/>
      <c r="M227" s="39"/>
      <c r="N227" s="40"/>
      <c r="O227" s="35"/>
      <c r="P227" s="36"/>
      <c r="Q227" s="36"/>
      <c r="T227" s="36"/>
    </row>
    <row r="228" spans="1:20" s="37" customFormat="1" ht="18.75" customHeight="1">
      <c r="A228" s="29">
        <f t="shared" si="4"/>
        <v>213</v>
      </c>
      <c r="B228" s="30"/>
      <c r="C228" s="30" t="s">
        <v>261</v>
      </c>
      <c r="D228" s="30" t="s">
        <v>507</v>
      </c>
      <c r="E228" s="31">
        <v>42867</v>
      </c>
      <c r="F228" s="30" t="s">
        <v>139</v>
      </c>
      <c r="G228" s="30" t="s">
        <v>140</v>
      </c>
      <c r="H228" s="30" t="s">
        <v>466</v>
      </c>
      <c r="I228" s="29">
        <v>44545</v>
      </c>
      <c r="J228" s="29">
        <v>10</v>
      </c>
      <c r="K228" s="29">
        <v>4455</v>
      </c>
      <c r="L228" s="38"/>
      <c r="M228" s="39"/>
      <c r="N228" s="40"/>
      <c r="O228" s="35"/>
      <c r="P228" s="36"/>
      <c r="Q228" s="36"/>
      <c r="T228" s="36"/>
    </row>
    <row r="229" spans="1:20" s="37" customFormat="1" ht="18.75" customHeight="1">
      <c r="A229" s="29">
        <f t="shared" si="4"/>
        <v>214</v>
      </c>
      <c r="B229" s="30"/>
      <c r="C229" s="30" t="s">
        <v>261</v>
      </c>
      <c r="D229" s="30" t="s">
        <v>508</v>
      </c>
      <c r="E229" s="31">
        <v>42867</v>
      </c>
      <c r="F229" s="30" t="s">
        <v>139</v>
      </c>
      <c r="G229" s="30" t="s">
        <v>140</v>
      </c>
      <c r="H229" s="30" t="s">
        <v>466</v>
      </c>
      <c r="I229" s="29">
        <v>256079</v>
      </c>
      <c r="J229" s="29">
        <v>10</v>
      </c>
      <c r="K229" s="29">
        <v>25608</v>
      </c>
      <c r="L229" s="38"/>
      <c r="M229" s="39"/>
      <c r="N229" s="40"/>
      <c r="O229" s="35"/>
      <c r="P229" s="36"/>
      <c r="Q229" s="36"/>
      <c r="T229" s="36"/>
    </row>
    <row r="230" spans="1:20" s="37" customFormat="1" ht="18.75" customHeight="1">
      <c r="A230" s="29">
        <f t="shared" si="4"/>
        <v>215</v>
      </c>
      <c r="B230" s="30"/>
      <c r="C230" s="30" t="s">
        <v>261</v>
      </c>
      <c r="D230" s="30" t="s">
        <v>509</v>
      </c>
      <c r="E230" s="31">
        <v>42867</v>
      </c>
      <c r="F230" s="30" t="s">
        <v>139</v>
      </c>
      <c r="G230" s="30" t="s">
        <v>140</v>
      </c>
      <c r="H230" s="30" t="s">
        <v>466</v>
      </c>
      <c r="I230" s="29">
        <v>634467</v>
      </c>
      <c r="J230" s="29">
        <v>10</v>
      </c>
      <c r="K230" s="29">
        <v>63447</v>
      </c>
      <c r="L230" s="38"/>
      <c r="M230" s="39"/>
      <c r="N230" s="40"/>
      <c r="O230" s="35"/>
      <c r="P230" s="36"/>
      <c r="Q230" s="36"/>
      <c r="T230" s="36"/>
    </row>
    <row r="231" spans="1:20" s="37" customFormat="1" ht="18.75" customHeight="1">
      <c r="A231" s="29">
        <f t="shared" si="4"/>
        <v>216</v>
      </c>
      <c r="B231" s="30"/>
      <c r="C231" s="30" t="s">
        <v>261</v>
      </c>
      <c r="D231" s="30" t="s">
        <v>510</v>
      </c>
      <c r="E231" s="31">
        <v>42867</v>
      </c>
      <c r="F231" s="30" t="s">
        <v>139</v>
      </c>
      <c r="G231" s="30" t="s">
        <v>140</v>
      </c>
      <c r="H231" s="30" t="s">
        <v>466</v>
      </c>
      <c r="I231" s="29">
        <v>207334</v>
      </c>
      <c r="J231" s="29">
        <v>10</v>
      </c>
      <c r="K231" s="29">
        <v>20733</v>
      </c>
      <c r="L231" s="38"/>
      <c r="M231" s="39"/>
      <c r="N231" s="40"/>
      <c r="O231" s="35"/>
      <c r="P231" s="36"/>
      <c r="Q231" s="36"/>
      <c r="T231" s="36"/>
    </row>
    <row r="232" spans="1:20" s="37" customFormat="1" ht="18.75" customHeight="1">
      <c r="A232" s="29">
        <f t="shared" si="4"/>
        <v>217</v>
      </c>
      <c r="B232" s="30"/>
      <c r="C232" s="30" t="s">
        <v>261</v>
      </c>
      <c r="D232" s="30" t="s">
        <v>511</v>
      </c>
      <c r="E232" s="31">
        <v>42867</v>
      </c>
      <c r="F232" s="30" t="s">
        <v>139</v>
      </c>
      <c r="G232" s="30" t="s">
        <v>140</v>
      </c>
      <c r="H232" s="30" t="s">
        <v>466</v>
      </c>
      <c r="I232" s="29">
        <v>2353</v>
      </c>
      <c r="J232" s="29">
        <v>10</v>
      </c>
      <c r="K232" s="29">
        <v>235</v>
      </c>
      <c r="L232" s="38"/>
      <c r="M232" s="39"/>
      <c r="N232" s="40"/>
      <c r="O232" s="35"/>
      <c r="P232" s="36"/>
      <c r="Q232" s="36"/>
      <c r="T232" s="36"/>
    </row>
    <row r="233" spans="1:20" s="37" customFormat="1" ht="18.75" customHeight="1">
      <c r="A233" s="29">
        <f t="shared" si="4"/>
        <v>218</v>
      </c>
      <c r="B233" s="30"/>
      <c r="C233" s="30" t="s">
        <v>93</v>
      </c>
      <c r="D233" s="30" t="s">
        <v>512</v>
      </c>
      <c r="E233" s="31">
        <v>42868</v>
      </c>
      <c r="F233" s="30" t="s">
        <v>49</v>
      </c>
      <c r="G233" s="30" t="s">
        <v>50</v>
      </c>
      <c r="H233" s="30" t="s">
        <v>51</v>
      </c>
      <c r="I233" s="29">
        <v>130240000</v>
      </c>
      <c r="J233" s="29">
        <v>10</v>
      </c>
      <c r="K233" s="29">
        <v>13024000</v>
      </c>
      <c r="L233" s="38" t="s">
        <v>52</v>
      </c>
      <c r="M233" s="39">
        <v>42935</v>
      </c>
      <c r="N233" s="40" t="s">
        <v>438</v>
      </c>
      <c r="O233" s="35"/>
      <c r="P233" s="36"/>
      <c r="Q233" s="36"/>
      <c r="T233" s="36"/>
    </row>
    <row r="234" spans="1:20" s="37" customFormat="1" ht="18.75" customHeight="1">
      <c r="A234" s="29">
        <f t="shared" si="4"/>
        <v>219</v>
      </c>
      <c r="B234" s="30"/>
      <c r="C234" s="30" t="s">
        <v>513</v>
      </c>
      <c r="D234" s="30" t="s">
        <v>514</v>
      </c>
      <c r="E234" s="31">
        <v>42869</v>
      </c>
      <c r="F234" s="30" t="s">
        <v>515</v>
      </c>
      <c r="G234" s="30" t="s">
        <v>516</v>
      </c>
      <c r="H234" s="30" t="s">
        <v>134</v>
      </c>
      <c r="I234" s="29">
        <v>2309475</v>
      </c>
      <c r="J234" s="29">
        <v>10</v>
      </c>
      <c r="K234" s="29">
        <v>230948</v>
      </c>
      <c r="L234" s="38"/>
      <c r="M234" s="39"/>
      <c r="N234" s="40"/>
      <c r="O234" s="35"/>
      <c r="P234" s="36"/>
      <c r="Q234" s="36"/>
      <c r="T234" s="36"/>
    </row>
    <row r="235" spans="1:20" s="37" customFormat="1" ht="18.75" customHeight="1">
      <c r="A235" s="29">
        <f t="shared" si="4"/>
        <v>220</v>
      </c>
      <c r="B235" s="30"/>
      <c r="C235" s="30" t="s">
        <v>93</v>
      </c>
      <c r="D235" s="30" t="s">
        <v>517</v>
      </c>
      <c r="E235" s="31">
        <v>42870</v>
      </c>
      <c r="F235" s="30" t="s">
        <v>258</v>
      </c>
      <c r="G235" s="30" t="s">
        <v>259</v>
      </c>
      <c r="H235" s="30" t="s">
        <v>518</v>
      </c>
      <c r="I235" s="29">
        <v>66606460</v>
      </c>
      <c r="J235" s="29">
        <v>10</v>
      </c>
      <c r="K235" s="29">
        <v>6660646</v>
      </c>
      <c r="L235" s="38" t="s">
        <v>52</v>
      </c>
      <c r="M235" s="39">
        <v>42879</v>
      </c>
      <c r="N235" s="40" t="s">
        <v>438</v>
      </c>
      <c r="O235" s="35"/>
      <c r="P235" s="36"/>
      <c r="Q235" s="36"/>
      <c r="T235" s="36"/>
    </row>
    <row r="236" spans="1:20" s="37" customFormat="1" ht="18.75" customHeight="1">
      <c r="A236" s="29">
        <f t="shared" si="4"/>
        <v>221</v>
      </c>
      <c r="B236" s="30"/>
      <c r="C236" s="30" t="s">
        <v>502</v>
      </c>
      <c r="D236" s="30" t="s">
        <v>519</v>
      </c>
      <c r="E236" s="31">
        <v>42870</v>
      </c>
      <c r="F236" s="30" t="s">
        <v>127</v>
      </c>
      <c r="G236" s="30" t="s">
        <v>128</v>
      </c>
      <c r="H236" s="30" t="s">
        <v>129</v>
      </c>
      <c r="I236" s="29">
        <v>454545</v>
      </c>
      <c r="J236" s="29">
        <v>10</v>
      </c>
      <c r="K236" s="29">
        <v>45455</v>
      </c>
      <c r="L236" s="38"/>
      <c r="M236" s="39"/>
      <c r="N236" s="40"/>
      <c r="O236" s="35"/>
      <c r="P236" s="36"/>
      <c r="Q236" s="36"/>
      <c r="T236" s="36"/>
    </row>
    <row r="237" spans="1:20" s="37" customFormat="1" ht="18.75" customHeight="1">
      <c r="A237" s="29">
        <f t="shared" si="4"/>
        <v>222</v>
      </c>
      <c r="B237" s="30"/>
      <c r="C237" s="30" t="s">
        <v>69</v>
      </c>
      <c r="D237" s="30" t="s">
        <v>520</v>
      </c>
      <c r="E237" s="31">
        <v>42871</v>
      </c>
      <c r="F237" s="30" t="s">
        <v>71</v>
      </c>
      <c r="G237" s="30" t="s">
        <v>72</v>
      </c>
      <c r="H237" s="30" t="s">
        <v>40</v>
      </c>
      <c r="I237" s="29">
        <v>1200000</v>
      </c>
      <c r="J237" s="29">
        <v>10</v>
      </c>
      <c r="K237" s="29">
        <v>120000</v>
      </c>
      <c r="L237" s="38"/>
      <c r="M237" s="39"/>
      <c r="N237" s="40"/>
      <c r="O237" s="35"/>
      <c r="P237" s="36"/>
      <c r="Q237" s="36"/>
      <c r="T237" s="36"/>
    </row>
    <row r="238" spans="1:20" s="37" customFormat="1" ht="18.75" customHeight="1">
      <c r="A238" s="29">
        <f t="shared" si="4"/>
        <v>223</v>
      </c>
      <c r="B238" s="30"/>
      <c r="C238" s="30" t="s">
        <v>95</v>
      </c>
      <c r="D238" s="30" t="s">
        <v>521</v>
      </c>
      <c r="E238" s="31">
        <v>42875</v>
      </c>
      <c r="F238" s="30" t="s">
        <v>97</v>
      </c>
      <c r="G238" s="30" t="s">
        <v>98</v>
      </c>
      <c r="H238" s="30" t="s">
        <v>99</v>
      </c>
      <c r="I238" s="29">
        <v>43200000</v>
      </c>
      <c r="J238" s="29">
        <v>10</v>
      </c>
      <c r="K238" s="29">
        <v>4320000</v>
      </c>
      <c r="L238" s="38" t="s">
        <v>52</v>
      </c>
      <c r="M238" s="39">
        <v>42907</v>
      </c>
      <c r="N238" s="40" t="s">
        <v>438</v>
      </c>
      <c r="O238" s="35"/>
      <c r="P238" s="36"/>
      <c r="Q238" s="36"/>
      <c r="T238" s="36"/>
    </row>
    <row r="239" spans="1:20" s="37" customFormat="1" ht="18.75" customHeight="1">
      <c r="A239" s="29">
        <f t="shared" si="4"/>
        <v>224</v>
      </c>
      <c r="B239" s="30"/>
      <c r="C239" s="30" t="s">
        <v>119</v>
      </c>
      <c r="D239" s="30" t="s">
        <v>151</v>
      </c>
      <c r="E239" s="31">
        <v>42875</v>
      </c>
      <c r="F239" s="30" t="s">
        <v>121</v>
      </c>
      <c r="G239" s="30" t="s">
        <v>122</v>
      </c>
      <c r="H239" s="30" t="s">
        <v>212</v>
      </c>
      <c r="I239" s="29">
        <v>451933517</v>
      </c>
      <c r="J239" s="29">
        <v>10</v>
      </c>
      <c r="K239" s="29">
        <v>45193351</v>
      </c>
      <c r="L239" s="38" t="s">
        <v>52</v>
      </c>
      <c r="M239" s="39">
        <v>42887</v>
      </c>
      <c r="N239" s="40" t="s">
        <v>438</v>
      </c>
      <c r="O239" s="35"/>
      <c r="P239" s="36"/>
      <c r="Q239" s="36"/>
      <c r="T239" s="36"/>
    </row>
    <row r="240" spans="1:20" s="37" customFormat="1" ht="18.75" customHeight="1">
      <c r="A240" s="29">
        <f t="shared" si="4"/>
        <v>225</v>
      </c>
      <c r="B240" s="30"/>
      <c r="C240" s="30" t="s">
        <v>93</v>
      </c>
      <c r="D240" s="30" t="s">
        <v>522</v>
      </c>
      <c r="E240" s="31">
        <v>42878</v>
      </c>
      <c r="F240" s="30" t="s">
        <v>49</v>
      </c>
      <c r="G240" s="30" t="s">
        <v>50</v>
      </c>
      <c r="H240" s="30" t="s">
        <v>51</v>
      </c>
      <c r="I240" s="29">
        <v>115960000</v>
      </c>
      <c r="J240" s="29">
        <v>10</v>
      </c>
      <c r="K240" s="29">
        <v>11596000</v>
      </c>
      <c r="L240" s="38" t="s">
        <v>52</v>
      </c>
      <c r="M240" s="39">
        <v>42935</v>
      </c>
      <c r="N240" s="40" t="s">
        <v>438</v>
      </c>
      <c r="O240" s="35"/>
      <c r="P240" s="36"/>
      <c r="Q240" s="36"/>
      <c r="T240" s="36"/>
    </row>
    <row r="241" spans="1:20" s="37" customFormat="1" ht="18.75" customHeight="1">
      <c r="A241" s="29">
        <f t="shared" si="4"/>
        <v>226</v>
      </c>
      <c r="B241" s="30"/>
      <c r="C241" s="30" t="s">
        <v>162</v>
      </c>
      <c r="D241" s="30" t="s">
        <v>523</v>
      </c>
      <c r="E241" s="31">
        <v>42878</v>
      </c>
      <c r="F241" s="30" t="s">
        <v>164</v>
      </c>
      <c r="G241" s="30" t="s">
        <v>165</v>
      </c>
      <c r="H241" s="30" t="s">
        <v>166</v>
      </c>
      <c r="I241" s="29">
        <v>20383776</v>
      </c>
      <c r="J241" s="29">
        <v>10</v>
      </c>
      <c r="K241" s="29">
        <v>2038378</v>
      </c>
      <c r="L241" s="38" t="s">
        <v>52</v>
      </c>
      <c r="M241" s="39">
        <v>42907</v>
      </c>
      <c r="N241" s="40" t="s">
        <v>438</v>
      </c>
      <c r="O241" s="35"/>
      <c r="P241" s="36"/>
      <c r="Q241" s="36"/>
      <c r="T241" s="36"/>
    </row>
    <row r="242" spans="1:20" s="37" customFormat="1" ht="18.75" customHeight="1">
      <c r="A242" s="29">
        <f t="shared" si="4"/>
        <v>227</v>
      </c>
      <c r="B242" s="30"/>
      <c r="C242" s="30" t="s">
        <v>162</v>
      </c>
      <c r="D242" s="30" t="s">
        <v>524</v>
      </c>
      <c r="E242" s="31">
        <v>42878</v>
      </c>
      <c r="F242" s="30" t="s">
        <v>164</v>
      </c>
      <c r="G242" s="30" t="s">
        <v>165</v>
      </c>
      <c r="H242" s="30" t="s">
        <v>166</v>
      </c>
      <c r="I242" s="29">
        <v>20383776</v>
      </c>
      <c r="J242" s="29">
        <v>10</v>
      </c>
      <c r="K242" s="29">
        <v>2038378</v>
      </c>
      <c r="L242" s="38" t="s">
        <v>52</v>
      </c>
      <c r="M242" s="39">
        <v>42907</v>
      </c>
      <c r="N242" s="40" t="s">
        <v>438</v>
      </c>
      <c r="O242" s="35"/>
      <c r="P242" s="36"/>
      <c r="Q242" s="36"/>
      <c r="T242" s="36"/>
    </row>
    <row r="243" spans="1:20" s="37" customFormat="1" ht="18.75" customHeight="1">
      <c r="A243" s="29">
        <f t="shared" si="4"/>
        <v>228</v>
      </c>
      <c r="B243" s="30"/>
      <c r="C243" s="30" t="s">
        <v>502</v>
      </c>
      <c r="D243" s="30" t="s">
        <v>525</v>
      </c>
      <c r="E243" s="31">
        <v>42879</v>
      </c>
      <c r="F243" s="30" t="s">
        <v>362</v>
      </c>
      <c r="G243" s="30" t="s">
        <v>363</v>
      </c>
      <c r="H243" s="30" t="s">
        <v>129</v>
      </c>
      <c r="I243" s="29">
        <v>454545</v>
      </c>
      <c r="J243" s="29">
        <v>10</v>
      </c>
      <c r="K243" s="29">
        <v>45455</v>
      </c>
      <c r="L243" s="38"/>
      <c r="M243" s="39"/>
      <c r="N243" s="40"/>
      <c r="O243" s="35"/>
      <c r="P243" s="36"/>
      <c r="Q243" s="36"/>
      <c r="T243" s="36"/>
    </row>
    <row r="244" spans="1:20" s="37" customFormat="1" ht="18.75" customHeight="1">
      <c r="A244" s="29">
        <f t="shared" si="4"/>
        <v>229</v>
      </c>
      <c r="B244" s="30"/>
      <c r="C244" s="30" t="s">
        <v>112</v>
      </c>
      <c r="D244" s="30" t="s">
        <v>526</v>
      </c>
      <c r="E244" s="31">
        <v>42879</v>
      </c>
      <c r="F244" s="30" t="s">
        <v>114</v>
      </c>
      <c r="G244" s="30" t="s">
        <v>115</v>
      </c>
      <c r="H244" s="30" t="s">
        <v>116</v>
      </c>
      <c r="I244" s="29">
        <v>20000</v>
      </c>
      <c r="J244" s="29">
        <v>10</v>
      </c>
      <c r="K244" s="29">
        <v>2000</v>
      </c>
      <c r="L244" s="38"/>
      <c r="M244" s="39"/>
      <c r="N244" s="40"/>
      <c r="O244" s="35"/>
      <c r="P244" s="36"/>
      <c r="Q244" s="36"/>
      <c r="T244" s="36"/>
    </row>
    <row r="245" spans="1:20" s="37" customFormat="1" ht="18.75" customHeight="1">
      <c r="A245" s="29">
        <f t="shared" si="4"/>
        <v>230</v>
      </c>
      <c r="B245" s="30"/>
      <c r="C245" s="30" t="s">
        <v>112</v>
      </c>
      <c r="D245" s="30" t="s">
        <v>527</v>
      </c>
      <c r="E245" s="31">
        <v>42879</v>
      </c>
      <c r="F245" s="30" t="s">
        <v>114</v>
      </c>
      <c r="G245" s="30" t="s">
        <v>115</v>
      </c>
      <c r="H245" s="30" t="s">
        <v>116</v>
      </c>
      <c r="I245" s="29">
        <v>20000</v>
      </c>
      <c r="J245" s="29">
        <v>10</v>
      </c>
      <c r="K245" s="29">
        <v>2000</v>
      </c>
      <c r="L245" s="38"/>
      <c r="M245" s="39"/>
      <c r="N245" s="40"/>
      <c r="O245" s="35"/>
      <c r="P245" s="36"/>
      <c r="Q245" s="36"/>
      <c r="T245" s="36"/>
    </row>
    <row r="246" spans="1:20" s="37" customFormat="1" ht="18.75" customHeight="1">
      <c r="A246" s="29">
        <f t="shared" si="4"/>
        <v>231</v>
      </c>
      <c r="B246" s="30"/>
      <c r="C246" s="30" t="s">
        <v>112</v>
      </c>
      <c r="D246" s="30" t="s">
        <v>528</v>
      </c>
      <c r="E246" s="31">
        <v>42879</v>
      </c>
      <c r="F246" s="30" t="s">
        <v>114</v>
      </c>
      <c r="G246" s="30" t="s">
        <v>115</v>
      </c>
      <c r="H246" s="30" t="s">
        <v>116</v>
      </c>
      <c r="I246" s="29">
        <v>20000</v>
      </c>
      <c r="J246" s="29">
        <v>10</v>
      </c>
      <c r="K246" s="29">
        <v>2000</v>
      </c>
      <c r="L246" s="38"/>
      <c r="M246" s="39"/>
      <c r="N246" s="40"/>
      <c r="O246" s="35"/>
      <c r="P246" s="36"/>
      <c r="Q246" s="36"/>
      <c r="T246" s="36"/>
    </row>
    <row r="247" spans="1:20" s="37" customFormat="1" ht="18.75" customHeight="1">
      <c r="A247" s="29">
        <f t="shared" si="4"/>
        <v>232</v>
      </c>
      <c r="B247" s="30"/>
      <c r="C247" s="30" t="s">
        <v>112</v>
      </c>
      <c r="D247" s="30" t="s">
        <v>529</v>
      </c>
      <c r="E247" s="31">
        <v>42879</v>
      </c>
      <c r="F247" s="30" t="s">
        <v>114</v>
      </c>
      <c r="G247" s="30" t="s">
        <v>115</v>
      </c>
      <c r="H247" s="30" t="s">
        <v>116</v>
      </c>
      <c r="I247" s="29">
        <v>20000</v>
      </c>
      <c r="J247" s="29">
        <v>10</v>
      </c>
      <c r="K247" s="29">
        <v>2000</v>
      </c>
      <c r="L247" s="38"/>
      <c r="M247" s="39"/>
      <c r="N247" s="40"/>
      <c r="O247" s="35"/>
      <c r="P247" s="36"/>
      <c r="Q247" s="36"/>
      <c r="T247" s="36"/>
    </row>
    <row r="248" spans="1:20" s="37" customFormat="1" ht="18.75" customHeight="1">
      <c r="A248" s="29">
        <f t="shared" si="4"/>
        <v>233</v>
      </c>
      <c r="B248" s="30"/>
      <c r="C248" s="30" t="s">
        <v>112</v>
      </c>
      <c r="D248" s="30" t="s">
        <v>530</v>
      </c>
      <c r="E248" s="31">
        <v>42879</v>
      </c>
      <c r="F248" s="30" t="s">
        <v>114</v>
      </c>
      <c r="G248" s="30" t="s">
        <v>115</v>
      </c>
      <c r="H248" s="30" t="s">
        <v>116</v>
      </c>
      <c r="I248" s="29">
        <v>20000</v>
      </c>
      <c r="J248" s="29">
        <v>10</v>
      </c>
      <c r="K248" s="29">
        <v>2000</v>
      </c>
      <c r="L248" s="38"/>
      <c r="M248" s="39"/>
      <c r="N248" s="40"/>
      <c r="O248" s="35"/>
      <c r="P248" s="36"/>
      <c r="Q248" s="36"/>
      <c r="T248" s="36"/>
    </row>
    <row r="249" spans="1:20" s="37" customFormat="1" ht="18.75" customHeight="1">
      <c r="A249" s="29">
        <f t="shared" si="4"/>
        <v>234</v>
      </c>
      <c r="B249" s="30"/>
      <c r="C249" s="30" t="s">
        <v>112</v>
      </c>
      <c r="D249" s="30" t="s">
        <v>531</v>
      </c>
      <c r="E249" s="31">
        <v>42879</v>
      </c>
      <c r="F249" s="30" t="s">
        <v>114</v>
      </c>
      <c r="G249" s="30" t="s">
        <v>115</v>
      </c>
      <c r="H249" s="30" t="s">
        <v>116</v>
      </c>
      <c r="I249" s="29">
        <v>20000</v>
      </c>
      <c r="J249" s="29">
        <v>10</v>
      </c>
      <c r="K249" s="29">
        <v>2000</v>
      </c>
      <c r="L249" s="38"/>
      <c r="M249" s="39"/>
      <c r="N249" s="40"/>
      <c r="O249" s="35"/>
      <c r="P249" s="36"/>
      <c r="Q249" s="36"/>
      <c r="T249" s="36"/>
    </row>
    <row r="250" spans="1:20" s="37" customFormat="1" ht="18.75" customHeight="1">
      <c r="A250" s="29">
        <f t="shared" si="4"/>
        <v>235</v>
      </c>
      <c r="B250" s="30"/>
      <c r="C250" s="30" t="s">
        <v>112</v>
      </c>
      <c r="D250" s="30" t="s">
        <v>532</v>
      </c>
      <c r="E250" s="31">
        <v>42879</v>
      </c>
      <c r="F250" s="30" t="s">
        <v>114</v>
      </c>
      <c r="G250" s="30" t="s">
        <v>115</v>
      </c>
      <c r="H250" s="30" t="s">
        <v>116</v>
      </c>
      <c r="I250" s="29">
        <v>20000</v>
      </c>
      <c r="J250" s="29">
        <v>10</v>
      </c>
      <c r="K250" s="29">
        <v>2000</v>
      </c>
      <c r="L250" s="38"/>
      <c r="M250" s="39"/>
      <c r="N250" s="40"/>
      <c r="O250" s="35"/>
      <c r="P250" s="36"/>
      <c r="Q250" s="36"/>
      <c r="T250" s="36"/>
    </row>
    <row r="251" spans="1:20" s="37" customFormat="1" ht="18.75" customHeight="1">
      <c r="A251" s="29">
        <f t="shared" si="4"/>
        <v>236</v>
      </c>
      <c r="B251" s="30"/>
      <c r="C251" s="30" t="s">
        <v>112</v>
      </c>
      <c r="D251" s="30" t="s">
        <v>533</v>
      </c>
      <c r="E251" s="31">
        <v>42879</v>
      </c>
      <c r="F251" s="30" t="s">
        <v>114</v>
      </c>
      <c r="G251" s="30" t="s">
        <v>115</v>
      </c>
      <c r="H251" s="30" t="s">
        <v>116</v>
      </c>
      <c r="I251" s="29">
        <v>10000</v>
      </c>
      <c r="J251" s="29">
        <v>10</v>
      </c>
      <c r="K251" s="29">
        <v>1000</v>
      </c>
      <c r="L251" s="38"/>
      <c r="M251" s="39"/>
      <c r="N251" s="40"/>
      <c r="O251" s="35"/>
      <c r="P251" s="36"/>
      <c r="Q251" s="36"/>
      <c r="T251" s="36"/>
    </row>
    <row r="252" spans="1:20" s="37" customFormat="1" ht="18.75" customHeight="1">
      <c r="A252" s="29">
        <f t="shared" si="4"/>
        <v>237</v>
      </c>
      <c r="B252" s="30"/>
      <c r="C252" s="30" t="s">
        <v>112</v>
      </c>
      <c r="D252" s="30" t="s">
        <v>534</v>
      </c>
      <c r="E252" s="31">
        <v>42879</v>
      </c>
      <c r="F252" s="30" t="s">
        <v>114</v>
      </c>
      <c r="G252" s="30" t="s">
        <v>115</v>
      </c>
      <c r="H252" s="30" t="s">
        <v>116</v>
      </c>
      <c r="I252" s="29">
        <v>20000</v>
      </c>
      <c r="J252" s="29">
        <v>10</v>
      </c>
      <c r="K252" s="29">
        <v>2000</v>
      </c>
      <c r="L252" s="38"/>
      <c r="M252" s="39"/>
      <c r="N252" s="40"/>
      <c r="O252" s="35"/>
      <c r="P252" s="36"/>
      <c r="Q252" s="36"/>
      <c r="T252" s="36"/>
    </row>
    <row r="253" spans="1:20" s="37" customFormat="1" ht="18.75" customHeight="1">
      <c r="A253" s="29">
        <f t="shared" si="4"/>
        <v>238</v>
      </c>
      <c r="B253" s="30"/>
      <c r="C253" s="30" t="s">
        <v>112</v>
      </c>
      <c r="D253" s="30" t="s">
        <v>535</v>
      </c>
      <c r="E253" s="31">
        <v>42879</v>
      </c>
      <c r="F253" s="30" t="s">
        <v>114</v>
      </c>
      <c r="G253" s="30" t="s">
        <v>115</v>
      </c>
      <c r="H253" s="30" t="s">
        <v>116</v>
      </c>
      <c r="I253" s="29">
        <v>20000</v>
      </c>
      <c r="J253" s="29">
        <v>10</v>
      </c>
      <c r="K253" s="29">
        <v>2000</v>
      </c>
      <c r="L253" s="38"/>
      <c r="M253" s="39"/>
      <c r="N253" s="40"/>
      <c r="O253" s="35"/>
      <c r="P253" s="36"/>
      <c r="Q253" s="36"/>
      <c r="T253" s="36"/>
    </row>
    <row r="254" spans="1:20" s="37" customFormat="1" ht="18.75" customHeight="1">
      <c r="A254" s="29">
        <f t="shared" si="4"/>
        <v>239</v>
      </c>
      <c r="B254" s="30"/>
      <c r="C254" s="30" t="s">
        <v>194</v>
      </c>
      <c r="D254" s="30" t="s">
        <v>536</v>
      </c>
      <c r="E254" s="31">
        <v>42880</v>
      </c>
      <c r="F254" s="30" t="s">
        <v>196</v>
      </c>
      <c r="G254" s="30" t="s">
        <v>197</v>
      </c>
      <c r="H254" s="30" t="s">
        <v>402</v>
      </c>
      <c r="I254" s="29">
        <v>1195365</v>
      </c>
      <c r="J254" s="29">
        <v>10</v>
      </c>
      <c r="K254" s="29">
        <v>119536</v>
      </c>
      <c r="L254" s="38"/>
      <c r="M254" s="39"/>
      <c r="N254" s="40"/>
      <c r="O254" s="35"/>
      <c r="P254" s="36"/>
      <c r="Q254" s="36"/>
      <c r="T254" s="36"/>
    </row>
    <row r="255" spans="1:20" s="37" customFormat="1" ht="18.75" customHeight="1">
      <c r="A255" s="29">
        <f t="shared" si="4"/>
        <v>240</v>
      </c>
      <c r="B255" s="30"/>
      <c r="C255" s="30" t="s">
        <v>100</v>
      </c>
      <c r="D255" s="30" t="s">
        <v>108</v>
      </c>
      <c r="E255" s="31">
        <v>42880</v>
      </c>
      <c r="F255" s="30" t="s">
        <v>102</v>
      </c>
      <c r="G255" s="30" t="s">
        <v>103</v>
      </c>
      <c r="H255" s="30" t="s">
        <v>377</v>
      </c>
      <c r="I255" s="29">
        <v>10000000</v>
      </c>
      <c r="J255" s="29">
        <v>10</v>
      </c>
      <c r="K255" s="29">
        <v>1000000</v>
      </c>
      <c r="L255" s="38"/>
      <c r="M255" s="39"/>
      <c r="N255" s="40"/>
      <c r="O255" s="35"/>
      <c r="P255" s="36"/>
      <c r="Q255" s="36"/>
      <c r="T255" s="36"/>
    </row>
    <row r="256" spans="1:20" s="37" customFormat="1" ht="18.75" customHeight="1">
      <c r="A256" s="29">
        <f t="shared" si="4"/>
        <v>241</v>
      </c>
      <c r="B256" s="30"/>
      <c r="C256" s="30" t="s">
        <v>231</v>
      </c>
      <c r="D256" s="30" t="s">
        <v>537</v>
      </c>
      <c r="E256" s="31">
        <v>42880</v>
      </c>
      <c r="F256" s="30" t="s">
        <v>233</v>
      </c>
      <c r="G256" s="30" t="s">
        <v>234</v>
      </c>
      <c r="H256" s="30" t="s">
        <v>235</v>
      </c>
      <c r="I256" s="29">
        <v>67328450</v>
      </c>
      <c r="J256" s="29">
        <v>10</v>
      </c>
      <c r="K256" s="29">
        <v>6732845</v>
      </c>
      <c r="L256" s="38" t="s">
        <v>52</v>
      </c>
      <c r="M256" s="39">
        <v>42907</v>
      </c>
      <c r="N256" s="40" t="s">
        <v>438</v>
      </c>
      <c r="O256" s="35"/>
      <c r="P256" s="36"/>
      <c r="Q256" s="36"/>
      <c r="T256" s="36"/>
    </row>
    <row r="257" spans="1:20" s="37" customFormat="1" ht="18.75" customHeight="1">
      <c r="A257" s="29">
        <f t="shared" si="4"/>
        <v>242</v>
      </c>
      <c r="B257" s="30"/>
      <c r="C257" s="30" t="s">
        <v>231</v>
      </c>
      <c r="D257" s="30" t="s">
        <v>538</v>
      </c>
      <c r="E257" s="31">
        <v>42880</v>
      </c>
      <c r="F257" s="30" t="s">
        <v>233</v>
      </c>
      <c r="G257" s="30" t="s">
        <v>234</v>
      </c>
      <c r="H257" s="30" t="s">
        <v>235</v>
      </c>
      <c r="I257" s="29">
        <v>19401500</v>
      </c>
      <c r="J257" s="29">
        <v>10</v>
      </c>
      <c r="K257" s="29">
        <v>1940150</v>
      </c>
      <c r="L257" s="38" t="s">
        <v>52</v>
      </c>
      <c r="M257" s="39">
        <v>42907</v>
      </c>
      <c r="N257" s="40" t="s">
        <v>438</v>
      </c>
      <c r="O257" s="35"/>
      <c r="P257" s="36"/>
      <c r="Q257" s="36"/>
      <c r="T257" s="36"/>
    </row>
    <row r="258" spans="1:20" s="37" customFormat="1" ht="18.75" customHeight="1">
      <c r="A258" s="29">
        <f t="shared" si="4"/>
        <v>243</v>
      </c>
      <c r="B258" s="30"/>
      <c r="C258" s="30" t="s">
        <v>119</v>
      </c>
      <c r="D258" s="30" t="s">
        <v>539</v>
      </c>
      <c r="E258" s="31">
        <v>42881</v>
      </c>
      <c r="F258" s="30" t="s">
        <v>121</v>
      </c>
      <c r="G258" s="30" t="s">
        <v>122</v>
      </c>
      <c r="H258" s="30" t="s">
        <v>540</v>
      </c>
      <c r="I258" s="29">
        <v>303816013</v>
      </c>
      <c r="J258" s="29">
        <v>10</v>
      </c>
      <c r="K258" s="29">
        <v>30381601</v>
      </c>
      <c r="L258" s="38" t="s">
        <v>52</v>
      </c>
      <c r="M258" s="39">
        <v>42887</v>
      </c>
      <c r="N258" s="40" t="s">
        <v>438</v>
      </c>
      <c r="O258" s="35"/>
      <c r="P258" s="36"/>
      <c r="Q258" s="36"/>
      <c r="T258" s="36"/>
    </row>
    <row r="259" spans="1:20" s="37" customFormat="1" ht="18.75" customHeight="1">
      <c r="A259" s="29">
        <f t="shared" si="4"/>
        <v>244</v>
      </c>
      <c r="B259" s="30"/>
      <c r="C259" s="30" t="s">
        <v>119</v>
      </c>
      <c r="D259" s="30" t="s">
        <v>541</v>
      </c>
      <c r="E259" s="31">
        <v>42881</v>
      </c>
      <c r="F259" s="30" t="s">
        <v>121</v>
      </c>
      <c r="G259" s="30" t="s">
        <v>122</v>
      </c>
      <c r="H259" s="30" t="s">
        <v>542</v>
      </c>
      <c r="I259" s="29">
        <v>271011650</v>
      </c>
      <c r="J259" s="29">
        <v>10</v>
      </c>
      <c r="K259" s="29">
        <v>27101165</v>
      </c>
      <c r="L259" s="38" t="s">
        <v>52</v>
      </c>
      <c r="M259" s="39">
        <v>42887</v>
      </c>
      <c r="N259" s="40" t="s">
        <v>438</v>
      </c>
      <c r="O259" s="35"/>
      <c r="P259" s="36"/>
      <c r="Q259" s="36"/>
      <c r="T259" s="36"/>
    </row>
    <row r="260" spans="1:20" s="37" customFormat="1" ht="18.75" customHeight="1">
      <c r="A260" s="29">
        <f t="shared" ref="A260:A276" si="5">+A259+1</f>
        <v>245</v>
      </c>
      <c r="B260" s="30"/>
      <c r="C260" s="30" t="s">
        <v>130</v>
      </c>
      <c r="D260" s="30" t="s">
        <v>543</v>
      </c>
      <c r="E260" s="31">
        <v>42882</v>
      </c>
      <c r="F260" s="30" t="s">
        <v>333</v>
      </c>
      <c r="G260" s="30" t="s">
        <v>334</v>
      </c>
      <c r="H260" s="30" t="s">
        <v>134</v>
      </c>
      <c r="I260" s="29">
        <v>1028000</v>
      </c>
      <c r="J260" s="29">
        <v>10</v>
      </c>
      <c r="K260" s="29">
        <v>102800</v>
      </c>
      <c r="L260" s="38"/>
      <c r="M260" s="39"/>
      <c r="N260" s="40"/>
      <c r="O260" s="35"/>
      <c r="P260" s="36"/>
      <c r="Q260" s="36"/>
      <c r="T260" s="36"/>
    </row>
    <row r="261" spans="1:20" s="37" customFormat="1" ht="18.75" customHeight="1">
      <c r="A261" s="29">
        <f t="shared" si="5"/>
        <v>246</v>
      </c>
      <c r="B261" s="30"/>
      <c r="C261" s="30" t="s">
        <v>544</v>
      </c>
      <c r="D261" s="30" t="s">
        <v>545</v>
      </c>
      <c r="E261" s="31">
        <v>42883</v>
      </c>
      <c r="F261" s="30" t="s">
        <v>546</v>
      </c>
      <c r="G261" s="30" t="s">
        <v>547</v>
      </c>
      <c r="H261" s="30" t="s">
        <v>134</v>
      </c>
      <c r="I261" s="29">
        <v>1477000</v>
      </c>
      <c r="J261" s="29">
        <v>10</v>
      </c>
      <c r="K261" s="29">
        <v>147700</v>
      </c>
      <c r="L261" s="38"/>
      <c r="M261" s="39"/>
      <c r="N261" s="40"/>
      <c r="O261" s="35"/>
      <c r="P261" s="36"/>
      <c r="Q261" s="36"/>
      <c r="T261" s="36"/>
    </row>
    <row r="262" spans="1:20" s="37" customFormat="1" ht="18.75" customHeight="1">
      <c r="A262" s="29">
        <f t="shared" si="5"/>
        <v>247</v>
      </c>
      <c r="B262" s="30"/>
      <c r="C262" s="30" t="s">
        <v>112</v>
      </c>
      <c r="D262" s="30" t="s">
        <v>548</v>
      </c>
      <c r="E262" s="31">
        <v>42884</v>
      </c>
      <c r="F262" s="30" t="s">
        <v>114</v>
      </c>
      <c r="G262" s="30" t="s">
        <v>115</v>
      </c>
      <c r="H262" s="30" t="s">
        <v>116</v>
      </c>
      <c r="I262" s="29">
        <v>227000</v>
      </c>
      <c r="J262" s="29">
        <v>10</v>
      </c>
      <c r="K262" s="29">
        <v>22700</v>
      </c>
      <c r="L262" s="38"/>
      <c r="M262" s="39"/>
      <c r="N262" s="40"/>
      <c r="O262" s="35"/>
      <c r="P262" s="36"/>
      <c r="Q262" s="36"/>
      <c r="T262" s="36"/>
    </row>
    <row r="263" spans="1:20" s="37" customFormat="1" ht="18.75" customHeight="1">
      <c r="A263" s="29">
        <f t="shared" si="5"/>
        <v>248</v>
      </c>
      <c r="B263" s="30"/>
      <c r="C263" s="30" t="s">
        <v>112</v>
      </c>
      <c r="D263" s="30" t="s">
        <v>549</v>
      </c>
      <c r="E263" s="31">
        <v>42884</v>
      </c>
      <c r="F263" s="30" t="s">
        <v>114</v>
      </c>
      <c r="G263" s="30" t="s">
        <v>115</v>
      </c>
      <c r="H263" s="30" t="s">
        <v>116</v>
      </c>
      <c r="I263" s="29">
        <v>10000</v>
      </c>
      <c r="J263" s="29">
        <v>10</v>
      </c>
      <c r="K263" s="29">
        <v>1000</v>
      </c>
      <c r="L263" s="38"/>
      <c r="M263" s="39"/>
      <c r="N263" s="40"/>
      <c r="O263" s="35"/>
      <c r="P263" s="36"/>
      <c r="Q263" s="36"/>
      <c r="T263" s="36"/>
    </row>
    <row r="264" spans="1:20" s="37" customFormat="1" ht="18.75" customHeight="1">
      <c r="A264" s="29">
        <f t="shared" si="5"/>
        <v>249</v>
      </c>
      <c r="B264" s="30"/>
      <c r="C264" s="30" t="s">
        <v>231</v>
      </c>
      <c r="D264" s="30" t="s">
        <v>550</v>
      </c>
      <c r="E264" s="31">
        <v>42885</v>
      </c>
      <c r="F264" s="30" t="s">
        <v>239</v>
      </c>
      <c r="G264" s="30" t="s">
        <v>240</v>
      </c>
      <c r="H264" s="30" t="s">
        <v>551</v>
      </c>
      <c r="I264" s="29">
        <v>42772000</v>
      </c>
      <c r="J264" s="29">
        <v>10</v>
      </c>
      <c r="K264" s="29">
        <v>4277200</v>
      </c>
      <c r="L264" s="38" t="s">
        <v>52</v>
      </c>
      <c r="M264" s="39">
        <v>42907</v>
      </c>
      <c r="N264" s="40" t="s">
        <v>438</v>
      </c>
      <c r="O264" s="35"/>
      <c r="P264" s="36"/>
      <c r="Q264" s="36"/>
      <c r="T264" s="36"/>
    </row>
    <row r="265" spans="1:20" s="37" customFormat="1" ht="18.75" customHeight="1">
      <c r="A265" s="29">
        <f t="shared" si="5"/>
        <v>250</v>
      </c>
      <c r="B265" s="30"/>
      <c r="C265" s="30" t="s">
        <v>552</v>
      </c>
      <c r="D265" s="30" t="s">
        <v>553</v>
      </c>
      <c r="E265" s="31">
        <v>42885</v>
      </c>
      <c r="F265" s="30" t="s">
        <v>554</v>
      </c>
      <c r="G265" s="30" t="s">
        <v>555</v>
      </c>
      <c r="H265" s="30" t="s">
        <v>556</v>
      </c>
      <c r="I265" s="29">
        <v>16800000</v>
      </c>
      <c r="J265" s="29">
        <v>10</v>
      </c>
      <c r="K265" s="29">
        <v>1680000</v>
      </c>
      <c r="L265" s="38"/>
      <c r="M265" s="39"/>
      <c r="N265" s="40"/>
      <c r="O265" s="35"/>
      <c r="P265" s="36"/>
      <c r="Q265" s="36"/>
      <c r="T265" s="36"/>
    </row>
    <row r="266" spans="1:20" s="37" customFormat="1" ht="18.75" customHeight="1">
      <c r="A266" s="29">
        <f t="shared" si="5"/>
        <v>251</v>
      </c>
      <c r="B266" s="30"/>
      <c r="C266" s="30" t="s">
        <v>502</v>
      </c>
      <c r="D266" s="30" t="s">
        <v>557</v>
      </c>
      <c r="E266" s="31">
        <v>42885</v>
      </c>
      <c r="F266" s="30" t="s">
        <v>362</v>
      </c>
      <c r="G266" s="30" t="s">
        <v>363</v>
      </c>
      <c r="H266" s="30" t="s">
        <v>129</v>
      </c>
      <c r="I266" s="29">
        <v>454545</v>
      </c>
      <c r="J266" s="29">
        <v>10</v>
      </c>
      <c r="K266" s="29">
        <v>45455</v>
      </c>
      <c r="L266" s="38"/>
      <c r="M266" s="39"/>
      <c r="N266" s="40"/>
      <c r="O266" s="35"/>
      <c r="P266" s="36"/>
      <c r="Q266" s="36"/>
      <c r="T266" s="36"/>
    </row>
    <row r="267" spans="1:20" s="37" customFormat="1" ht="18.75" customHeight="1">
      <c r="A267" s="29">
        <f t="shared" si="5"/>
        <v>252</v>
      </c>
      <c r="B267" s="30"/>
      <c r="C267" s="30" t="s">
        <v>74</v>
      </c>
      <c r="D267" s="30" t="s">
        <v>558</v>
      </c>
      <c r="E267" s="31">
        <v>42886</v>
      </c>
      <c r="F267" s="30" t="s">
        <v>76</v>
      </c>
      <c r="G267" s="30" t="s">
        <v>77</v>
      </c>
      <c r="H267" s="30" t="s">
        <v>559</v>
      </c>
      <c r="I267" s="29">
        <v>3447400</v>
      </c>
      <c r="J267" s="29">
        <v>10</v>
      </c>
      <c r="K267" s="29">
        <v>344740</v>
      </c>
      <c r="L267" s="38"/>
      <c r="M267" s="39"/>
      <c r="N267" s="40"/>
      <c r="O267" s="35"/>
      <c r="P267" s="36"/>
      <c r="Q267" s="36"/>
      <c r="T267" s="36"/>
    </row>
    <row r="268" spans="1:20" s="37" customFormat="1" ht="18.75" customHeight="1">
      <c r="A268" s="29">
        <f t="shared" si="5"/>
        <v>253</v>
      </c>
      <c r="B268" s="30"/>
      <c r="C268" s="30" t="s">
        <v>74</v>
      </c>
      <c r="D268" s="30" t="s">
        <v>560</v>
      </c>
      <c r="E268" s="31">
        <v>42886</v>
      </c>
      <c r="F268" s="30" t="s">
        <v>76</v>
      </c>
      <c r="G268" s="30" t="s">
        <v>77</v>
      </c>
      <c r="H268" s="30" t="s">
        <v>561</v>
      </c>
      <c r="I268" s="29">
        <v>811200</v>
      </c>
      <c r="J268" s="29">
        <v>10</v>
      </c>
      <c r="K268" s="29">
        <v>81120</v>
      </c>
      <c r="L268" s="38"/>
      <c r="M268" s="39"/>
      <c r="N268" s="40"/>
      <c r="O268" s="35"/>
      <c r="P268" s="36"/>
      <c r="Q268" s="36"/>
      <c r="T268" s="36"/>
    </row>
    <row r="269" spans="1:20" s="37" customFormat="1" ht="18.75" customHeight="1">
      <c r="A269" s="29">
        <f t="shared" si="5"/>
        <v>254</v>
      </c>
      <c r="B269" s="30"/>
      <c r="C269" s="30" t="s">
        <v>248</v>
      </c>
      <c r="D269" s="30" t="s">
        <v>562</v>
      </c>
      <c r="E269" s="31">
        <v>42886</v>
      </c>
      <c r="F269" s="30" t="s">
        <v>250</v>
      </c>
      <c r="G269" s="30" t="s">
        <v>251</v>
      </c>
      <c r="H269" s="30" t="s">
        <v>563</v>
      </c>
      <c r="I269" s="29">
        <v>234199182</v>
      </c>
      <c r="J269" s="29">
        <v>10</v>
      </c>
      <c r="K269" s="29">
        <v>23419918</v>
      </c>
      <c r="L269" s="38" t="s">
        <v>52</v>
      </c>
      <c r="M269" s="39">
        <v>42907</v>
      </c>
      <c r="N269" s="40" t="s">
        <v>438</v>
      </c>
      <c r="O269" s="35"/>
      <c r="P269" s="36"/>
      <c r="Q269" s="36"/>
      <c r="T269" s="36"/>
    </row>
    <row r="270" spans="1:20" s="37" customFormat="1" ht="18.75" customHeight="1">
      <c r="A270" s="29">
        <f t="shared" si="5"/>
        <v>255</v>
      </c>
      <c r="B270" s="30"/>
      <c r="C270" s="30" t="s">
        <v>248</v>
      </c>
      <c r="D270" s="30" t="s">
        <v>564</v>
      </c>
      <c r="E270" s="31">
        <v>42886</v>
      </c>
      <c r="F270" s="30" t="s">
        <v>250</v>
      </c>
      <c r="G270" s="30" t="s">
        <v>251</v>
      </c>
      <c r="H270" s="30" t="s">
        <v>565</v>
      </c>
      <c r="I270" s="29">
        <v>4800000</v>
      </c>
      <c r="J270" s="29">
        <v>10</v>
      </c>
      <c r="K270" s="29">
        <v>480000</v>
      </c>
      <c r="L270" s="38" t="s">
        <v>52</v>
      </c>
      <c r="M270" s="39">
        <v>42907</v>
      </c>
      <c r="N270" s="40" t="s">
        <v>438</v>
      </c>
      <c r="O270" s="35"/>
      <c r="P270" s="36"/>
      <c r="Q270" s="36"/>
      <c r="T270" s="36"/>
    </row>
    <row r="271" spans="1:20" s="37" customFormat="1" ht="18.75" customHeight="1">
      <c r="A271" s="29">
        <f t="shared" si="5"/>
        <v>256</v>
      </c>
      <c r="B271" s="30"/>
      <c r="C271" s="30" t="s">
        <v>248</v>
      </c>
      <c r="D271" s="30" t="s">
        <v>566</v>
      </c>
      <c r="E271" s="31">
        <v>42886</v>
      </c>
      <c r="F271" s="30" t="s">
        <v>250</v>
      </c>
      <c r="G271" s="30" t="s">
        <v>251</v>
      </c>
      <c r="H271" s="30" t="s">
        <v>567</v>
      </c>
      <c r="I271" s="29">
        <v>480000</v>
      </c>
      <c r="J271" s="29">
        <v>10</v>
      </c>
      <c r="K271" s="29">
        <v>48000</v>
      </c>
      <c r="L271" s="38" t="s">
        <v>52</v>
      </c>
      <c r="M271" s="39">
        <v>42907</v>
      </c>
      <c r="N271" s="40" t="s">
        <v>438</v>
      </c>
      <c r="O271" s="35"/>
      <c r="P271" s="36"/>
      <c r="Q271" s="36"/>
      <c r="T271" s="36"/>
    </row>
    <row r="272" spans="1:20" s="37" customFormat="1" ht="18.75" customHeight="1">
      <c r="A272" s="29">
        <f t="shared" si="5"/>
        <v>257</v>
      </c>
      <c r="B272" s="30"/>
      <c r="C272" s="30" t="s">
        <v>93</v>
      </c>
      <c r="D272" s="30" t="s">
        <v>568</v>
      </c>
      <c r="E272" s="31">
        <v>42886</v>
      </c>
      <c r="F272" s="30" t="s">
        <v>258</v>
      </c>
      <c r="G272" s="30" t="s">
        <v>259</v>
      </c>
      <c r="H272" s="30" t="s">
        <v>569</v>
      </c>
      <c r="I272" s="29">
        <v>29913715</v>
      </c>
      <c r="J272" s="29">
        <v>10</v>
      </c>
      <c r="K272" s="29">
        <v>2991372</v>
      </c>
      <c r="L272" s="38" t="s">
        <v>52</v>
      </c>
      <c r="M272" s="39">
        <v>42907</v>
      </c>
      <c r="N272" s="40" t="s">
        <v>438</v>
      </c>
      <c r="O272" s="35"/>
      <c r="P272" s="36"/>
      <c r="Q272" s="36"/>
      <c r="T272" s="36"/>
    </row>
    <row r="273" spans="1:255" s="37" customFormat="1" ht="18.75" customHeight="1">
      <c r="A273" s="29">
        <f t="shared" si="5"/>
        <v>258</v>
      </c>
      <c r="B273" s="30"/>
      <c r="C273" s="30" t="s">
        <v>552</v>
      </c>
      <c r="D273" s="30" t="s">
        <v>570</v>
      </c>
      <c r="E273" s="31">
        <v>42886</v>
      </c>
      <c r="F273" s="30" t="s">
        <v>554</v>
      </c>
      <c r="G273" s="30" t="s">
        <v>555</v>
      </c>
      <c r="H273" s="30" t="s">
        <v>571</v>
      </c>
      <c r="I273" s="29">
        <v>3975000</v>
      </c>
      <c r="J273" s="29">
        <v>10</v>
      </c>
      <c r="K273" s="29">
        <v>397500</v>
      </c>
      <c r="L273" s="38"/>
      <c r="M273" s="39"/>
      <c r="N273" s="40"/>
      <c r="O273" s="35"/>
      <c r="P273" s="36"/>
      <c r="Q273" s="36"/>
      <c r="T273" s="36"/>
    </row>
    <row r="274" spans="1:255" s="37" customFormat="1" ht="18.75" customHeight="1">
      <c r="A274" s="29">
        <f t="shared" si="5"/>
        <v>259</v>
      </c>
      <c r="B274" s="30"/>
      <c r="C274" s="30" t="s">
        <v>162</v>
      </c>
      <c r="D274" s="30" t="s">
        <v>572</v>
      </c>
      <c r="E274" s="31">
        <v>42886</v>
      </c>
      <c r="F274" s="30" t="s">
        <v>164</v>
      </c>
      <c r="G274" s="30" t="s">
        <v>165</v>
      </c>
      <c r="H274" s="30" t="s">
        <v>166</v>
      </c>
      <c r="I274" s="29">
        <v>48154885</v>
      </c>
      <c r="J274" s="29">
        <v>10</v>
      </c>
      <c r="K274" s="29">
        <v>4815489</v>
      </c>
      <c r="L274" s="38" t="s">
        <v>52</v>
      </c>
      <c r="M274" s="39">
        <v>42907</v>
      </c>
      <c r="N274" s="40" t="s">
        <v>438</v>
      </c>
      <c r="O274" s="35"/>
      <c r="P274" s="36"/>
      <c r="Q274" s="36"/>
      <c r="T274" s="36"/>
    </row>
    <row r="275" spans="1:255" s="37" customFormat="1" ht="18.75" customHeight="1">
      <c r="A275" s="29">
        <f t="shared" si="5"/>
        <v>260</v>
      </c>
      <c r="B275" s="30"/>
      <c r="C275" s="30" t="s">
        <v>157</v>
      </c>
      <c r="D275" s="30" t="s">
        <v>573</v>
      </c>
      <c r="E275" s="31">
        <v>42886</v>
      </c>
      <c r="F275" s="30" t="s">
        <v>159</v>
      </c>
      <c r="G275" s="30" t="s">
        <v>160</v>
      </c>
      <c r="H275" s="30" t="s">
        <v>161</v>
      </c>
      <c r="I275" s="29">
        <v>9000000</v>
      </c>
      <c r="J275" s="29">
        <v>10</v>
      </c>
      <c r="K275" s="29">
        <v>900000</v>
      </c>
      <c r="L275" s="38"/>
      <c r="M275" s="39"/>
      <c r="N275" s="40"/>
      <c r="O275" s="35"/>
      <c r="P275" s="36"/>
      <c r="Q275" s="36"/>
      <c r="T275" s="36"/>
    </row>
    <row r="276" spans="1:255" s="37" customFormat="1" ht="18.75" customHeight="1">
      <c r="A276" s="29">
        <f t="shared" si="5"/>
        <v>261</v>
      </c>
      <c r="B276" s="30"/>
      <c r="C276" s="30" t="s">
        <v>574</v>
      </c>
      <c r="D276" s="30" t="s">
        <v>575</v>
      </c>
      <c r="E276" s="31">
        <v>42886</v>
      </c>
      <c r="F276" s="30" t="s">
        <v>576</v>
      </c>
      <c r="G276" s="30" t="s">
        <v>577</v>
      </c>
      <c r="H276" s="30" t="s">
        <v>578</v>
      </c>
      <c r="I276" s="29">
        <v>1666636</v>
      </c>
      <c r="J276" s="29">
        <v>10</v>
      </c>
      <c r="K276" s="50">
        <v>166664</v>
      </c>
      <c r="L276" s="41"/>
      <c r="M276" s="42"/>
      <c r="N276" s="40"/>
      <c r="O276" s="35"/>
      <c r="P276" s="36"/>
      <c r="Q276" s="36"/>
      <c r="T276" s="36"/>
    </row>
    <row r="277" spans="1:255" s="37" customFormat="1" ht="18.75" customHeight="1">
      <c r="A277" s="205" t="s">
        <v>264</v>
      </c>
      <c r="B277" s="205"/>
      <c r="C277" s="205"/>
      <c r="D277" s="205"/>
      <c r="E277" s="205"/>
      <c r="F277" s="205"/>
      <c r="G277" s="205"/>
      <c r="H277" s="205"/>
      <c r="I277" s="43">
        <f>SUM(I194:I276)</f>
        <v>3319060727</v>
      </c>
      <c r="J277" s="43"/>
      <c r="K277" s="43">
        <f>SUM(K194:K276)</f>
        <v>329223778</v>
      </c>
      <c r="L277" s="44"/>
      <c r="M277" s="45"/>
      <c r="N277" s="46"/>
      <c r="O277" s="35"/>
      <c r="P277" s="49"/>
      <c r="Q277" s="36"/>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c r="BI277" s="10"/>
      <c r="BJ277" s="10"/>
      <c r="BK277" s="10"/>
      <c r="BL277" s="10"/>
      <c r="BM277" s="10"/>
      <c r="BN277" s="10"/>
      <c r="BO277" s="10"/>
      <c r="BP277" s="10"/>
      <c r="BQ277" s="10"/>
      <c r="BR277" s="10"/>
      <c r="BS277" s="10"/>
      <c r="BT277" s="10"/>
      <c r="BU277" s="10"/>
      <c r="BV277" s="10"/>
      <c r="BW277" s="10"/>
      <c r="BX277" s="10"/>
      <c r="BY277" s="10"/>
      <c r="BZ277" s="10"/>
      <c r="CA277" s="10"/>
      <c r="CB277" s="10"/>
      <c r="CC277" s="10"/>
      <c r="CD277" s="10"/>
      <c r="CE277" s="10"/>
      <c r="CF277" s="10"/>
      <c r="CG277" s="10"/>
      <c r="CH277" s="10"/>
      <c r="CI277" s="10"/>
      <c r="CJ277" s="10"/>
      <c r="CK277" s="10"/>
      <c r="CL277" s="10"/>
      <c r="CM277" s="10"/>
      <c r="CN277" s="10"/>
      <c r="CO277" s="10"/>
      <c r="CP277" s="10"/>
      <c r="CQ277" s="10"/>
      <c r="CR277" s="10"/>
      <c r="CS277" s="10"/>
      <c r="CT277" s="10"/>
      <c r="CU277" s="10"/>
      <c r="CV277" s="10"/>
      <c r="CW277" s="10"/>
      <c r="CX277" s="10"/>
      <c r="CY277" s="10"/>
      <c r="CZ277" s="10"/>
      <c r="DA277" s="10"/>
      <c r="DB277" s="10"/>
      <c r="DC277" s="10"/>
      <c r="DD277" s="10"/>
      <c r="DE277" s="10"/>
      <c r="DF277" s="10"/>
      <c r="DG277" s="10"/>
      <c r="DH277" s="10"/>
      <c r="DI277" s="10"/>
      <c r="DJ277" s="10"/>
      <c r="DK277" s="10"/>
      <c r="DL277" s="10"/>
      <c r="DM277" s="10"/>
      <c r="DN277" s="10"/>
      <c r="DO277" s="10"/>
      <c r="DP277" s="10"/>
      <c r="DQ277" s="10"/>
      <c r="DR277" s="10"/>
      <c r="DS277" s="10"/>
      <c r="DT277" s="10"/>
      <c r="DU277" s="10"/>
      <c r="DV277" s="10"/>
      <c r="DW277" s="10"/>
      <c r="DX277" s="10"/>
      <c r="DY277" s="10"/>
      <c r="DZ277" s="10"/>
      <c r="EA277" s="10"/>
      <c r="EB277" s="10"/>
      <c r="EC277" s="10"/>
      <c r="ED277" s="10"/>
      <c r="EE277" s="10"/>
      <c r="EF277" s="10"/>
      <c r="EG277" s="10"/>
      <c r="EH277" s="10"/>
      <c r="EI277" s="10"/>
      <c r="EJ277" s="10"/>
      <c r="EK277" s="10"/>
      <c r="EL277" s="10"/>
      <c r="EM277" s="10"/>
      <c r="EN277" s="10"/>
      <c r="EO277" s="10"/>
      <c r="EP277" s="10"/>
      <c r="EQ277" s="10"/>
      <c r="ER277" s="10"/>
      <c r="ES277" s="10"/>
      <c r="ET277" s="10"/>
      <c r="EU277" s="10"/>
      <c r="EV277" s="10"/>
      <c r="EW277" s="10"/>
      <c r="EX277" s="10"/>
      <c r="EY277" s="10"/>
      <c r="EZ277" s="10"/>
      <c r="FA277" s="10"/>
      <c r="FB277" s="10"/>
      <c r="FC277" s="10"/>
      <c r="FD277" s="10"/>
      <c r="FE277" s="10"/>
      <c r="FF277" s="10"/>
      <c r="FG277" s="10"/>
      <c r="FH277" s="10"/>
      <c r="FI277" s="10"/>
      <c r="FJ277" s="10"/>
      <c r="FK277" s="10"/>
      <c r="FL277" s="10"/>
      <c r="FM277" s="10"/>
      <c r="FN277" s="10"/>
      <c r="FO277" s="10"/>
      <c r="FP277" s="10"/>
      <c r="FQ277" s="10"/>
      <c r="FR277" s="10"/>
      <c r="FS277" s="10"/>
      <c r="FT277" s="10"/>
      <c r="FU277" s="10"/>
      <c r="FV277" s="10"/>
      <c r="FW277" s="10"/>
      <c r="FX277" s="10"/>
      <c r="FY277" s="10"/>
      <c r="FZ277" s="10"/>
      <c r="GA277" s="10"/>
      <c r="GB277" s="10"/>
      <c r="GC277" s="10"/>
      <c r="GD277" s="10"/>
      <c r="GE277" s="10"/>
      <c r="GF277" s="10"/>
      <c r="GG277" s="10"/>
      <c r="GH277" s="10"/>
      <c r="GI277" s="10"/>
      <c r="GJ277" s="10"/>
      <c r="GK277" s="10"/>
      <c r="GL277" s="10"/>
      <c r="GM277" s="10"/>
      <c r="GN277" s="10"/>
      <c r="GO277" s="10"/>
      <c r="GP277" s="10"/>
      <c r="GQ277" s="10"/>
      <c r="GR277" s="10"/>
      <c r="GS277" s="10"/>
      <c r="GT277" s="10"/>
      <c r="GU277" s="10"/>
      <c r="GV277" s="10"/>
      <c r="GW277" s="10"/>
      <c r="GX277" s="10"/>
      <c r="GY277" s="10"/>
      <c r="GZ277" s="10"/>
      <c r="HA277" s="10"/>
      <c r="HB277" s="10"/>
      <c r="HC277" s="10"/>
      <c r="HD277" s="10"/>
      <c r="HE277" s="10"/>
      <c r="HF277" s="10"/>
      <c r="HG277" s="10"/>
      <c r="HH277" s="10"/>
      <c r="HI277" s="10"/>
      <c r="HJ277" s="10"/>
      <c r="HK277" s="10"/>
      <c r="HL277" s="10"/>
      <c r="HM277" s="10"/>
      <c r="HN277" s="10"/>
      <c r="HO277" s="10"/>
      <c r="HP277" s="10"/>
      <c r="HQ277" s="10"/>
      <c r="HR277" s="10"/>
      <c r="HS277" s="10"/>
      <c r="HT277" s="10"/>
      <c r="HU277" s="10"/>
      <c r="HV277" s="10"/>
      <c r="HW277" s="10"/>
      <c r="HX277" s="10"/>
      <c r="HY277" s="10"/>
      <c r="HZ277" s="10"/>
      <c r="IA277" s="10"/>
      <c r="IB277" s="10"/>
      <c r="IC277" s="10"/>
      <c r="ID277" s="10"/>
      <c r="IE277" s="10"/>
      <c r="IF277" s="10"/>
      <c r="IG277" s="10"/>
      <c r="IH277" s="10"/>
      <c r="II277" s="10"/>
      <c r="IJ277" s="10"/>
      <c r="IK277" s="10"/>
      <c r="IL277" s="10"/>
      <c r="IM277" s="10"/>
      <c r="IN277" s="10"/>
      <c r="IO277" s="10"/>
      <c r="IP277" s="10"/>
      <c r="IQ277" s="10"/>
      <c r="IR277" s="10"/>
      <c r="IS277" s="10"/>
      <c r="IT277" s="10"/>
      <c r="IU277" s="10"/>
    </row>
    <row r="278" spans="1:255" s="37" customFormat="1" ht="18.75" customHeight="1">
      <c r="A278" s="29">
        <f>A276+1</f>
        <v>262</v>
      </c>
      <c r="B278" s="30"/>
      <c r="C278" s="30" t="s">
        <v>439</v>
      </c>
      <c r="D278" s="30" t="s">
        <v>579</v>
      </c>
      <c r="E278" s="31">
        <v>42847</v>
      </c>
      <c r="F278" s="30" t="s">
        <v>441</v>
      </c>
      <c r="G278" s="30" t="s">
        <v>442</v>
      </c>
      <c r="H278" s="30" t="s">
        <v>134</v>
      </c>
      <c r="I278" s="29">
        <v>407091</v>
      </c>
      <c r="J278" s="29">
        <v>10</v>
      </c>
      <c r="K278" s="51">
        <v>40709</v>
      </c>
      <c r="L278" s="47"/>
      <c r="M278" s="48"/>
      <c r="N278" s="40"/>
      <c r="O278" s="35"/>
      <c r="P278" s="36"/>
      <c r="Q278" s="36"/>
      <c r="T278" s="36"/>
    </row>
    <row r="279" spans="1:255" s="37" customFormat="1" ht="18.75" customHeight="1">
      <c r="A279" s="29">
        <f>+A278+1</f>
        <v>263</v>
      </c>
      <c r="B279" s="30"/>
      <c r="C279" s="30" t="s">
        <v>291</v>
      </c>
      <c r="D279" s="30" t="s">
        <v>580</v>
      </c>
      <c r="E279" s="31">
        <v>42849</v>
      </c>
      <c r="F279" s="30" t="s">
        <v>293</v>
      </c>
      <c r="G279" s="30" t="s">
        <v>294</v>
      </c>
      <c r="H279" s="30" t="s">
        <v>134</v>
      </c>
      <c r="I279" s="29">
        <v>2234545</v>
      </c>
      <c r="J279" s="29">
        <v>10</v>
      </c>
      <c r="K279" s="29">
        <v>223455</v>
      </c>
      <c r="L279" s="38"/>
      <c r="M279" s="39"/>
      <c r="N279" s="40"/>
      <c r="O279" s="35"/>
      <c r="P279" s="36"/>
      <c r="Q279" s="36"/>
      <c r="T279" s="36"/>
    </row>
    <row r="280" spans="1:255" s="37" customFormat="1" ht="18.75" customHeight="1">
      <c r="A280" s="29">
        <f t="shared" ref="A280:A343" si="6">+A279+1</f>
        <v>264</v>
      </c>
      <c r="B280" s="30"/>
      <c r="C280" s="30" t="s">
        <v>581</v>
      </c>
      <c r="D280" s="30" t="s">
        <v>582</v>
      </c>
      <c r="E280" s="31">
        <v>42850</v>
      </c>
      <c r="F280" s="30" t="s">
        <v>583</v>
      </c>
      <c r="G280" s="30" t="s">
        <v>584</v>
      </c>
      <c r="H280" s="30" t="s">
        <v>585</v>
      </c>
      <c r="I280" s="29">
        <v>1090909</v>
      </c>
      <c r="J280" s="29">
        <v>10</v>
      </c>
      <c r="K280" s="29">
        <v>109091</v>
      </c>
      <c r="L280" s="38"/>
      <c r="M280" s="39"/>
      <c r="N280" s="40"/>
      <c r="O280" s="35"/>
      <c r="P280" s="36"/>
      <c r="Q280" s="36"/>
      <c r="T280" s="36"/>
    </row>
    <row r="281" spans="1:255" s="37" customFormat="1" ht="18.75" customHeight="1">
      <c r="A281" s="29">
        <f t="shared" si="6"/>
        <v>265</v>
      </c>
      <c r="B281" s="30"/>
      <c r="C281" s="30" t="s">
        <v>93</v>
      </c>
      <c r="D281" s="30" t="s">
        <v>586</v>
      </c>
      <c r="E281" s="31">
        <v>42858</v>
      </c>
      <c r="F281" s="30" t="s">
        <v>49</v>
      </c>
      <c r="G281" s="30" t="s">
        <v>50</v>
      </c>
      <c r="H281" s="30" t="s">
        <v>51</v>
      </c>
      <c r="I281" s="29">
        <v>74240000</v>
      </c>
      <c r="J281" s="29">
        <v>10</v>
      </c>
      <c r="K281" s="29">
        <v>7424000</v>
      </c>
      <c r="L281" s="38" t="s">
        <v>52</v>
      </c>
      <c r="M281" s="39">
        <v>42935</v>
      </c>
      <c r="N281" s="40" t="s">
        <v>587</v>
      </c>
      <c r="O281" s="35"/>
      <c r="P281" s="36"/>
      <c r="Q281" s="36"/>
      <c r="T281" s="36"/>
    </row>
    <row r="282" spans="1:255" s="37" customFormat="1" ht="18.75" customHeight="1">
      <c r="A282" s="29">
        <f t="shared" si="6"/>
        <v>266</v>
      </c>
      <c r="B282" s="30"/>
      <c r="C282" s="30" t="s">
        <v>152</v>
      </c>
      <c r="D282" s="30" t="s">
        <v>588</v>
      </c>
      <c r="E282" s="31">
        <v>42863</v>
      </c>
      <c r="F282" s="30" t="s">
        <v>318</v>
      </c>
      <c r="G282" s="30" t="s">
        <v>155</v>
      </c>
      <c r="H282" s="30" t="s">
        <v>319</v>
      </c>
      <c r="I282" s="29">
        <v>1661818</v>
      </c>
      <c r="J282" s="29">
        <v>10</v>
      </c>
      <c r="K282" s="29">
        <v>166182</v>
      </c>
      <c r="L282" s="38"/>
      <c r="M282" s="39"/>
      <c r="N282" s="40"/>
      <c r="O282" s="35"/>
      <c r="P282" s="36"/>
      <c r="Q282" s="36"/>
      <c r="T282" s="36"/>
    </row>
    <row r="283" spans="1:255" s="37" customFormat="1" ht="18.75" customHeight="1">
      <c r="A283" s="29">
        <f t="shared" si="6"/>
        <v>267</v>
      </c>
      <c r="B283" s="30"/>
      <c r="C283" s="30" t="s">
        <v>291</v>
      </c>
      <c r="D283" s="30" t="s">
        <v>589</v>
      </c>
      <c r="E283" s="31">
        <v>42868</v>
      </c>
      <c r="F283" s="30" t="s">
        <v>293</v>
      </c>
      <c r="G283" s="30" t="s">
        <v>294</v>
      </c>
      <c r="H283" s="30" t="s">
        <v>134</v>
      </c>
      <c r="I283" s="29">
        <v>3320909</v>
      </c>
      <c r="J283" s="29">
        <v>10</v>
      </c>
      <c r="K283" s="29">
        <v>332091</v>
      </c>
      <c r="L283" s="38"/>
      <c r="M283" s="39"/>
      <c r="N283" s="40"/>
      <c r="O283" s="35"/>
      <c r="P283" s="36"/>
      <c r="Q283" s="36"/>
      <c r="T283" s="36"/>
    </row>
    <row r="284" spans="1:255" s="37" customFormat="1" ht="18.75" customHeight="1">
      <c r="A284" s="29">
        <f t="shared" si="6"/>
        <v>268</v>
      </c>
      <c r="B284" s="30"/>
      <c r="C284" s="30" t="s">
        <v>278</v>
      </c>
      <c r="D284" s="30" t="s">
        <v>590</v>
      </c>
      <c r="E284" s="31">
        <v>42870</v>
      </c>
      <c r="F284" s="30" t="s">
        <v>280</v>
      </c>
      <c r="G284" s="30" t="s">
        <v>281</v>
      </c>
      <c r="H284" s="30" t="s">
        <v>591</v>
      </c>
      <c r="I284" s="29">
        <v>5342800</v>
      </c>
      <c r="J284" s="29">
        <v>10</v>
      </c>
      <c r="K284" s="29">
        <v>534280</v>
      </c>
      <c r="L284" s="38"/>
      <c r="M284" s="39"/>
      <c r="N284" s="40"/>
      <c r="O284" s="35"/>
      <c r="P284" s="36"/>
      <c r="Q284" s="36"/>
      <c r="T284" s="36"/>
    </row>
    <row r="285" spans="1:255" s="37" customFormat="1" ht="18.75" customHeight="1">
      <c r="A285" s="29">
        <f t="shared" si="6"/>
        <v>269</v>
      </c>
      <c r="B285" s="30"/>
      <c r="C285" s="30" t="s">
        <v>152</v>
      </c>
      <c r="D285" s="30" t="s">
        <v>592</v>
      </c>
      <c r="E285" s="31">
        <v>42871</v>
      </c>
      <c r="F285" s="30" t="s">
        <v>318</v>
      </c>
      <c r="G285" s="30" t="s">
        <v>155</v>
      </c>
      <c r="H285" s="30" t="s">
        <v>319</v>
      </c>
      <c r="I285" s="29">
        <v>898500</v>
      </c>
      <c r="J285" s="29">
        <v>10</v>
      </c>
      <c r="K285" s="29">
        <v>89850</v>
      </c>
      <c r="L285" s="38"/>
      <c r="M285" s="39"/>
      <c r="N285" s="40"/>
      <c r="O285" s="35"/>
      <c r="P285" s="36"/>
      <c r="Q285" s="36"/>
      <c r="T285" s="36"/>
    </row>
    <row r="286" spans="1:255" s="37" customFormat="1" ht="18.75" customHeight="1">
      <c r="A286" s="29">
        <f t="shared" si="6"/>
        <v>270</v>
      </c>
      <c r="B286" s="30"/>
      <c r="C286" s="30" t="s">
        <v>291</v>
      </c>
      <c r="D286" s="30" t="s">
        <v>593</v>
      </c>
      <c r="E286" s="31">
        <v>42871</v>
      </c>
      <c r="F286" s="30" t="s">
        <v>293</v>
      </c>
      <c r="G286" s="30" t="s">
        <v>294</v>
      </c>
      <c r="H286" s="30" t="s">
        <v>134</v>
      </c>
      <c r="I286" s="29">
        <v>2312727</v>
      </c>
      <c r="J286" s="29">
        <v>10</v>
      </c>
      <c r="K286" s="29">
        <v>231273</v>
      </c>
      <c r="L286" s="38"/>
      <c r="M286" s="39"/>
      <c r="N286" s="40"/>
      <c r="O286" s="35"/>
      <c r="P286" s="36"/>
      <c r="Q286" s="36"/>
      <c r="T286" s="36"/>
    </row>
    <row r="287" spans="1:255" s="37" customFormat="1" ht="18.75" customHeight="1">
      <c r="A287" s="29">
        <f t="shared" si="6"/>
        <v>271</v>
      </c>
      <c r="B287" s="30"/>
      <c r="C287" s="30" t="s">
        <v>594</v>
      </c>
      <c r="D287" s="30" t="s">
        <v>595</v>
      </c>
      <c r="E287" s="31">
        <v>42875</v>
      </c>
      <c r="F287" s="30" t="s">
        <v>596</v>
      </c>
      <c r="G287" s="30" t="s">
        <v>597</v>
      </c>
      <c r="H287" s="30" t="s">
        <v>134</v>
      </c>
      <c r="I287" s="29">
        <v>1023700</v>
      </c>
      <c r="J287" s="29">
        <v>10</v>
      </c>
      <c r="K287" s="29">
        <v>102370</v>
      </c>
      <c r="L287" s="38"/>
      <c r="M287" s="39"/>
      <c r="N287" s="40"/>
      <c r="O287" s="35"/>
      <c r="P287" s="36"/>
      <c r="Q287" s="36"/>
      <c r="T287" s="36"/>
    </row>
    <row r="288" spans="1:255" s="37" customFormat="1" ht="18.75" customHeight="1">
      <c r="A288" s="29">
        <f t="shared" si="6"/>
        <v>272</v>
      </c>
      <c r="B288" s="30"/>
      <c r="C288" s="30" t="s">
        <v>54</v>
      </c>
      <c r="D288" s="30" t="s">
        <v>598</v>
      </c>
      <c r="E288" s="31">
        <v>42877</v>
      </c>
      <c r="F288" s="30" t="s">
        <v>56</v>
      </c>
      <c r="G288" s="30" t="s">
        <v>57</v>
      </c>
      <c r="H288" s="30" t="s">
        <v>591</v>
      </c>
      <c r="I288" s="29">
        <v>5773420</v>
      </c>
      <c r="J288" s="29">
        <v>10</v>
      </c>
      <c r="K288" s="29">
        <v>577342</v>
      </c>
      <c r="L288" s="38"/>
      <c r="M288" s="39"/>
      <c r="N288" s="40"/>
      <c r="O288" s="35"/>
      <c r="P288" s="36"/>
      <c r="Q288" s="36"/>
      <c r="T288" s="36"/>
    </row>
    <row r="289" spans="1:20" s="37" customFormat="1" ht="18.75" customHeight="1">
      <c r="A289" s="29">
        <f t="shared" si="6"/>
        <v>273</v>
      </c>
      <c r="B289" s="30"/>
      <c r="C289" s="30" t="s">
        <v>599</v>
      </c>
      <c r="D289" s="30" t="s">
        <v>600</v>
      </c>
      <c r="E289" s="31">
        <v>42878</v>
      </c>
      <c r="F289" s="30" t="s">
        <v>601</v>
      </c>
      <c r="G289" s="30" t="s">
        <v>602</v>
      </c>
      <c r="H289" s="30" t="s">
        <v>603</v>
      </c>
      <c r="I289" s="29">
        <v>44000000</v>
      </c>
      <c r="J289" s="29">
        <v>10</v>
      </c>
      <c r="K289" s="29">
        <v>4400000</v>
      </c>
      <c r="L289" s="38" t="s">
        <v>52</v>
      </c>
      <c r="M289" s="39">
        <v>42935</v>
      </c>
      <c r="N289" s="40" t="s">
        <v>587</v>
      </c>
      <c r="O289" s="35"/>
      <c r="P289" s="36"/>
      <c r="Q289" s="36"/>
      <c r="T289" s="36"/>
    </row>
    <row r="290" spans="1:20" s="37" customFormat="1" ht="18.75" customHeight="1">
      <c r="A290" s="29">
        <f t="shared" si="6"/>
        <v>274</v>
      </c>
      <c r="B290" s="30"/>
      <c r="C290" s="30" t="s">
        <v>93</v>
      </c>
      <c r="D290" s="30" t="s">
        <v>604</v>
      </c>
      <c r="E290" s="31">
        <v>42878</v>
      </c>
      <c r="F290" s="30" t="s">
        <v>336</v>
      </c>
      <c r="G290" s="30" t="s">
        <v>337</v>
      </c>
      <c r="H290" s="30" t="s">
        <v>338</v>
      </c>
      <c r="I290" s="29">
        <v>345545200</v>
      </c>
      <c r="J290" s="29">
        <v>10</v>
      </c>
      <c r="K290" s="29">
        <v>34554520</v>
      </c>
      <c r="L290" s="38" t="s">
        <v>52</v>
      </c>
      <c r="M290" s="39">
        <v>42912</v>
      </c>
      <c r="N290" s="40" t="s">
        <v>587</v>
      </c>
      <c r="O290" s="35"/>
      <c r="P290" s="36"/>
      <c r="Q290" s="36"/>
      <c r="T290" s="36"/>
    </row>
    <row r="291" spans="1:20" s="37" customFormat="1" ht="18.75" customHeight="1">
      <c r="A291" s="29">
        <f t="shared" si="6"/>
        <v>275</v>
      </c>
      <c r="B291" s="30"/>
      <c r="C291" s="30" t="s">
        <v>152</v>
      </c>
      <c r="D291" s="30" t="s">
        <v>605</v>
      </c>
      <c r="E291" s="31">
        <v>42879</v>
      </c>
      <c r="F291" s="30" t="s">
        <v>318</v>
      </c>
      <c r="G291" s="30" t="s">
        <v>155</v>
      </c>
      <c r="H291" s="30" t="s">
        <v>319</v>
      </c>
      <c r="I291" s="29">
        <v>888000</v>
      </c>
      <c r="J291" s="29">
        <v>10</v>
      </c>
      <c r="K291" s="29">
        <v>88800</v>
      </c>
      <c r="L291" s="38"/>
      <c r="M291" s="39"/>
      <c r="N291" s="40"/>
      <c r="O291" s="35"/>
      <c r="P291" s="36"/>
      <c r="Q291" s="36"/>
      <c r="T291" s="36"/>
    </row>
    <row r="292" spans="1:20" s="37" customFormat="1" ht="18.75" customHeight="1">
      <c r="A292" s="29">
        <f t="shared" si="6"/>
        <v>276</v>
      </c>
      <c r="B292" s="30"/>
      <c r="C292" s="30" t="s">
        <v>69</v>
      </c>
      <c r="D292" s="30" t="s">
        <v>606</v>
      </c>
      <c r="E292" s="31">
        <v>42880</v>
      </c>
      <c r="F292" s="30" t="s">
        <v>71</v>
      </c>
      <c r="G292" s="30" t="s">
        <v>72</v>
      </c>
      <c r="H292" s="30" t="s">
        <v>40</v>
      </c>
      <c r="I292" s="29">
        <v>400000</v>
      </c>
      <c r="J292" s="29">
        <v>10</v>
      </c>
      <c r="K292" s="29">
        <v>40000</v>
      </c>
      <c r="L292" s="38"/>
      <c r="M292" s="39"/>
      <c r="N292" s="40"/>
      <c r="O292" s="35"/>
      <c r="P292" s="36"/>
      <c r="Q292" s="36"/>
      <c r="T292" s="36"/>
    </row>
    <row r="293" spans="1:20" s="37" customFormat="1" ht="18.75" customHeight="1">
      <c r="A293" s="29">
        <f t="shared" si="6"/>
        <v>277</v>
      </c>
      <c r="B293" s="30"/>
      <c r="C293" s="30" t="s">
        <v>607</v>
      </c>
      <c r="D293" s="30" t="s">
        <v>608</v>
      </c>
      <c r="E293" s="31">
        <v>42882</v>
      </c>
      <c r="F293" s="30" t="s">
        <v>609</v>
      </c>
      <c r="G293" s="30" t="s">
        <v>610</v>
      </c>
      <c r="H293" s="30" t="s">
        <v>611</v>
      </c>
      <c r="I293" s="29">
        <v>8400000</v>
      </c>
      <c r="J293" s="29">
        <v>10</v>
      </c>
      <c r="K293" s="29">
        <v>840000</v>
      </c>
      <c r="L293" s="38"/>
      <c r="M293" s="39"/>
      <c r="N293" s="40"/>
      <c r="O293" s="35"/>
      <c r="P293" s="36"/>
      <c r="Q293" s="36"/>
      <c r="T293" s="36"/>
    </row>
    <row r="294" spans="1:20" s="37" customFormat="1" ht="18.75" customHeight="1">
      <c r="A294" s="29">
        <f t="shared" si="6"/>
        <v>278</v>
      </c>
      <c r="B294" s="30"/>
      <c r="C294" s="30" t="s">
        <v>61</v>
      </c>
      <c r="D294" s="30" t="s">
        <v>612</v>
      </c>
      <c r="E294" s="31">
        <v>42885</v>
      </c>
      <c r="F294" s="30" t="s">
        <v>63</v>
      </c>
      <c r="G294" s="30" t="s">
        <v>64</v>
      </c>
      <c r="H294" s="30" t="s">
        <v>456</v>
      </c>
      <c r="I294" s="29">
        <v>15500000</v>
      </c>
      <c r="J294" s="29">
        <v>10</v>
      </c>
      <c r="K294" s="29">
        <v>1550000</v>
      </c>
      <c r="L294" s="38"/>
      <c r="M294" s="39"/>
      <c r="N294" s="40"/>
      <c r="O294" s="35"/>
      <c r="P294" s="36"/>
      <c r="Q294" s="36"/>
      <c r="T294" s="36"/>
    </row>
    <row r="295" spans="1:20" s="37" customFormat="1" ht="18.75" customHeight="1">
      <c r="A295" s="29">
        <f t="shared" si="6"/>
        <v>279</v>
      </c>
      <c r="B295" s="30"/>
      <c r="C295" s="30" t="s">
        <v>152</v>
      </c>
      <c r="D295" s="30" t="s">
        <v>613</v>
      </c>
      <c r="E295" s="31">
        <v>42886</v>
      </c>
      <c r="F295" s="30" t="s">
        <v>318</v>
      </c>
      <c r="G295" s="30" t="s">
        <v>155</v>
      </c>
      <c r="H295" s="30" t="s">
        <v>319</v>
      </c>
      <c r="I295" s="29">
        <v>968727</v>
      </c>
      <c r="J295" s="29">
        <v>10</v>
      </c>
      <c r="K295" s="29">
        <v>96873</v>
      </c>
      <c r="L295" s="38"/>
      <c r="M295" s="39"/>
      <c r="N295" s="40"/>
      <c r="O295" s="35"/>
      <c r="P295" s="36"/>
      <c r="Q295" s="36"/>
      <c r="T295" s="36"/>
    </row>
    <row r="296" spans="1:20" s="37" customFormat="1" ht="18.75" customHeight="1">
      <c r="A296" s="29">
        <f t="shared" si="6"/>
        <v>280</v>
      </c>
      <c r="B296" s="30"/>
      <c r="C296" s="30" t="s">
        <v>61</v>
      </c>
      <c r="D296" s="30" t="s">
        <v>614</v>
      </c>
      <c r="E296" s="31">
        <v>42886</v>
      </c>
      <c r="F296" s="30" t="s">
        <v>63</v>
      </c>
      <c r="G296" s="30" t="s">
        <v>64</v>
      </c>
      <c r="H296" s="30" t="s">
        <v>615</v>
      </c>
      <c r="I296" s="29">
        <v>18004545</v>
      </c>
      <c r="J296" s="29">
        <v>10</v>
      </c>
      <c r="K296" s="29">
        <v>1800455</v>
      </c>
      <c r="L296" s="38"/>
      <c r="M296" s="39"/>
      <c r="N296" s="40"/>
      <c r="O296" s="35"/>
      <c r="P296" s="36"/>
      <c r="Q296" s="36"/>
      <c r="T296" s="36"/>
    </row>
    <row r="297" spans="1:20" s="37" customFormat="1" ht="18.75" customHeight="1">
      <c r="A297" s="29">
        <f t="shared" si="6"/>
        <v>281</v>
      </c>
      <c r="B297" s="30"/>
      <c r="C297" s="30" t="s">
        <v>54</v>
      </c>
      <c r="D297" s="30" t="s">
        <v>325</v>
      </c>
      <c r="E297" s="31">
        <v>42886</v>
      </c>
      <c r="F297" s="30" t="s">
        <v>56</v>
      </c>
      <c r="G297" s="30" t="s">
        <v>57</v>
      </c>
      <c r="H297" s="30" t="s">
        <v>591</v>
      </c>
      <c r="I297" s="29">
        <v>5778500</v>
      </c>
      <c r="J297" s="29">
        <v>10</v>
      </c>
      <c r="K297" s="29">
        <v>577850</v>
      </c>
      <c r="L297" s="38"/>
      <c r="M297" s="39"/>
      <c r="N297" s="40"/>
      <c r="O297" s="35"/>
      <c r="P297" s="36"/>
      <c r="Q297" s="36"/>
      <c r="T297" s="36"/>
    </row>
    <row r="298" spans="1:20" s="37" customFormat="1" ht="18.75" customHeight="1">
      <c r="A298" s="29">
        <f t="shared" si="6"/>
        <v>282</v>
      </c>
      <c r="B298" s="30"/>
      <c r="C298" s="30" t="s">
        <v>93</v>
      </c>
      <c r="D298" s="30" t="s">
        <v>616</v>
      </c>
      <c r="E298" s="31">
        <v>42887</v>
      </c>
      <c r="F298" s="30" t="s">
        <v>49</v>
      </c>
      <c r="G298" s="30" t="s">
        <v>50</v>
      </c>
      <c r="H298" s="30" t="s">
        <v>51</v>
      </c>
      <c r="I298" s="29">
        <v>60000000</v>
      </c>
      <c r="J298" s="29">
        <v>10</v>
      </c>
      <c r="K298" s="29">
        <v>6000000</v>
      </c>
      <c r="L298" s="38" t="s">
        <v>52</v>
      </c>
      <c r="M298" s="39">
        <v>42935</v>
      </c>
      <c r="N298" s="40" t="s">
        <v>587</v>
      </c>
      <c r="O298" s="35"/>
      <c r="P298" s="36"/>
      <c r="Q298" s="36"/>
      <c r="T298" s="36"/>
    </row>
    <row r="299" spans="1:20" s="37" customFormat="1" ht="18.75" customHeight="1">
      <c r="A299" s="29">
        <f t="shared" si="6"/>
        <v>283</v>
      </c>
      <c r="B299" s="30"/>
      <c r="C299" s="30" t="s">
        <v>617</v>
      </c>
      <c r="D299" s="30" t="s">
        <v>618</v>
      </c>
      <c r="E299" s="31">
        <v>42887</v>
      </c>
      <c r="F299" s="30" t="s">
        <v>89</v>
      </c>
      <c r="G299" s="30" t="s">
        <v>90</v>
      </c>
      <c r="H299" s="30" t="s">
        <v>619</v>
      </c>
      <c r="I299" s="29">
        <v>230200</v>
      </c>
      <c r="J299" s="29">
        <v>10</v>
      </c>
      <c r="K299" s="29">
        <v>23020</v>
      </c>
      <c r="L299" s="38"/>
      <c r="M299" s="39"/>
      <c r="N299" s="40"/>
      <c r="O299" s="35"/>
      <c r="P299" s="36"/>
      <c r="Q299" s="36"/>
      <c r="T299" s="36"/>
    </row>
    <row r="300" spans="1:20" s="37" customFormat="1" ht="18.75" customHeight="1">
      <c r="A300" s="29">
        <f t="shared" si="6"/>
        <v>284</v>
      </c>
      <c r="B300" s="30"/>
      <c r="C300" s="30" t="s">
        <v>617</v>
      </c>
      <c r="D300" s="30" t="s">
        <v>620</v>
      </c>
      <c r="E300" s="31">
        <v>42887</v>
      </c>
      <c r="F300" s="30" t="s">
        <v>89</v>
      </c>
      <c r="G300" s="30" t="s">
        <v>90</v>
      </c>
      <c r="H300" s="30" t="s">
        <v>619</v>
      </c>
      <c r="I300" s="29">
        <v>558875</v>
      </c>
      <c r="J300" s="29">
        <v>10</v>
      </c>
      <c r="K300" s="29">
        <v>55888</v>
      </c>
      <c r="L300" s="38"/>
      <c r="M300" s="39"/>
      <c r="N300" s="40"/>
      <c r="O300" s="35"/>
      <c r="P300" s="36"/>
      <c r="Q300" s="36"/>
      <c r="T300" s="36"/>
    </row>
    <row r="301" spans="1:20" s="37" customFormat="1" ht="18.75" customHeight="1">
      <c r="A301" s="29">
        <f t="shared" si="6"/>
        <v>285</v>
      </c>
      <c r="B301" s="30"/>
      <c r="C301" s="30" t="s">
        <v>112</v>
      </c>
      <c r="D301" s="30" t="s">
        <v>621</v>
      </c>
      <c r="E301" s="31">
        <v>42887</v>
      </c>
      <c r="F301" s="30" t="s">
        <v>114</v>
      </c>
      <c r="G301" s="30" t="s">
        <v>115</v>
      </c>
      <c r="H301" s="30" t="s">
        <v>116</v>
      </c>
      <c r="I301" s="29">
        <v>20000</v>
      </c>
      <c r="J301" s="29">
        <v>10</v>
      </c>
      <c r="K301" s="29">
        <v>2000</v>
      </c>
      <c r="L301" s="38"/>
      <c r="M301" s="39"/>
      <c r="N301" s="40"/>
      <c r="O301" s="35"/>
      <c r="P301" s="36"/>
      <c r="Q301" s="36"/>
      <c r="T301" s="36"/>
    </row>
    <row r="302" spans="1:20" s="37" customFormat="1" ht="18.75" customHeight="1">
      <c r="A302" s="29">
        <f t="shared" si="6"/>
        <v>286</v>
      </c>
      <c r="B302" s="30"/>
      <c r="C302" s="30" t="s">
        <v>112</v>
      </c>
      <c r="D302" s="30" t="s">
        <v>622</v>
      </c>
      <c r="E302" s="31">
        <v>42887</v>
      </c>
      <c r="F302" s="30" t="s">
        <v>114</v>
      </c>
      <c r="G302" s="30" t="s">
        <v>115</v>
      </c>
      <c r="H302" s="30" t="s">
        <v>116</v>
      </c>
      <c r="I302" s="29">
        <v>10000</v>
      </c>
      <c r="J302" s="29">
        <v>10</v>
      </c>
      <c r="K302" s="29">
        <v>1000</v>
      </c>
      <c r="L302" s="38"/>
      <c r="M302" s="39"/>
      <c r="N302" s="40"/>
      <c r="O302" s="35"/>
      <c r="P302" s="36"/>
      <c r="Q302" s="36"/>
      <c r="T302" s="36"/>
    </row>
    <row r="303" spans="1:20" s="37" customFormat="1" ht="18.75" customHeight="1">
      <c r="A303" s="29">
        <f t="shared" si="6"/>
        <v>287</v>
      </c>
      <c r="B303" s="30"/>
      <c r="C303" s="30" t="s">
        <v>112</v>
      </c>
      <c r="D303" s="30" t="s">
        <v>623</v>
      </c>
      <c r="E303" s="31">
        <v>42887</v>
      </c>
      <c r="F303" s="30" t="s">
        <v>114</v>
      </c>
      <c r="G303" s="30" t="s">
        <v>115</v>
      </c>
      <c r="H303" s="30" t="s">
        <v>116</v>
      </c>
      <c r="I303" s="29">
        <v>10000</v>
      </c>
      <c r="J303" s="29">
        <v>10</v>
      </c>
      <c r="K303" s="29">
        <v>1000</v>
      </c>
      <c r="L303" s="38"/>
      <c r="M303" s="39"/>
      <c r="N303" s="40"/>
      <c r="O303" s="35"/>
      <c r="P303" s="36"/>
      <c r="Q303" s="36"/>
      <c r="T303" s="36"/>
    </row>
    <row r="304" spans="1:20" s="37" customFormat="1" ht="18.75" customHeight="1">
      <c r="A304" s="29">
        <f t="shared" si="6"/>
        <v>288</v>
      </c>
      <c r="B304" s="30"/>
      <c r="C304" s="30" t="s">
        <v>112</v>
      </c>
      <c r="D304" s="30" t="s">
        <v>624</v>
      </c>
      <c r="E304" s="31">
        <v>42887</v>
      </c>
      <c r="F304" s="30" t="s">
        <v>114</v>
      </c>
      <c r="G304" s="30" t="s">
        <v>115</v>
      </c>
      <c r="H304" s="30" t="s">
        <v>116</v>
      </c>
      <c r="I304" s="29">
        <v>10000</v>
      </c>
      <c r="J304" s="29">
        <v>10</v>
      </c>
      <c r="K304" s="29">
        <v>1000</v>
      </c>
      <c r="L304" s="38"/>
      <c r="M304" s="39"/>
      <c r="N304" s="40"/>
      <c r="O304" s="35"/>
      <c r="P304" s="36"/>
      <c r="Q304" s="36"/>
      <c r="T304" s="36"/>
    </row>
    <row r="305" spans="1:20" s="37" customFormat="1" ht="18.75" customHeight="1">
      <c r="A305" s="29">
        <f t="shared" si="6"/>
        <v>289</v>
      </c>
      <c r="B305" s="30"/>
      <c r="C305" s="30" t="s">
        <v>112</v>
      </c>
      <c r="D305" s="30" t="s">
        <v>625</v>
      </c>
      <c r="E305" s="31">
        <v>42887</v>
      </c>
      <c r="F305" s="30" t="s">
        <v>114</v>
      </c>
      <c r="G305" s="30" t="s">
        <v>115</v>
      </c>
      <c r="H305" s="30" t="s">
        <v>116</v>
      </c>
      <c r="I305" s="29">
        <v>10000</v>
      </c>
      <c r="J305" s="29">
        <v>10</v>
      </c>
      <c r="K305" s="29">
        <v>1000</v>
      </c>
      <c r="L305" s="38"/>
      <c r="M305" s="39"/>
      <c r="N305" s="40"/>
      <c r="O305" s="35"/>
      <c r="P305" s="36"/>
      <c r="Q305" s="36"/>
      <c r="T305" s="36"/>
    </row>
    <row r="306" spans="1:20" s="37" customFormat="1" ht="18.75" customHeight="1">
      <c r="A306" s="29">
        <f t="shared" si="6"/>
        <v>290</v>
      </c>
      <c r="B306" s="30"/>
      <c r="C306" s="30" t="s">
        <v>231</v>
      </c>
      <c r="D306" s="30" t="s">
        <v>626</v>
      </c>
      <c r="E306" s="31">
        <v>42888</v>
      </c>
      <c r="F306" s="30" t="s">
        <v>239</v>
      </c>
      <c r="G306" s="30" t="s">
        <v>240</v>
      </c>
      <c r="H306" s="30" t="s">
        <v>627</v>
      </c>
      <c r="I306" s="29">
        <v>28019000</v>
      </c>
      <c r="J306" s="29">
        <v>10</v>
      </c>
      <c r="K306" s="29">
        <v>2801900</v>
      </c>
      <c r="L306" s="38" t="s">
        <v>52</v>
      </c>
      <c r="M306" s="39">
        <v>42935</v>
      </c>
      <c r="N306" s="40" t="s">
        <v>587</v>
      </c>
      <c r="O306" s="35"/>
      <c r="P306" s="36"/>
      <c r="Q306" s="36"/>
      <c r="T306" s="36"/>
    </row>
    <row r="307" spans="1:20" s="37" customFormat="1" ht="18.75" customHeight="1">
      <c r="A307" s="29">
        <f t="shared" si="6"/>
        <v>291</v>
      </c>
      <c r="B307" s="30"/>
      <c r="C307" s="30" t="s">
        <v>502</v>
      </c>
      <c r="D307" s="30" t="s">
        <v>628</v>
      </c>
      <c r="E307" s="31">
        <v>42888</v>
      </c>
      <c r="F307" s="30" t="s">
        <v>362</v>
      </c>
      <c r="G307" s="30" t="s">
        <v>363</v>
      </c>
      <c r="H307" s="30" t="s">
        <v>129</v>
      </c>
      <c r="I307" s="29">
        <v>454545</v>
      </c>
      <c r="J307" s="29">
        <v>10</v>
      </c>
      <c r="K307" s="29">
        <v>45455</v>
      </c>
      <c r="L307" s="38"/>
      <c r="M307" s="39"/>
      <c r="N307" s="40"/>
      <c r="O307" s="35"/>
      <c r="P307" s="36"/>
      <c r="Q307" s="36"/>
      <c r="T307" s="36"/>
    </row>
    <row r="308" spans="1:20" s="37" customFormat="1" ht="18.75" customHeight="1">
      <c r="A308" s="29">
        <f t="shared" si="6"/>
        <v>292</v>
      </c>
      <c r="B308" s="30"/>
      <c r="C308" s="30" t="s">
        <v>93</v>
      </c>
      <c r="D308" s="30" t="s">
        <v>629</v>
      </c>
      <c r="E308" s="31">
        <v>42889</v>
      </c>
      <c r="F308" s="30" t="s">
        <v>49</v>
      </c>
      <c r="G308" s="30" t="s">
        <v>50</v>
      </c>
      <c r="H308" s="30" t="s">
        <v>51</v>
      </c>
      <c r="I308" s="29">
        <v>76480000</v>
      </c>
      <c r="J308" s="29">
        <v>10</v>
      </c>
      <c r="K308" s="29">
        <v>7648000</v>
      </c>
      <c r="L308" s="38" t="s">
        <v>52</v>
      </c>
      <c r="M308" s="39">
        <v>42935</v>
      </c>
      <c r="N308" s="40" t="s">
        <v>587</v>
      </c>
      <c r="O308" s="35"/>
      <c r="P308" s="36"/>
      <c r="Q308" s="36"/>
      <c r="T308" s="36"/>
    </row>
    <row r="309" spans="1:20" s="37" customFormat="1" ht="18.75" customHeight="1">
      <c r="A309" s="29">
        <f t="shared" si="6"/>
        <v>293</v>
      </c>
      <c r="B309" s="30"/>
      <c r="C309" s="30" t="s">
        <v>130</v>
      </c>
      <c r="D309" s="30" t="s">
        <v>630</v>
      </c>
      <c r="E309" s="31">
        <v>42889</v>
      </c>
      <c r="F309" s="30" t="s">
        <v>333</v>
      </c>
      <c r="G309" s="30" t="s">
        <v>334</v>
      </c>
      <c r="H309" s="30" t="s">
        <v>134</v>
      </c>
      <c r="I309" s="29">
        <v>1014000</v>
      </c>
      <c r="J309" s="29">
        <v>10</v>
      </c>
      <c r="K309" s="29">
        <v>101400</v>
      </c>
      <c r="L309" s="38"/>
      <c r="M309" s="39"/>
      <c r="N309" s="40"/>
      <c r="O309" s="35"/>
      <c r="P309" s="36"/>
      <c r="Q309" s="36"/>
      <c r="T309" s="36"/>
    </row>
    <row r="310" spans="1:20" s="37" customFormat="1" ht="18.75" customHeight="1">
      <c r="A310" s="29">
        <f t="shared" si="6"/>
        <v>294</v>
      </c>
      <c r="B310" s="30"/>
      <c r="C310" s="30" t="s">
        <v>54</v>
      </c>
      <c r="D310" s="30" t="s">
        <v>631</v>
      </c>
      <c r="E310" s="31">
        <v>42891</v>
      </c>
      <c r="F310" s="30" t="s">
        <v>56</v>
      </c>
      <c r="G310" s="30" t="s">
        <v>57</v>
      </c>
      <c r="H310" s="30" t="s">
        <v>591</v>
      </c>
      <c r="I310" s="29">
        <v>5777230</v>
      </c>
      <c r="J310" s="29">
        <v>10</v>
      </c>
      <c r="K310" s="29">
        <v>577723</v>
      </c>
      <c r="L310" s="38"/>
      <c r="M310" s="39"/>
      <c r="N310" s="40"/>
      <c r="O310" s="35"/>
      <c r="P310" s="36"/>
      <c r="Q310" s="36"/>
      <c r="T310" s="36"/>
    </row>
    <row r="311" spans="1:20" s="37" customFormat="1" ht="18.75" customHeight="1">
      <c r="A311" s="29">
        <f t="shared" si="6"/>
        <v>295</v>
      </c>
      <c r="B311" s="30"/>
      <c r="C311" s="30" t="s">
        <v>93</v>
      </c>
      <c r="D311" s="30" t="s">
        <v>376</v>
      </c>
      <c r="E311" s="31">
        <v>42891</v>
      </c>
      <c r="F311" s="30" t="s">
        <v>49</v>
      </c>
      <c r="G311" s="30" t="s">
        <v>50</v>
      </c>
      <c r="H311" s="30" t="s">
        <v>51</v>
      </c>
      <c r="I311" s="29">
        <v>46820000</v>
      </c>
      <c r="J311" s="29">
        <v>10</v>
      </c>
      <c r="K311" s="29">
        <v>4682000</v>
      </c>
      <c r="L311" s="38" t="s">
        <v>52</v>
      </c>
      <c r="M311" s="39">
        <v>42935</v>
      </c>
      <c r="N311" s="40" t="s">
        <v>587</v>
      </c>
      <c r="O311" s="35"/>
      <c r="P311" s="36"/>
      <c r="Q311" s="36"/>
      <c r="T311" s="36"/>
    </row>
    <row r="312" spans="1:20" s="37" customFormat="1" ht="18.75" customHeight="1">
      <c r="A312" s="29">
        <f t="shared" si="6"/>
        <v>296</v>
      </c>
      <c r="B312" s="30"/>
      <c r="C312" s="30" t="s">
        <v>93</v>
      </c>
      <c r="D312" s="30" t="s">
        <v>632</v>
      </c>
      <c r="E312" s="31">
        <v>42892</v>
      </c>
      <c r="F312" s="30" t="s">
        <v>49</v>
      </c>
      <c r="G312" s="30" t="s">
        <v>50</v>
      </c>
      <c r="H312" s="30" t="s">
        <v>51</v>
      </c>
      <c r="I312" s="29">
        <v>132040000</v>
      </c>
      <c r="J312" s="29">
        <v>10</v>
      </c>
      <c r="K312" s="29">
        <v>13204000</v>
      </c>
      <c r="L312" s="38" t="s">
        <v>52</v>
      </c>
      <c r="M312" s="39">
        <v>42998</v>
      </c>
      <c r="N312" s="40" t="s">
        <v>587</v>
      </c>
      <c r="O312" s="35"/>
      <c r="P312" s="36"/>
      <c r="Q312" s="36"/>
      <c r="T312" s="36"/>
    </row>
    <row r="313" spans="1:20" s="37" customFormat="1" ht="18.75" customHeight="1">
      <c r="A313" s="29">
        <f t="shared" si="6"/>
        <v>297</v>
      </c>
      <c r="B313" s="30"/>
      <c r="C313" s="30" t="s">
        <v>162</v>
      </c>
      <c r="D313" s="30" t="s">
        <v>633</v>
      </c>
      <c r="E313" s="31">
        <v>42892</v>
      </c>
      <c r="F313" s="30" t="s">
        <v>164</v>
      </c>
      <c r="G313" s="30" t="s">
        <v>165</v>
      </c>
      <c r="H313" s="30" t="s">
        <v>166</v>
      </c>
      <c r="I313" s="29">
        <v>17940386</v>
      </c>
      <c r="J313" s="29">
        <v>10</v>
      </c>
      <c r="K313" s="29">
        <v>1794039</v>
      </c>
      <c r="L313" s="38"/>
      <c r="M313" s="39"/>
      <c r="N313" s="40"/>
      <c r="O313" s="35"/>
      <c r="P313" s="36"/>
      <c r="Q313" s="36"/>
      <c r="T313" s="36"/>
    </row>
    <row r="314" spans="1:20" s="37" customFormat="1" ht="18.75" customHeight="1">
      <c r="A314" s="29">
        <f t="shared" si="6"/>
        <v>298</v>
      </c>
      <c r="B314" s="30"/>
      <c r="C314" s="30" t="s">
        <v>278</v>
      </c>
      <c r="D314" s="30" t="s">
        <v>634</v>
      </c>
      <c r="E314" s="31">
        <v>42893</v>
      </c>
      <c r="F314" s="30" t="s">
        <v>280</v>
      </c>
      <c r="G314" s="30" t="s">
        <v>281</v>
      </c>
      <c r="H314" s="30" t="s">
        <v>591</v>
      </c>
      <c r="I314" s="29">
        <v>5342800</v>
      </c>
      <c r="J314" s="29">
        <v>10</v>
      </c>
      <c r="K314" s="29">
        <v>534280</v>
      </c>
      <c r="L314" s="38"/>
      <c r="M314" s="39"/>
      <c r="N314" s="40"/>
      <c r="O314" s="35"/>
      <c r="P314" s="36"/>
      <c r="Q314" s="36"/>
      <c r="T314" s="36"/>
    </row>
    <row r="315" spans="1:20" s="37" customFormat="1" ht="18.75" customHeight="1">
      <c r="A315" s="29">
        <f t="shared" si="6"/>
        <v>299</v>
      </c>
      <c r="B315" s="30"/>
      <c r="C315" s="30" t="s">
        <v>69</v>
      </c>
      <c r="D315" s="30" t="s">
        <v>635</v>
      </c>
      <c r="E315" s="31">
        <v>42893</v>
      </c>
      <c r="F315" s="30" t="s">
        <v>71</v>
      </c>
      <c r="G315" s="30" t="s">
        <v>72</v>
      </c>
      <c r="H315" s="30" t="s">
        <v>40</v>
      </c>
      <c r="I315" s="29">
        <v>1600000</v>
      </c>
      <c r="J315" s="29">
        <v>10</v>
      </c>
      <c r="K315" s="29">
        <v>160000</v>
      </c>
      <c r="L315" s="38"/>
      <c r="M315" s="39"/>
      <c r="N315" s="40"/>
      <c r="O315" s="35"/>
      <c r="P315" s="36"/>
      <c r="Q315" s="36"/>
      <c r="T315" s="36"/>
    </row>
    <row r="316" spans="1:20" s="37" customFormat="1" ht="18.75" customHeight="1">
      <c r="A316" s="29">
        <f t="shared" si="6"/>
        <v>300</v>
      </c>
      <c r="B316" s="30"/>
      <c r="C316" s="30" t="s">
        <v>112</v>
      </c>
      <c r="D316" s="30" t="s">
        <v>636</v>
      </c>
      <c r="E316" s="31">
        <v>42893</v>
      </c>
      <c r="F316" s="30" t="s">
        <v>114</v>
      </c>
      <c r="G316" s="30" t="s">
        <v>115</v>
      </c>
      <c r="H316" s="30" t="s">
        <v>116</v>
      </c>
      <c r="I316" s="29">
        <v>20000</v>
      </c>
      <c r="J316" s="29">
        <v>10</v>
      </c>
      <c r="K316" s="29">
        <v>2000</v>
      </c>
      <c r="L316" s="38"/>
      <c r="M316" s="39"/>
      <c r="N316" s="40"/>
      <c r="O316" s="35"/>
      <c r="P316" s="36"/>
      <c r="Q316" s="36"/>
      <c r="T316" s="36"/>
    </row>
    <row r="317" spans="1:20" s="37" customFormat="1" ht="18.75" customHeight="1">
      <c r="A317" s="29">
        <f t="shared" si="6"/>
        <v>301</v>
      </c>
      <c r="B317" s="30"/>
      <c r="C317" s="30" t="s">
        <v>444</v>
      </c>
      <c r="D317" s="30" t="s">
        <v>637</v>
      </c>
      <c r="E317" s="31">
        <v>42894</v>
      </c>
      <c r="F317" s="30" t="s">
        <v>638</v>
      </c>
      <c r="G317" s="30" t="s">
        <v>447</v>
      </c>
      <c r="H317" s="30" t="s">
        <v>639</v>
      </c>
      <c r="I317" s="29">
        <f>2368040+118402</f>
        <v>2486442</v>
      </c>
      <c r="J317" s="29">
        <v>10</v>
      </c>
      <c r="K317" s="52">
        <f>236804/2</f>
        <v>118402</v>
      </c>
      <c r="L317" s="38"/>
      <c r="M317" s="39"/>
      <c r="N317" s="40"/>
      <c r="O317" s="35"/>
      <c r="P317" s="36"/>
      <c r="Q317" s="53" t="s">
        <v>640</v>
      </c>
      <c r="T317" s="36"/>
    </row>
    <row r="318" spans="1:20" s="37" customFormat="1" ht="18.75" customHeight="1">
      <c r="A318" s="29">
        <f t="shared" si="6"/>
        <v>302</v>
      </c>
      <c r="B318" s="30"/>
      <c r="C318" s="30" t="s">
        <v>167</v>
      </c>
      <c r="D318" s="30" t="s">
        <v>641</v>
      </c>
      <c r="E318" s="31">
        <v>42895</v>
      </c>
      <c r="F318" s="30" t="s">
        <v>169</v>
      </c>
      <c r="G318" s="30" t="s">
        <v>170</v>
      </c>
      <c r="H318" s="30" t="s">
        <v>171</v>
      </c>
      <c r="I318" s="29">
        <v>794000</v>
      </c>
      <c r="J318" s="29">
        <v>10</v>
      </c>
      <c r="K318" s="29">
        <v>79400</v>
      </c>
      <c r="L318" s="38"/>
      <c r="M318" s="39"/>
      <c r="N318" s="40"/>
      <c r="O318" s="35"/>
      <c r="P318" s="36"/>
      <c r="Q318" s="36"/>
      <c r="T318" s="36"/>
    </row>
    <row r="319" spans="1:20" s="37" customFormat="1" ht="18.75" customHeight="1">
      <c r="A319" s="29">
        <f t="shared" si="6"/>
        <v>303</v>
      </c>
      <c r="B319" s="30"/>
      <c r="C319" s="30" t="s">
        <v>93</v>
      </c>
      <c r="D319" s="30" t="s">
        <v>642</v>
      </c>
      <c r="E319" s="31">
        <v>42895</v>
      </c>
      <c r="F319" s="30" t="s">
        <v>643</v>
      </c>
      <c r="G319" s="30" t="s">
        <v>644</v>
      </c>
      <c r="H319" s="30" t="s">
        <v>645</v>
      </c>
      <c r="I319" s="29">
        <v>218182</v>
      </c>
      <c r="J319" s="29">
        <v>10</v>
      </c>
      <c r="K319" s="29">
        <v>21818</v>
      </c>
      <c r="L319" s="38"/>
      <c r="M319" s="39"/>
      <c r="N319" s="40"/>
      <c r="O319" s="35"/>
      <c r="P319" s="36"/>
      <c r="Q319" s="36"/>
      <c r="T319" s="36"/>
    </row>
    <row r="320" spans="1:20" s="37" customFormat="1" ht="18.75" customHeight="1">
      <c r="A320" s="29">
        <f t="shared" si="6"/>
        <v>304</v>
      </c>
      <c r="B320" s="30"/>
      <c r="C320" s="30" t="s">
        <v>646</v>
      </c>
      <c r="D320" s="30" t="s">
        <v>647</v>
      </c>
      <c r="E320" s="31">
        <v>42896</v>
      </c>
      <c r="F320" s="30" t="s">
        <v>648</v>
      </c>
      <c r="G320" s="30" t="s">
        <v>649</v>
      </c>
      <c r="H320" s="30" t="s">
        <v>650</v>
      </c>
      <c r="I320" s="29">
        <v>2218200</v>
      </c>
      <c r="J320" s="29">
        <v>10</v>
      </c>
      <c r="K320" s="29">
        <v>221820</v>
      </c>
      <c r="L320" s="38"/>
      <c r="M320" s="39"/>
      <c r="N320" s="40"/>
      <c r="O320" s="35"/>
      <c r="P320" s="36"/>
      <c r="Q320" s="36"/>
      <c r="T320" s="36"/>
    </row>
    <row r="321" spans="1:20" s="37" customFormat="1" ht="18.75" customHeight="1">
      <c r="A321" s="29">
        <f t="shared" si="6"/>
        <v>305</v>
      </c>
      <c r="B321" s="30"/>
      <c r="C321" s="30" t="s">
        <v>162</v>
      </c>
      <c r="D321" s="30" t="s">
        <v>651</v>
      </c>
      <c r="E321" s="31">
        <v>42896</v>
      </c>
      <c r="F321" s="30" t="s">
        <v>164</v>
      </c>
      <c r="G321" s="30" t="s">
        <v>165</v>
      </c>
      <c r="H321" s="30" t="s">
        <v>166</v>
      </c>
      <c r="I321" s="29">
        <v>22103018</v>
      </c>
      <c r="J321" s="29">
        <v>10</v>
      </c>
      <c r="K321" s="29">
        <v>2210302</v>
      </c>
      <c r="L321" s="38" t="s">
        <v>52</v>
      </c>
      <c r="M321" s="39">
        <v>42935</v>
      </c>
      <c r="N321" s="40" t="s">
        <v>587</v>
      </c>
      <c r="O321" s="35"/>
      <c r="P321" s="36"/>
      <c r="Q321" s="36"/>
      <c r="T321" s="36"/>
    </row>
    <row r="322" spans="1:20" s="37" customFormat="1" ht="18.75" customHeight="1">
      <c r="A322" s="29">
        <f t="shared" si="6"/>
        <v>306</v>
      </c>
      <c r="B322" s="30"/>
      <c r="C322" s="30" t="s">
        <v>93</v>
      </c>
      <c r="D322" s="30" t="s">
        <v>652</v>
      </c>
      <c r="E322" s="31">
        <v>42898</v>
      </c>
      <c r="F322" s="30" t="s">
        <v>49</v>
      </c>
      <c r="G322" s="30" t="s">
        <v>50</v>
      </c>
      <c r="H322" s="30" t="s">
        <v>51</v>
      </c>
      <c r="I322" s="29">
        <v>109120000</v>
      </c>
      <c r="J322" s="29">
        <v>10</v>
      </c>
      <c r="K322" s="29">
        <v>10912000</v>
      </c>
      <c r="L322" s="38" t="s">
        <v>52</v>
      </c>
      <c r="M322" s="39">
        <v>42935</v>
      </c>
      <c r="N322" s="40" t="s">
        <v>587</v>
      </c>
      <c r="O322" s="35"/>
      <c r="P322" s="36"/>
      <c r="Q322" s="36"/>
      <c r="T322" s="36"/>
    </row>
    <row r="323" spans="1:20" s="37" customFormat="1" ht="18.75" customHeight="1">
      <c r="A323" s="29">
        <f t="shared" si="6"/>
        <v>307</v>
      </c>
      <c r="B323" s="30"/>
      <c r="C323" s="30" t="s">
        <v>320</v>
      </c>
      <c r="D323" s="30" t="s">
        <v>653</v>
      </c>
      <c r="E323" s="31">
        <v>42899</v>
      </c>
      <c r="F323" s="30" t="s">
        <v>322</v>
      </c>
      <c r="G323" s="30" t="s">
        <v>323</v>
      </c>
      <c r="H323" s="30" t="s">
        <v>654</v>
      </c>
      <c r="I323" s="29">
        <v>32370000</v>
      </c>
      <c r="J323" s="29">
        <v>10</v>
      </c>
      <c r="K323" s="29">
        <v>3237000</v>
      </c>
      <c r="L323" s="38" t="s">
        <v>52</v>
      </c>
      <c r="M323" s="39">
        <v>42912</v>
      </c>
      <c r="N323" s="40" t="s">
        <v>587</v>
      </c>
      <c r="O323" s="35"/>
      <c r="P323" s="36"/>
      <c r="Q323" s="36"/>
      <c r="T323" s="36"/>
    </row>
    <row r="324" spans="1:20" s="37" customFormat="1" ht="18.75" customHeight="1">
      <c r="A324" s="29">
        <f t="shared" si="6"/>
        <v>308</v>
      </c>
      <c r="B324" s="30"/>
      <c r="C324" s="30" t="s">
        <v>100</v>
      </c>
      <c r="D324" s="30" t="s">
        <v>655</v>
      </c>
      <c r="E324" s="31">
        <v>42899</v>
      </c>
      <c r="F324" s="30" t="s">
        <v>102</v>
      </c>
      <c r="G324" s="30" t="s">
        <v>103</v>
      </c>
      <c r="H324" s="30" t="s">
        <v>377</v>
      </c>
      <c r="I324" s="29">
        <v>4950000</v>
      </c>
      <c r="J324" s="29">
        <v>10</v>
      </c>
      <c r="K324" s="29">
        <v>495000</v>
      </c>
      <c r="L324" s="38"/>
      <c r="M324" s="39"/>
      <c r="N324" s="40"/>
      <c r="O324" s="35"/>
      <c r="P324" s="36"/>
      <c r="Q324" s="36"/>
      <c r="T324" s="36"/>
    </row>
    <row r="325" spans="1:20" s="37" customFormat="1" ht="18.75" customHeight="1">
      <c r="A325" s="29">
        <f t="shared" si="6"/>
        <v>309</v>
      </c>
      <c r="B325" s="30"/>
      <c r="C325" s="30" t="s">
        <v>261</v>
      </c>
      <c r="D325" s="30" t="s">
        <v>656</v>
      </c>
      <c r="E325" s="31">
        <v>42899</v>
      </c>
      <c r="F325" s="30" t="s">
        <v>139</v>
      </c>
      <c r="G325" s="30" t="s">
        <v>140</v>
      </c>
      <c r="H325" s="30" t="s">
        <v>619</v>
      </c>
      <c r="I325" s="29">
        <v>588490</v>
      </c>
      <c r="J325" s="29">
        <v>10</v>
      </c>
      <c r="K325" s="29">
        <v>58849</v>
      </c>
      <c r="L325" s="38"/>
      <c r="M325" s="39"/>
      <c r="N325" s="40"/>
      <c r="O325" s="35"/>
      <c r="P325" s="36"/>
      <c r="Q325" s="36"/>
      <c r="T325" s="36"/>
    </row>
    <row r="326" spans="1:20" s="37" customFormat="1" ht="18.75" customHeight="1">
      <c r="A326" s="29">
        <f t="shared" si="6"/>
        <v>310</v>
      </c>
      <c r="B326" s="30"/>
      <c r="C326" s="30" t="s">
        <v>261</v>
      </c>
      <c r="D326" s="30" t="s">
        <v>657</v>
      </c>
      <c r="E326" s="31">
        <v>42899</v>
      </c>
      <c r="F326" s="30" t="s">
        <v>139</v>
      </c>
      <c r="G326" s="30" t="s">
        <v>140</v>
      </c>
      <c r="H326" s="30" t="s">
        <v>619</v>
      </c>
      <c r="I326" s="29">
        <v>44545</v>
      </c>
      <c r="J326" s="29">
        <v>10</v>
      </c>
      <c r="K326" s="29">
        <v>4455</v>
      </c>
      <c r="L326" s="38"/>
      <c r="M326" s="39"/>
      <c r="N326" s="40"/>
      <c r="O326" s="35"/>
      <c r="P326" s="36"/>
      <c r="Q326" s="36"/>
      <c r="T326" s="36"/>
    </row>
    <row r="327" spans="1:20" s="37" customFormat="1" ht="18.75" customHeight="1">
      <c r="A327" s="29">
        <f t="shared" si="6"/>
        <v>311</v>
      </c>
      <c r="B327" s="30"/>
      <c r="C327" s="30" t="s">
        <v>261</v>
      </c>
      <c r="D327" s="30" t="s">
        <v>658</v>
      </c>
      <c r="E327" s="31">
        <v>42899</v>
      </c>
      <c r="F327" s="30" t="s">
        <v>139</v>
      </c>
      <c r="G327" s="30" t="s">
        <v>140</v>
      </c>
      <c r="H327" s="30" t="s">
        <v>619</v>
      </c>
      <c r="I327" s="29">
        <v>308387</v>
      </c>
      <c r="J327" s="29">
        <v>10</v>
      </c>
      <c r="K327" s="29">
        <v>30839</v>
      </c>
      <c r="L327" s="38"/>
      <c r="M327" s="39"/>
      <c r="N327" s="40"/>
      <c r="O327" s="35"/>
      <c r="P327" s="36"/>
      <c r="Q327" s="36"/>
      <c r="T327" s="36"/>
    </row>
    <row r="328" spans="1:20" s="37" customFormat="1" ht="18.75" customHeight="1">
      <c r="A328" s="29">
        <f t="shared" si="6"/>
        <v>312</v>
      </c>
      <c r="B328" s="30"/>
      <c r="C328" s="30" t="s">
        <v>261</v>
      </c>
      <c r="D328" s="30" t="s">
        <v>659</v>
      </c>
      <c r="E328" s="31">
        <v>42899</v>
      </c>
      <c r="F328" s="30" t="s">
        <v>139</v>
      </c>
      <c r="G328" s="30" t="s">
        <v>140</v>
      </c>
      <c r="H328" s="30" t="s">
        <v>619</v>
      </c>
      <c r="I328" s="29">
        <v>618741</v>
      </c>
      <c r="J328" s="29">
        <v>10</v>
      </c>
      <c r="K328" s="29">
        <v>61874</v>
      </c>
      <c r="L328" s="38"/>
      <c r="M328" s="39"/>
      <c r="N328" s="40"/>
      <c r="O328" s="35"/>
      <c r="P328" s="36"/>
      <c r="Q328" s="36"/>
      <c r="T328" s="36"/>
    </row>
    <row r="329" spans="1:20" s="37" customFormat="1" ht="18.75" customHeight="1">
      <c r="A329" s="29">
        <f t="shared" si="6"/>
        <v>313</v>
      </c>
      <c r="B329" s="30"/>
      <c r="C329" s="30" t="s">
        <v>502</v>
      </c>
      <c r="D329" s="30" t="s">
        <v>660</v>
      </c>
      <c r="E329" s="31">
        <v>42900</v>
      </c>
      <c r="F329" s="30" t="s">
        <v>127</v>
      </c>
      <c r="G329" s="30" t="s">
        <v>128</v>
      </c>
      <c r="H329" s="30" t="s">
        <v>129</v>
      </c>
      <c r="I329" s="29">
        <v>454545</v>
      </c>
      <c r="J329" s="29">
        <v>10</v>
      </c>
      <c r="K329" s="29">
        <v>45455</v>
      </c>
      <c r="L329" s="38"/>
      <c r="M329" s="39"/>
      <c r="N329" s="40"/>
      <c r="O329" s="35"/>
      <c r="P329" s="36"/>
      <c r="Q329" s="36"/>
      <c r="T329" s="36"/>
    </row>
    <row r="330" spans="1:20" s="37" customFormat="1" ht="18.75" customHeight="1">
      <c r="A330" s="29">
        <f t="shared" si="6"/>
        <v>314</v>
      </c>
      <c r="B330" s="30"/>
      <c r="C330" s="30" t="s">
        <v>112</v>
      </c>
      <c r="D330" s="30" t="s">
        <v>661</v>
      </c>
      <c r="E330" s="31">
        <v>42900</v>
      </c>
      <c r="F330" s="30" t="s">
        <v>114</v>
      </c>
      <c r="G330" s="30" t="s">
        <v>115</v>
      </c>
      <c r="H330" s="30" t="s">
        <v>116</v>
      </c>
      <c r="I330" s="29">
        <v>20000</v>
      </c>
      <c r="J330" s="29">
        <v>10</v>
      </c>
      <c r="K330" s="29">
        <v>2000</v>
      </c>
      <c r="L330" s="38"/>
      <c r="M330" s="39"/>
      <c r="N330" s="40"/>
      <c r="O330" s="35"/>
      <c r="P330" s="36"/>
      <c r="Q330" s="36"/>
      <c r="T330" s="36"/>
    </row>
    <row r="331" spans="1:20" s="37" customFormat="1" ht="18.75" customHeight="1">
      <c r="A331" s="29">
        <f t="shared" si="6"/>
        <v>315</v>
      </c>
      <c r="B331" s="30"/>
      <c r="C331" s="30" t="s">
        <v>130</v>
      </c>
      <c r="D331" s="30" t="s">
        <v>662</v>
      </c>
      <c r="E331" s="31">
        <v>42901</v>
      </c>
      <c r="F331" s="30" t="s">
        <v>333</v>
      </c>
      <c r="G331" s="30" t="s">
        <v>334</v>
      </c>
      <c r="H331" s="30" t="s">
        <v>134</v>
      </c>
      <c r="I331" s="29">
        <v>1009000</v>
      </c>
      <c r="J331" s="29">
        <v>10</v>
      </c>
      <c r="K331" s="29">
        <v>100900</v>
      </c>
      <c r="L331" s="38"/>
      <c r="M331" s="39"/>
      <c r="N331" s="40"/>
      <c r="O331" s="35"/>
      <c r="P331" s="36"/>
      <c r="Q331" s="36"/>
      <c r="T331" s="36"/>
    </row>
    <row r="332" spans="1:20" s="37" customFormat="1" ht="18.75" customHeight="1">
      <c r="A332" s="29">
        <f t="shared" si="6"/>
        <v>316</v>
      </c>
      <c r="B332" s="30"/>
      <c r="C332" s="30" t="s">
        <v>226</v>
      </c>
      <c r="D332" s="30" t="s">
        <v>536</v>
      </c>
      <c r="E332" s="31">
        <v>42902</v>
      </c>
      <c r="F332" s="30" t="s">
        <v>228</v>
      </c>
      <c r="G332" s="30" t="s">
        <v>229</v>
      </c>
      <c r="H332" s="30" t="s">
        <v>663</v>
      </c>
      <c r="I332" s="29">
        <v>15220000</v>
      </c>
      <c r="J332" s="29">
        <v>10</v>
      </c>
      <c r="K332" s="29">
        <v>1522000</v>
      </c>
      <c r="L332" s="38"/>
      <c r="M332" s="39"/>
      <c r="N332" s="40"/>
      <c r="O332" s="35"/>
      <c r="P332" s="36"/>
      <c r="Q332" s="36"/>
      <c r="T332" s="36"/>
    </row>
    <row r="333" spans="1:20" s="37" customFormat="1" ht="18.75" customHeight="1">
      <c r="A333" s="29">
        <f t="shared" si="6"/>
        <v>317</v>
      </c>
      <c r="B333" s="30"/>
      <c r="C333" s="30" t="s">
        <v>93</v>
      </c>
      <c r="D333" s="30" t="s">
        <v>664</v>
      </c>
      <c r="E333" s="31">
        <v>42902</v>
      </c>
      <c r="F333" s="30" t="s">
        <v>49</v>
      </c>
      <c r="G333" s="30" t="s">
        <v>50</v>
      </c>
      <c r="H333" s="30" t="s">
        <v>51</v>
      </c>
      <c r="I333" s="29">
        <v>116320000</v>
      </c>
      <c r="J333" s="29">
        <v>10</v>
      </c>
      <c r="K333" s="29">
        <v>11632000</v>
      </c>
      <c r="L333" s="38" t="s">
        <v>52</v>
      </c>
      <c r="M333" s="39">
        <v>42935</v>
      </c>
      <c r="N333" s="40" t="s">
        <v>587</v>
      </c>
      <c r="O333" s="35"/>
      <c r="P333" s="36"/>
      <c r="Q333" s="36"/>
      <c r="T333" s="36"/>
    </row>
    <row r="334" spans="1:20" s="37" customFormat="1" ht="18.75" customHeight="1">
      <c r="A334" s="29">
        <f t="shared" si="6"/>
        <v>318</v>
      </c>
      <c r="B334" s="30"/>
      <c r="C334" s="30" t="s">
        <v>502</v>
      </c>
      <c r="D334" s="30" t="s">
        <v>665</v>
      </c>
      <c r="E334" s="31">
        <v>42902</v>
      </c>
      <c r="F334" s="30" t="s">
        <v>666</v>
      </c>
      <c r="G334" s="30" t="s">
        <v>363</v>
      </c>
      <c r="H334" s="30" t="s">
        <v>667</v>
      </c>
      <c r="I334" s="29">
        <v>2450909</v>
      </c>
      <c r="J334" s="29">
        <v>10</v>
      </c>
      <c r="K334" s="29">
        <v>245091</v>
      </c>
      <c r="L334" s="38"/>
      <c r="M334" s="39"/>
      <c r="N334" s="40"/>
      <c r="O334" s="35"/>
      <c r="P334" s="36"/>
      <c r="Q334" s="36"/>
      <c r="T334" s="36"/>
    </row>
    <row r="335" spans="1:20" s="61" customFormat="1" ht="18.75" customHeight="1">
      <c r="A335" s="54">
        <f t="shared" si="6"/>
        <v>319</v>
      </c>
      <c r="B335" s="55"/>
      <c r="C335" s="55" t="s">
        <v>167</v>
      </c>
      <c r="D335" s="55" t="s">
        <v>668</v>
      </c>
      <c r="E335" s="56">
        <v>42904</v>
      </c>
      <c r="F335" s="55" t="s">
        <v>669</v>
      </c>
      <c r="G335" s="55" t="s">
        <v>670</v>
      </c>
      <c r="H335" s="55" t="s">
        <v>671</v>
      </c>
      <c r="I335" s="54">
        <v>20990909</v>
      </c>
      <c r="J335" s="54">
        <v>10</v>
      </c>
      <c r="K335" s="54">
        <v>2099091</v>
      </c>
      <c r="L335" s="57" t="s">
        <v>52</v>
      </c>
      <c r="M335" s="58">
        <v>42907</v>
      </c>
      <c r="N335" s="59" t="s">
        <v>587</v>
      </c>
      <c r="O335" s="60"/>
      <c r="P335" s="49"/>
      <c r="Q335" s="49"/>
      <c r="T335" s="49"/>
    </row>
    <row r="336" spans="1:20" s="37" customFormat="1" ht="18.75" customHeight="1">
      <c r="A336" s="29">
        <f t="shared" si="6"/>
        <v>320</v>
      </c>
      <c r="B336" s="30"/>
      <c r="C336" s="30" t="s">
        <v>100</v>
      </c>
      <c r="D336" s="30" t="s">
        <v>672</v>
      </c>
      <c r="E336" s="31">
        <v>42905</v>
      </c>
      <c r="F336" s="30" t="s">
        <v>102</v>
      </c>
      <c r="G336" s="30" t="s">
        <v>103</v>
      </c>
      <c r="H336" s="30" t="s">
        <v>377</v>
      </c>
      <c r="I336" s="29">
        <v>13350000</v>
      </c>
      <c r="J336" s="29">
        <v>10</v>
      </c>
      <c r="K336" s="29">
        <v>1335000</v>
      </c>
      <c r="L336" s="38"/>
      <c r="M336" s="39"/>
      <c r="N336" s="40"/>
      <c r="O336" s="35"/>
      <c r="P336" s="36"/>
      <c r="Q336" s="36"/>
      <c r="T336" s="36"/>
    </row>
    <row r="337" spans="1:20" s="37" customFormat="1" ht="18.75" customHeight="1">
      <c r="A337" s="29">
        <f t="shared" si="6"/>
        <v>321</v>
      </c>
      <c r="B337" s="30"/>
      <c r="C337" s="30" t="s">
        <v>93</v>
      </c>
      <c r="D337" s="30" t="s">
        <v>673</v>
      </c>
      <c r="E337" s="31">
        <v>42905</v>
      </c>
      <c r="F337" s="30" t="s">
        <v>49</v>
      </c>
      <c r="G337" s="30" t="s">
        <v>50</v>
      </c>
      <c r="H337" s="30" t="s">
        <v>51</v>
      </c>
      <c r="I337" s="29">
        <v>157920000</v>
      </c>
      <c r="J337" s="29">
        <v>10</v>
      </c>
      <c r="K337" s="29">
        <v>15792000</v>
      </c>
      <c r="L337" s="38" t="s">
        <v>52</v>
      </c>
      <c r="M337" s="39">
        <v>42998</v>
      </c>
      <c r="N337" s="40" t="s">
        <v>587</v>
      </c>
      <c r="O337" s="35"/>
      <c r="P337" s="36"/>
      <c r="Q337" s="36"/>
      <c r="T337" s="36"/>
    </row>
    <row r="338" spans="1:20" s="37" customFormat="1" ht="18.75" customHeight="1">
      <c r="A338" s="29">
        <f t="shared" si="6"/>
        <v>322</v>
      </c>
      <c r="B338" s="30"/>
      <c r="C338" s="30" t="s">
        <v>468</v>
      </c>
      <c r="D338" s="30" t="s">
        <v>674</v>
      </c>
      <c r="E338" s="31">
        <v>42905</v>
      </c>
      <c r="F338" s="30" t="s">
        <v>181</v>
      </c>
      <c r="G338" s="30" t="s">
        <v>182</v>
      </c>
      <c r="H338" s="30" t="s">
        <v>675</v>
      </c>
      <c r="I338" s="29">
        <v>903636</v>
      </c>
      <c r="J338" s="29">
        <v>10</v>
      </c>
      <c r="K338" s="29">
        <v>90364</v>
      </c>
      <c r="L338" s="38"/>
      <c r="M338" s="39"/>
      <c r="N338" s="40"/>
      <c r="O338" s="35"/>
      <c r="P338" s="36"/>
      <c r="Q338" s="36"/>
      <c r="T338" s="36"/>
    </row>
    <row r="339" spans="1:20" s="37" customFormat="1" ht="18.75" customHeight="1">
      <c r="A339" s="29">
        <f t="shared" si="6"/>
        <v>323</v>
      </c>
      <c r="B339" s="30"/>
      <c r="C339" s="30" t="s">
        <v>502</v>
      </c>
      <c r="D339" s="30" t="s">
        <v>676</v>
      </c>
      <c r="E339" s="31">
        <v>42905</v>
      </c>
      <c r="F339" s="30" t="s">
        <v>127</v>
      </c>
      <c r="G339" s="30" t="s">
        <v>128</v>
      </c>
      <c r="H339" s="30" t="s">
        <v>129</v>
      </c>
      <c r="I339" s="29">
        <v>454545</v>
      </c>
      <c r="J339" s="29">
        <v>10</v>
      </c>
      <c r="K339" s="29">
        <v>45455</v>
      </c>
      <c r="L339" s="38"/>
      <c r="M339" s="39"/>
      <c r="N339" s="40"/>
      <c r="O339" s="35"/>
      <c r="P339" s="36"/>
      <c r="Q339" s="36"/>
      <c r="T339" s="36"/>
    </row>
    <row r="340" spans="1:20" s="37" customFormat="1" ht="18.75" customHeight="1">
      <c r="A340" s="29">
        <f t="shared" si="6"/>
        <v>324</v>
      </c>
      <c r="B340" s="30"/>
      <c r="C340" s="30" t="s">
        <v>74</v>
      </c>
      <c r="D340" s="30" t="s">
        <v>677</v>
      </c>
      <c r="E340" s="31">
        <v>42906</v>
      </c>
      <c r="F340" s="30" t="s">
        <v>76</v>
      </c>
      <c r="G340" s="30" t="s">
        <v>77</v>
      </c>
      <c r="H340" s="30" t="s">
        <v>678</v>
      </c>
      <c r="I340" s="29">
        <v>4003400</v>
      </c>
      <c r="J340" s="29">
        <v>10</v>
      </c>
      <c r="K340" s="29">
        <v>400340</v>
      </c>
      <c r="L340" s="38"/>
      <c r="M340" s="39"/>
      <c r="N340" s="40"/>
      <c r="O340" s="35"/>
      <c r="P340" s="36"/>
      <c r="Q340" s="36"/>
      <c r="T340" s="36"/>
    </row>
    <row r="341" spans="1:20" s="37" customFormat="1" ht="18.75" customHeight="1">
      <c r="A341" s="29">
        <f t="shared" si="6"/>
        <v>325</v>
      </c>
      <c r="B341" s="30"/>
      <c r="C341" s="30" t="s">
        <v>95</v>
      </c>
      <c r="D341" s="30" t="s">
        <v>401</v>
      </c>
      <c r="E341" s="31">
        <v>42906</v>
      </c>
      <c r="F341" s="30" t="s">
        <v>97</v>
      </c>
      <c r="G341" s="30" t="s">
        <v>98</v>
      </c>
      <c r="H341" s="30" t="s">
        <v>679</v>
      </c>
      <c r="I341" s="29">
        <v>43200000</v>
      </c>
      <c r="J341" s="29">
        <v>10</v>
      </c>
      <c r="K341" s="29">
        <v>4320000</v>
      </c>
      <c r="L341" s="38" t="s">
        <v>52</v>
      </c>
      <c r="M341" s="39">
        <v>42935</v>
      </c>
      <c r="N341" s="40" t="s">
        <v>587</v>
      </c>
      <c r="O341" s="35"/>
      <c r="P341" s="36"/>
      <c r="Q341" s="36"/>
      <c r="T341" s="36"/>
    </row>
    <row r="342" spans="1:20" s="37" customFormat="1" ht="18.75" customHeight="1">
      <c r="A342" s="29">
        <f t="shared" si="6"/>
        <v>326</v>
      </c>
      <c r="B342" s="30"/>
      <c r="C342" s="30" t="s">
        <v>93</v>
      </c>
      <c r="D342" s="30" t="s">
        <v>680</v>
      </c>
      <c r="E342" s="31">
        <v>42906</v>
      </c>
      <c r="F342" s="30" t="s">
        <v>336</v>
      </c>
      <c r="G342" s="30" t="s">
        <v>337</v>
      </c>
      <c r="H342" s="30" t="s">
        <v>681</v>
      </c>
      <c r="I342" s="29">
        <v>501049900</v>
      </c>
      <c r="J342" s="29">
        <v>10</v>
      </c>
      <c r="K342" s="29">
        <v>50104990</v>
      </c>
      <c r="L342" s="38" t="s">
        <v>52</v>
      </c>
      <c r="M342" s="39">
        <v>42912</v>
      </c>
      <c r="N342" s="40" t="s">
        <v>587</v>
      </c>
      <c r="O342" s="35"/>
      <c r="P342" s="36"/>
      <c r="Q342" s="36"/>
      <c r="T342" s="36"/>
    </row>
    <row r="343" spans="1:20" s="37" customFormat="1" ht="18.75" customHeight="1">
      <c r="A343" s="29">
        <f t="shared" si="6"/>
        <v>327</v>
      </c>
      <c r="B343" s="30"/>
      <c r="C343" s="30" t="s">
        <v>93</v>
      </c>
      <c r="D343" s="30" t="s">
        <v>682</v>
      </c>
      <c r="E343" s="31">
        <v>42907</v>
      </c>
      <c r="F343" s="30" t="s">
        <v>336</v>
      </c>
      <c r="G343" s="30" t="s">
        <v>337</v>
      </c>
      <c r="H343" s="30" t="s">
        <v>338</v>
      </c>
      <c r="I343" s="29">
        <v>144194251</v>
      </c>
      <c r="J343" s="29">
        <v>10</v>
      </c>
      <c r="K343" s="29">
        <v>14419425</v>
      </c>
      <c r="L343" s="38" t="s">
        <v>52</v>
      </c>
      <c r="M343" s="39">
        <v>42912</v>
      </c>
      <c r="N343" s="40" t="s">
        <v>587</v>
      </c>
      <c r="O343" s="35"/>
      <c r="P343" s="36"/>
      <c r="Q343" s="36"/>
      <c r="T343" s="36"/>
    </row>
    <row r="344" spans="1:20" s="37" customFormat="1" ht="18.75" customHeight="1">
      <c r="A344" s="29">
        <f t="shared" ref="A344:A377" si="7">+A343+1</f>
        <v>328</v>
      </c>
      <c r="B344" s="30"/>
      <c r="C344" s="30" t="s">
        <v>162</v>
      </c>
      <c r="D344" s="30" t="s">
        <v>683</v>
      </c>
      <c r="E344" s="31">
        <v>42907</v>
      </c>
      <c r="F344" s="30" t="s">
        <v>164</v>
      </c>
      <c r="G344" s="30" t="s">
        <v>165</v>
      </c>
      <c r="H344" s="30" t="s">
        <v>166</v>
      </c>
      <c r="I344" s="29">
        <v>26472149</v>
      </c>
      <c r="J344" s="29">
        <v>10</v>
      </c>
      <c r="K344" s="29">
        <v>2647215</v>
      </c>
      <c r="L344" s="38" t="s">
        <v>52</v>
      </c>
      <c r="M344" s="39">
        <v>42935</v>
      </c>
      <c r="N344" s="40" t="s">
        <v>587</v>
      </c>
      <c r="O344" s="35"/>
      <c r="P344" s="36"/>
      <c r="Q344" s="36"/>
      <c r="T344" s="36"/>
    </row>
    <row r="345" spans="1:20" s="37" customFormat="1" ht="18.75" customHeight="1">
      <c r="A345" s="29">
        <f t="shared" si="7"/>
        <v>329</v>
      </c>
      <c r="B345" s="30"/>
      <c r="C345" s="30" t="s">
        <v>544</v>
      </c>
      <c r="D345" s="30" t="s">
        <v>684</v>
      </c>
      <c r="E345" s="31">
        <v>42907</v>
      </c>
      <c r="F345" s="30" t="s">
        <v>546</v>
      </c>
      <c r="G345" s="30" t="s">
        <v>547</v>
      </c>
      <c r="H345" s="30" t="s">
        <v>134</v>
      </c>
      <c r="I345" s="29">
        <v>1603000</v>
      </c>
      <c r="J345" s="29">
        <v>10</v>
      </c>
      <c r="K345" s="29">
        <v>160300</v>
      </c>
      <c r="L345" s="38"/>
      <c r="M345" s="39"/>
      <c r="N345" s="40"/>
      <c r="O345" s="35"/>
      <c r="P345" s="36"/>
      <c r="Q345" s="36"/>
      <c r="T345" s="36"/>
    </row>
    <row r="346" spans="1:20" s="37" customFormat="1" ht="18.75" customHeight="1">
      <c r="A346" s="29">
        <f t="shared" si="7"/>
        <v>330</v>
      </c>
      <c r="B346" s="30"/>
      <c r="C346" s="30" t="s">
        <v>112</v>
      </c>
      <c r="D346" s="30" t="s">
        <v>685</v>
      </c>
      <c r="E346" s="31">
        <v>42907</v>
      </c>
      <c r="F346" s="30" t="s">
        <v>114</v>
      </c>
      <c r="G346" s="30" t="s">
        <v>115</v>
      </c>
      <c r="H346" s="30" t="s">
        <v>116</v>
      </c>
      <c r="I346" s="29">
        <v>20000</v>
      </c>
      <c r="J346" s="29">
        <v>10</v>
      </c>
      <c r="K346" s="29">
        <v>2000</v>
      </c>
      <c r="L346" s="38"/>
      <c r="M346" s="39"/>
      <c r="N346" s="40"/>
      <c r="O346" s="35"/>
      <c r="P346" s="36"/>
      <c r="Q346" s="36"/>
      <c r="T346" s="36"/>
    </row>
    <row r="347" spans="1:20" s="37" customFormat="1" ht="18.75" customHeight="1">
      <c r="A347" s="29">
        <f t="shared" si="7"/>
        <v>331</v>
      </c>
      <c r="B347" s="30"/>
      <c r="C347" s="30" t="s">
        <v>112</v>
      </c>
      <c r="D347" s="30" t="s">
        <v>686</v>
      </c>
      <c r="E347" s="31">
        <v>42907</v>
      </c>
      <c r="F347" s="30" t="s">
        <v>114</v>
      </c>
      <c r="G347" s="30" t="s">
        <v>115</v>
      </c>
      <c r="H347" s="30" t="s">
        <v>116</v>
      </c>
      <c r="I347" s="29">
        <v>20000</v>
      </c>
      <c r="J347" s="29">
        <v>10</v>
      </c>
      <c r="K347" s="29">
        <v>2000</v>
      </c>
      <c r="L347" s="38"/>
      <c r="M347" s="39"/>
      <c r="N347" s="40"/>
      <c r="O347" s="35"/>
      <c r="P347" s="36"/>
      <c r="Q347" s="36"/>
      <c r="T347" s="36"/>
    </row>
    <row r="348" spans="1:20" s="37" customFormat="1" ht="18.75" customHeight="1">
      <c r="A348" s="29">
        <f t="shared" si="7"/>
        <v>332</v>
      </c>
      <c r="B348" s="30"/>
      <c r="C348" s="30" t="s">
        <v>112</v>
      </c>
      <c r="D348" s="30" t="s">
        <v>687</v>
      </c>
      <c r="E348" s="31">
        <v>42907</v>
      </c>
      <c r="F348" s="30" t="s">
        <v>114</v>
      </c>
      <c r="G348" s="30" t="s">
        <v>115</v>
      </c>
      <c r="H348" s="30" t="s">
        <v>116</v>
      </c>
      <c r="I348" s="29">
        <v>20000</v>
      </c>
      <c r="J348" s="29">
        <v>10</v>
      </c>
      <c r="K348" s="29">
        <v>2000</v>
      </c>
      <c r="L348" s="38"/>
      <c r="M348" s="39"/>
      <c r="N348" s="40"/>
      <c r="O348" s="35"/>
      <c r="P348" s="36"/>
      <c r="Q348" s="36"/>
      <c r="T348" s="36"/>
    </row>
    <row r="349" spans="1:20" s="37" customFormat="1" ht="18.75" customHeight="1">
      <c r="A349" s="29">
        <f t="shared" si="7"/>
        <v>333</v>
      </c>
      <c r="B349" s="30"/>
      <c r="C349" s="30" t="s">
        <v>112</v>
      </c>
      <c r="D349" s="30" t="s">
        <v>688</v>
      </c>
      <c r="E349" s="31">
        <v>42907</v>
      </c>
      <c r="F349" s="30" t="s">
        <v>114</v>
      </c>
      <c r="G349" s="30" t="s">
        <v>115</v>
      </c>
      <c r="H349" s="30" t="s">
        <v>116</v>
      </c>
      <c r="I349" s="29">
        <v>20000</v>
      </c>
      <c r="J349" s="29">
        <v>10</v>
      </c>
      <c r="K349" s="29">
        <v>2000</v>
      </c>
      <c r="L349" s="38"/>
      <c r="M349" s="39"/>
      <c r="N349" s="40"/>
      <c r="O349" s="35"/>
      <c r="P349" s="36"/>
      <c r="Q349" s="36"/>
      <c r="T349" s="36"/>
    </row>
    <row r="350" spans="1:20" s="37" customFormat="1" ht="18.75" customHeight="1">
      <c r="A350" s="29">
        <f t="shared" si="7"/>
        <v>334</v>
      </c>
      <c r="B350" s="30"/>
      <c r="C350" s="30" t="s">
        <v>112</v>
      </c>
      <c r="D350" s="30" t="s">
        <v>689</v>
      </c>
      <c r="E350" s="31">
        <v>42907</v>
      </c>
      <c r="F350" s="30" t="s">
        <v>114</v>
      </c>
      <c r="G350" s="30" t="s">
        <v>115</v>
      </c>
      <c r="H350" s="30" t="s">
        <v>116</v>
      </c>
      <c r="I350" s="29">
        <v>20000</v>
      </c>
      <c r="J350" s="29">
        <v>10</v>
      </c>
      <c r="K350" s="29">
        <v>2000</v>
      </c>
      <c r="L350" s="38"/>
      <c r="M350" s="39"/>
      <c r="N350" s="40"/>
      <c r="O350" s="35"/>
      <c r="P350" s="36"/>
      <c r="Q350" s="36"/>
      <c r="T350" s="36"/>
    </row>
    <row r="351" spans="1:20" s="37" customFormat="1" ht="18.75" customHeight="1">
      <c r="A351" s="29">
        <f t="shared" si="7"/>
        <v>335</v>
      </c>
      <c r="B351" s="30"/>
      <c r="C351" s="30" t="s">
        <v>112</v>
      </c>
      <c r="D351" s="30" t="s">
        <v>690</v>
      </c>
      <c r="E351" s="31">
        <v>42907</v>
      </c>
      <c r="F351" s="30" t="s">
        <v>114</v>
      </c>
      <c r="G351" s="30" t="s">
        <v>115</v>
      </c>
      <c r="H351" s="30" t="s">
        <v>116</v>
      </c>
      <c r="I351" s="29">
        <v>20000</v>
      </c>
      <c r="J351" s="29">
        <v>10</v>
      </c>
      <c r="K351" s="29">
        <v>2000</v>
      </c>
      <c r="L351" s="38"/>
      <c r="M351" s="39"/>
      <c r="N351" s="40"/>
      <c r="O351" s="35"/>
      <c r="P351" s="36"/>
      <c r="Q351" s="36"/>
      <c r="T351" s="36"/>
    </row>
    <row r="352" spans="1:20" s="37" customFormat="1" ht="18.75" customHeight="1">
      <c r="A352" s="29">
        <f t="shared" si="7"/>
        <v>336</v>
      </c>
      <c r="B352" s="30"/>
      <c r="C352" s="30" t="s">
        <v>112</v>
      </c>
      <c r="D352" s="30" t="s">
        <v>691</v>
      </c>
      <c r="E352" s="31">
        <v>42907</v>
      </c>
      <c r="F352" s="30" t="s">
        <v>114</v>
      </c>
      <c r="G352" s="30" t="s">
        <v>115</v>
      </c>
      <c r="H352" s="30" t="s">
        <v>116</v>
      </c>
      <c r="I352" s="29">
        <v>20000</v>
      </c>
      <c r="J352" s="29">
        <v>10</v>
      </c>
      <c r="K352" s="29">
        <v>2000</v>
      </c>
      <c r="L352" s="38"/>
      <c r="M352" s="39"/>
      <c r="N352" s="40"/>
      <c r="O352" s="35"/>
      <c r="P352" s="36"/>
      <c r="Q352" s="36"/>
      <c r="T352" s="36"/>
    </row>
    <row r="353" spans="1:20" s="37" customFormat="1" ht="18.75" customHeight="1">
      <c r="A353" s="29">
        <f t="shared" si="7"/>
        <v>337</v>
      </c>
      <c r="B353" s="30"/>
      <c r="C353" s="30" t="s">
        <v>112</v>
      </c>
      <c r="D353" s="30" t="s">
        <v>692</v>
      </c>
      <c r="E353" s="31">
        <v>42907</v>
      </c>
      <c r="F353" s="30" t="s">
        <v>114</v>
      </c>
      <c r="G353" s="30" t="s">
        <v>115</v>
      </c>
      <c r="H353" s="30" t="s">
        <v>116</v>
      </c>
      <c r="I353" s="29">
        <v>20000</v>
      </c>
      <c r="J353" s="29">
        <v>10</v>
      </c>
      <c r="K353" s="29">
        <v>2000</v>
      </c>
      <c r="L353" s="38"/>
      <c r="M353" s="39"/>
      <c r="N353" s="40"/>
      <c r="O353" s="35"/>
      <c r="P353" s="36"/>
      <c r="Q353" s="36"/>
      <c r="T353" s="36"/>
    </row>
    <row r="354" spans="1:20" s="37" customFormat="1" ht="18.75" customHeight="1">
      <c r="A354" s="29">
        <f t="shared" si="7"/>
        <v>338</v>
      </c>
      <c r="B354" s="30"/>
      <c r="C354" s="30" t="s">
        <v>112</v>
      </c>
      <c r="D354" s="30" t="s">
        <v>693</v>
      </c>
      <c r="E354" s="31">
        <v>42907</v>
      </c>
      <c r="F354" s="30" t="s">
        <v>114</v>
      </c>
      <c r="G354" s="30" t="s">
        <v>115</v>
      </c>
      <c r="H354" s="30" t="s">
        <v>116</v>
      </c>
      <c r="I354" s="29">
        <v>20000</v>
      </c>
      <c r="J354" s="29">
        <v>10</v>
      </c>
      <c r="K354" s="29">
        <v>2000</v>
      </c>
      <c r="L354" s="38"/>
      <c r="M354" s="39"/>
      <c r="N354" s="40"/>
      <c r="O354" s="35"/>
      <c r="P354" s="36"/>
      <c r="Q354" s="36"/>
      <c r="T354" s="36"/>
    </row>
    <row r="355" spans="1:20" s="37" customFormat="1" ht="18.75" customHeight="1">
      <c r="A355" s="29">
        <f t="shared" si="7"/>
        <v>339</v>
      </c>
      <c r="B355" s="30"/>
      <c r="C355" s="30" t="s">
        <v>112</v>
      </c>
      <c r="D355" s="30" t="s">
        <v>694</v>
      </c>
      <c r="E355" s="31">
        <v>42907</v>
      </c>
      <c r="F355" s="30" t="s">
        <v>114</v>
      </c>
      <c r="G355" s="30" t="s">
        <v>115</v>
      </c>
      <c r="H355" s="30" t="s">
        <v>116</v>
      </c>
      <c r="I355" s="29">
        <v>10000</v>
      </c>
      <c r="J355" s="29">
        <v>10</v>
      </c>
      <c r="K355" s="29">
        <v>1000</v>
      </c>
      <c r="L355" s="38"/>
      <c r="M355" s="39"/>
      <c r="N355" s="40"/>
      <c r="O355" s="35"/>
      <c r="P355" s="36"/>
      <c r="Q355" s="36"/>
      <c r="T355" s="36"/>
    </row>
    <row r="356" spans="1:20" s="37" customFormat="1" ht="18.75" customHeight="1">
      <c r="A356" s="29">
        <f t="shared" si="7"/>
        <v>340</v>
      </c>
      <c r="B356" s="30"/>
      <c r="C356" s="30" t="s">
        <v>93</v>
      </c>
      <c r="D356" s="30" t="s">
        <v>695</v>
      </c>
      <c r="E356" s="31">
        <v>42909</v>
      </c>
      <c r="F356" s="30" t="s">
        <v>336</v>
      </c>
      <c r="G356" s="30" t="s">
        <v>337</v>
      </c>
      <c r="H356" s="30" t="s">
        <v>338</v>
      </c>
      <c r="I356" s="29">
        <v>316384800</v>
      </c>
      <c r="J356" s="29">
        <v>10</v>
      </c>
      <c r="K356" s="29">
        <v>31638480</v>
      </c>
      <c r="L356" s="38" t="s">
        <v>52</v>
      </c>
      <c r="M356" s="39">
        <v>42935</v>
      </c>
      <c r="N356" s="40" t="s">
        <v>587</v>
      </c>
      <c r="O356" s="35"/>
      <c r="P356" s="36"/>
      <c r="Q356" s="36"/>
      <c r="T356" s="36"/>
    </row>
    <row r="357" spans="1:20" s="37" customFormat="1" ht="18.75" customHeight="1">
      <c r="A357" s="29">
        <f t="shared" si="7"/>
        <v>341</v>
      </c>
      <c r="B357" s="30"/>
      <c r="C357" s="30" t="s">
        <v>119</v>
      </c>
      <c r="D357" s="30" t="s">
        <v>696</v>
      </c>
      <c r="E357" s="31">
        <v>42910</v>
      </c>
      <c r="F357" s="30" t="s">
        <v>121</v>
      </c>
      <c r="G357" s="30" t="s">
        <v>122</v>
      </c>
      <c r="H357" s="30" t="s">
        <v>697</v>
      </c>
      <c r="I357" s="29">
        <v>294952302</v>
      </c>
      <c r="J357" s="29">
        <v>10</v>
      </c>
      <c r="K357" s="29">
        <v>29495230</v>
      </c>
      <c r="L357" s="38" t="s">
        <v>52</v>
      </c>
      <c r="M357" s="39">
        <v>42935</v>
      </c>
      <c r="N357" s="40" t="s">
        <v>587</v>
      </c>
      <c r="O357" s="35"/>
      <c r="P357" s="36"/>
      <c r="Q357" s="36"/>
      <c r="T357" s="36"/>
    </row>
    <row r="358" spans="1:20" s="37" customFormat="1" ht="18.75" customHeight="1">
      <c r="A358" s="29">
        <f t="shared" si="7"/>
        <v>342</v>
      </c>
      <c r="B358" s="30"/>
      <c r="C358" s="30" t="s">
        <v>119</v>
      </c>
      <c r="D358" s="30" t="s">
        <v>698</v>
      </c>
      <c r="E358" s="31">
        <v>42912</v>
      </c>
      <c r="F358" s="30" t="s">
        <v>121</v>
      </c>
      <c r="G358" s="30" t="s">
        <v>122</v>
      </c>
      <c r="H358" s="30" t="s">
        <v>699</v>
      </c>
      <c r="I358" s="29">
        <v>497456682</v>
      </c>
      <c r="J358" s="29">
        <v>10</v>
      </c>
      <c r="K358" s="29">
        <v>49745668</v>
      </c>
      <c r="L358" s="38" t="s">
        <v>52</v>
      </c>
      <c r="M358" s="39">
        <v>42935</v>
      </c>
      <c r="N358" s="40" t="s">
        <v>587</v>
      </c>
      <c r="O358" s="35"/>
      <c r="P358" s="36"/>
      <c r="Q358" s="36"/>
      <c r="T358" s="36"/>
    </row>
    <row r="359" spans="1:20" s="37" customFormat="1" ht="18.75" customHeight="1">
      <c r="A359" s="29">
        <f t="shared" si="7"/>
        <v>343</v>
      </c>
      <c r="B359" s="30"/>
      <c r="C359" s="30" t="s">
        <v>119</v>
      </c>
      <c r="D359" s="30" t="s">
        <v>700</v>
      </c>
      <c r="E359" s="31">
        <v>42912</v>
      </c>
      <c r="F359" s="30" t="s">
        <v>121</v>
      </c>
      <c r="G359" s="30" t="s">
        <v>122</v>
      </c>
      <c r="H359" s="30" t="s">
        <v>212</v>
      </c>
      <c r="I359" s="29">
        <v>241135986</v>
      </c>
      <c r="J359" s="29">
        <v>10</v>
      </c>
      <c r="K359" s="29">
        <v>24113598</v>
      </c>
      <c r="L359" s="38" t="s">
        <v>52</v>
      </c>
      <c r="M359" s="39">
        <v>42935</v>
      </c>
      <c r="N359" s="40" t="s">
        <v>587</v>
      </c>
      <c r="O359" s="35"/>
      <c r="P359" s="36"/>
      <c r="Q359" s="36"/>
      <c r="T359" s="36"/>
    </row>
    <row r="360" spans="1:20" s="37" customFormat="1" ht="18.75" customHeight="1">
      <c r="A360" s="29">
        <f t="shared" si="7"/>
        <v>344</v>
      </c>
      <c r="B360" s="30"/>
      <c r="C360" s="30" t="s">
        <v>112</v>
      </c>
      <c r="D360" s="30" t="s">
        <v>701</v>
      </c>
      <c r="E360" s="31">
        <v>42912</v>
      </c>
      <c r="F360" s="30" t="s">
        <v>114</v>
      </c>
      <c r="G360" s="30" t="s">
        <v>115</v>
      </c>
      <c r="H360" s="30" t="s">
        <v>116</v>
      </c>
      <c r="I360" s="29">
        <v>20000</v>
      </c>
      <c r="J360" s="29">
        <v>10</v>
      </c>
      <c r="K360" s="29">
        <v>2000</v>
      </c>
      <c r="L360" s="38"/>
      <c r="M360" s="39"/>
      <c r="N360" s="40"/>
      <c r="O360" s="35"/>
      <c r="P360" s="36"/>
      <c r="Q360" s="36"/>
      <c r="T360" s="36"/>
    </row>
    <row r="361" spans="1:20" s="37" customFormat="1" ht="18.75" customHeight="1">
      <c r="A361" s="29">
        <f t="shared" si="7"/>
        <v>345</v>
      </c>
      <c r="B361" s="30"/>
      <c r="C361" s="30" t="s">
        <v>112</v>
      </c>
      <c r="D361" s="30" t="s">
        <v>661</v>
      </c>
      <c r="E361" s="31">
        <v>42912</v>
      </c>
      <c r="F361" s="30" t="s">
        <v>114</v>
      </c>
      <c r="G361" s="30" t="s">
        <v>115</v>
      </c>
      <c r="H361" s="30" t="s">
        <v>116</v>
      </c>
      <c r="I361" s="29">
        <v>20000</v>
      </c>
      <c r="J361" s="29">
        <v>10</v>
      </c>
      <c r="K361" s="29">
        <v>2000</v>
      </c>
      <c r="L361" s="38"/>
      <c r="M361" s="39"/>
      <c r="N361" s="40"/>
      <c r="O361" s="35"/>
      <c r="P361" s="36"/>
      <c r="Q361" s="36"/>
      <c r="T361" s="36"/>
    </row>
    <row r="362" spans="1:20" s="37" customFormat="1" ht="18.75" customHeight="1">
      <c r="A362" s="29">
        <f t="shared" si="7"/>
        <v>346</v>
      </c>
      <c r="B362" s="30"/>
      <c r="C362" s="30" t="s">
        <v>112</v>
      </c>
      <c r="D362" s="30" t="s">
        <v>702</v>
      </c>
      <c r="E362" s="31">
        <v>42912</v>
      </c>
      <c r="F362" s="30" t="s">
        <v>114</v>
      </c>
      <c r="G362" s="30" t="s">
        <v>115</v>
      </c>
      <c r="H362" s="30" t="s">
        <v>116</v>
      </c>
      <c r="I362" s="29">
        <v>10000</v>
      </c>
      <c r="J362" s="29">
        <v>10</v>
      </c>
      <c r="K362" s="29">
        <v>1000</v>
      </c>
      <c r="L362" s="38"/>
      <c r="M362" s="39"/>
      <c r="N362" s="40"/>
      <c r="O362" s="35"/>
      <c r="P362" s="36"/>
      <c r="Q362" s="36"/>
      <c r="T362" s="36"/>
    </row>
    <row r="363" spans="1:20" s="37" customFormat="1" ht="18.75" customHeight="1">
      <c r="A363" s="29">
        <f t="shared" si="7"/>
        <v>347</v>
      </c>
      <c r="B363" s="30"/>
      <c r="C363" s="30" t="s">
        <v>100</v>
      </c>
      <c r="D363" s="30" t="s">
        <v>703</v>
      </c>
      <c r="E363" s="31">
        <v>42913</v>
      </c>
      <c r="F363" s="30" t="s">
        <v>102</v>
      </c>
      <c r="G363" s="30" t="s">
        <v>103</v>
      </c>
      <c r="H363" s="30" t="s">
        <v>377</v>
      </c>
      <c r="I363" s="29">
        <v>20010000</v>
      </c>
      <c r="J363" s="29">
        <v>10</v>
      </c>
      <c r="K363" s="29">
        <v>2001000</v>
      </c>
      <c r="L363" s="38" t="s">
        <v>52</v>
      </c>
      <c r="M363" s="39">
        <v>42935</v>
      </c>
      <c r="N363" s="40" t="s">
        <v>587</v>
      </c>
      <c r="O363" s="35"/>
      <c r="P363" s="36"/>
      <c r="Q363" s="36"/>
      <c r="T363" s="36"/>
    </row>
    <row r="364" spans="1:20" s="37" customFormat="1" ht="18.75" customHeight="1">
      <c r="A364" s="29">
        <f t="shared" si="7"/>
        <v>348</v>
      </c>
      <c r="B364" s="30"/>
      <c r="C364" s="30" t="s">
        <v>130</v>
      </c>
      <c r="D364" s="30" t="s">
        <v>704</v>
      </c>
      <c r="E364" s="31">
        <v>42913</v>
      </c>
      <c r="F364" s="30" t="s">
        <v>333</v>
      </c>
      <c r="G364" s="30" t="s">
        <v>334</v>
      </c>
      <c r="H364" s="30" t="s">
        <v>134</v>
      </c>
      <c r="I364" s="29">
        <v>1162000</v>
      </c>
      <c r="J364" s="29">
        <v>10</v>
      </c>
      <c r="K364" s="29">
        <v>116200</v>
      </c>
      <c r="L364" s="38"/>
      <c r="M364" s="39"/>
      <c r="N364" s="40"/>
      <c r="O364" s="35"/>
      <c r="P364" s="36"/>
      <c r="Q364" s="36"/>
      <c r="T364" s="36"/>
    </row>
    <row r="365" spans="1:20" s="37" customFormat="1" ht="18.75" customHeight="1">
      <c r="A365" s="29">
        <f t="shared" si="7"/>
        <v>349</v>
      </c>
      <c r="B365" s="30"/>
      <c r="C365" s="30" t="s">
        <v>74</v>
      </c>
      <c r="D365" s="30" t="s">
        <v>705</v>
      </c>
      <c r="E365" s="31">
        <v>42914</v>
      </c>
      <c r="F365" s="30" t="s">
        <v>76</v>
      </c>
      <c r="G365" s="30" t="s">
        <v>77</v>
      </c>
      <c r="H365" s="30" t="s">
        <v>706</v>
      </c>
      <c r="I365" s="29">
        <v>2583600</v>
      </c>
      <c r="J365" s="29">
        <v>10</v>
      </c>
      <c r="K365" s="29">
        <v>258360</v>
      </c>
      <c r="L365" s="38"/>
      <c r="M365" s="39"/>
      <c r="N365" s="40"/>
      <c r="O365" s="35"/>
      <c r="P365" s="36"/>
      <c r="Q365" s="36"/>
      <c r="T365" s="36"/>
    </row>
    <row r="366" spans="1:20" s="37" customFormat="1" ht="18.75" customHeight="1">
      <c r="A366" s="29">
        <f t="shared" si="7"/>
        <v>350</v>
      </c>
      <c r="B366" s="30"/>
      <c r="C366" s="30" t="s">
        <v>231</v>
      </c>
      <c r="D366" s="30" t="s">
        <v>707</v>
      </c>
      <c r="E366" s="31">
        <v>42914</v>
      </c>
      <c r="F366" s="30" t="s">
        <v>233</v>
      </c>
      <c r="G366" s="30" t="s">
        <v>234</v>
      </c>
      <c r="H366" s="30" t="s">
        <v>235</v>
      </c>
      <c r="I366" s="29">
        <v>46986800</v>
      </c>
      <c r="J366" s="29">
        <v>10</v>
      </c>
      <c r="K366" s="29">
        <v>4698680</v>
      </c>
      <c r="L366" s="38" t="s">
        <v>52</v>
      </c>
      <c r="M366" s="39">
        <v>42935</v>
      </c>
      <c r="N366" s="40" t="s">
        <v>587</v>
      </c>
      <c r="O366" s="35"/>
      <c r="P366" s="36"/>
      <c r="Q366" s="36"/>
      <c r="T366" s="36"/>
    </row>
    <row r="367" spans="1:20" s="37" customFormat="1" ht="18.75" customHeight="1">
      <c r="A367" s="29">
        <f t="shared" si="7"/>
        <v>351</v>
      </c>
      <c r="B367" s="30"/>
      <c r="C367" s="30" t="s">
        <v>112</v>
      </c>
      <c r="D367" s="30" t="s">
        <v>708</v>
      </c>
      <c r="E367" s="31">
        <v>42914</v>
      </c>
      <c r="F367" s="30" t="s">
        <v>114</v>
      </c>
      <c r="G367" s="30" t="s">
        <v>115</v>
      </c>
      <c r="H367" s="30" t="s">
        <v>116</v>
      </c>
      <c r="I367" s="29">
        <v>227000</v>
      </c>
      <c r="J367" s="29">
        <v>10</v>
      </c>
      <c r="K367" s="29">
        <v>22700</v>
      </c>
      <c r="L367" s="38"/>
      <c r="M367" s="39"/>
      <c r="N367" s="40"/>
      <c r="O367" s="35"/>
      <c r="P367" s="36"/>
      <c r="Q367" s="36"/>
      <c r="T367" s="36"/>
    </row>
    <row r="368" spans="1:20" s="37" customFormat="1" ht="18.75" customHeight="1">
      <c r="A368" s="29">
        <f t="shared" si="7"/>
        <v>352</v>
      </c>
      <c r="B368" s="30"/>
      <c r="C368" s="30" t="s">
        <v>167</v>
      </c>
      <c r="D368" s="30" t="s">
        <v>709</v>
      </c>
      <c r="E368" s="31">
        <v>42915</v>
      </c>
      <c r="F368" s="30" t="s">
        <v>409</v>
      </c>
      <c r="G368" s="30" t="s">
        <v>410</v>
      </c>
      <c r="H368" s="30" t="s">
        <v>411</v>
      </c>
      <c r="I368" s="29">
        <v>76711500</v>
      </c>
      <c r="J368" s="29">
        <v>10</v>
      </c>
      <c r="K368" s="29">
        <v>7671150</v>
      </c>
      <c r="L368" s="38" t="s">
        <v>52</v>
      </c>
      <c r="M368" s="39">
        <v>42935</v>
      </c>
      <c r="N368" s="40" t="s">
        <v>587</v>
      </c>
      <c r="O368" s="35"/>
      <c r="P368" s="36"/>
      <c r="Q368" s="36"/>
      <c r="T368" s="36"/>
    </row>
    <row r="369" spans="1:255" s="37" customFormat="1" ht="18.75" customHeight="1">
      <c r="A369" s="29">
        <f t="shared" si="7"/>
        <v>353</v>
      </c>
      <c r="B369" s="30"/>
      <c r="C369" s="30" t="s">
        <v>93</v>
      </c>
      <c r="D369" s="30" t="s">
        <v>710</v>
      </c>
      <c r="E369" s="31">
        <v>42915</v>
      </c>
      <c r="F369" s="30" t="s">
        <v>49</v>
      </c>
      <c r="G369" s="30" t="s">
        <v>50</v>
      </c>
      <c r="H369" s="30" t="s">
        <v>51</v>
      </c>
      <c r="I369" s="29">
        <v>115440000</v>
      </c>
      <c r="J369" s="29">
        <v>10</v>
      </c>
      <c r="K369" s="29">
        <v>11544000</v>
      </c>
      <c r="L369" s="38" t="s">
        <v>52</v>
      </c>
      <c r="M369" s="39">
        <v>42962</v>
      </c>
      <c r="N369" s="40" t="s">
        <v>587</v>
      </c>
      <c r="O369" s="35"/>
      <c r="P369" s="36"/>
      <c r="Q369" s="36"/>
      <c r="T369" s="36"/>
    </row>
    <row r="370" spans="1:255" s="37" customFormat="1" ht="18.75" customHeight="1">
      <c r="A370" s="29">
        <f t="shared" si="7"/>
        <v>354</v>
      </c>
      <c r="B370" s="30"/>
      <c r="C370" s="30" t="s">
        <v>93</v>
      </c>
      <c r="D370" s="30" t="s">
        <v>711</v>
      </c>
      <c r="E370" s="31">
        <v>42915</v>
      </c>
      <c r="F370" s="30" t="s">
        <v>258</v>
      </c>
      <c r="G370" s="30" t="s">
        <v>259</v>
      </c>
      <c r="H370" s="30" t="s">
        <v>712</v>
      </c>
      <c r="I370" s="29">
        <v>41677545</v>
      </c>
      <c r="J370" s="29">
        <v>10</v>
      </c>
      <c r="K370" s="29">
        <v>4167755</v>
      </c>
      <c r="L370" s="38" t="s">
        <v>52</v>
      </c>
      <c r="M370" s="39">
        <v>42935</v>
      </c>
      <c r="N370" s="40" t="s">
        <v>587</v>
      </c>
      <c r="O370" s="35"/>
      <c r="P370" s="36"/>
      <c r="Q370" s="36"/>
      <c r="T370" s="36"/>
    </row>
    <row r="371" spans="1:255" s="37" customFormat="1" ht="18.75" customHeight="1">
      <c r="A371" s="29">
        <f t="shared" si="7"/>
        <v>355</v>
      </c>
      <c r="B371" s="30"/>
      <c r="C371" s="30" t="s">
        <v>320</v>
      </c>
      <c r="D371" s="30" t="s">
        <v>713</v>
      </c>
      <c r="E371" s="31">
        <v>42916</v>
      </c>
      <c r="F371" s="30" t="s">
        <v>372</v>
      </c>
      <c r="G371" s="30" t="s">
        <v>373</v>
      </c>
      <c r="H371" s="30" t="s">
        <v>714</v>
      </c>
      <c r="I371" s="29">
        <v>108613583</v>
      </c>
      <c r="J371" s="29">
        <v>10</v>
      </c>
      <c r="K371" s="29">
        <v>10861358</v>
      </c>
      <c r="L371" s="38" t="s">
        <v>52</v>
      </c>
      <c r="M371" s="39">
        <v>42935</v>
      </c>
      <c r="N371" s="40" t="s">
        <v>587</v>
      </c>
      <c r="O371" s="35"/>
      <c r="P371" s="36"/>
      <c r="Q371" s="36"/>
      <c r="T371" s="36"/>
    </row>
    <row r="372" spans="1:255" s="37" customFormat="1" ht="18.75" customHeight="1">
      <c r="A372" s="29">
        <f t="shared" si="7"/>
        <v>356</v>
      </c>
      <c r="B372" s="30"/>
      <c r="C372" s="30" t="s">
        <v>231</v>
      </c>
      <c r="D372" s="30" t="s">
        <v>715</v>
      </c>
      <c r="E372" s="31">
        <v>42916</v>
      </c>
      <c r="F372" s="30" t="s">
        <v>239</v>
      </c>
      <c r="G372" s="30" t="s">
        <v>240</v>
      </c>
      <c r="H372" s="30" t="s">
        <v>716</v>
      </c>
      <c r="I372" s="29">
        <v>30024010</v>
      </c>
      <c r="J372" s="29">
        <v>10</v>
      </c>
      <c r="K372" s="29">
        <v>3002401</v>
      </c>
      <c r="L372" s="38" t="s">
        <v>52</v>
      </c>
      <c r="M372" s="39">
        <v>42935</v>
      </c>
      <c r="N372" s="40" t="s">
        <v>587</v>
      </c>
      <c r="O372" s="35"/>
      <c r="P372" s="36"/>
      <c r="Q372" s="36"/>
      <c r="T372" s="36"/>
    </row>
    <row r="373" spans="1:255" s="37" customFormat="1" ht="18.75" customHeight="1">
      <c r="A373" s="29">
        <f t="shared" si="7"/>
        <v>357</v>
      </c>
      <c r="B373" s="30"/>
      <c r="C373" s="30" t="s">
        <v>231</v>
      </c>
      <c r="D373" s="30" t="s">
        <v>717</v>
      </c>
      <c r="E373" s="31">
        <v>42916</v>
      </c>
      <c r="F373" s="30" t="s">
        <v>239</v>
      </c>
      <c r="G373" s="30" t="s">
        <v>240</v>
      </c>
      <c r="H373" s="30" t="s">
        <v>718</v>
      </c>
      <c r="I373" s="29">
        <v>71875750</v>
      </c>
      <c r="J373" s="29">
        <v>10</v>
      </c>
      <c r="K373" s="29">
        <v>7187575</v>
      </c>
      <c r="L373" s="38" t="s">
        <v>52</v>
      </c>
      <c r="M373" s="39">
        <v>42935</v>
      </c>
      <c r="N373" s="40" t="s">
        <v>587</v>
      </c>
      <c r="O373" s="35"/>
      <c r="P373" s="36"/>
      <c r="Q373" s="36"/>
      <c r="T373" s="36"/>
    </row>
    <row r="374" spans="1:255" s="37" customFormat="1" ht="18.75" customHeight="1">
      <c r="A374" s="29">
        <f t="shared" si="7"/>
        <v>358</v>
      </c>
      <c r="B374" s="30"/>
      <c r="C374" s="30" t="s">
        <v>248</v>
      </c>
      <c r="D374" s="30" t="s">
        <v>719</v>
      </c>
      <c r="E374" s="31">
        <v>42916</v>
      </c>
      <c r="F374" s="30" t="s">
        <v>250</v>
      </c>
      <c r="G374" s="30" t="s">
        <v>251</v>
      </c>
      <c r="H374" s="30" t="s">
        <v>720</v>
      </c>
      <c r="I374" s="29">
        <v>273598182</v>
      </c>
      <c r="J374" s="29">
        <v>10</v>
      </c>
      <c r="K374" s="29">
        <v>27359818</v>
      </c>
      <c r="L374" s="38" t="s">
        <v>52</v>
      </c>
      <c r="M374" s="39">
        <v>42935</v>
      </c>
      <c r="N374" s="40" t="s">
        <v>587</v>
      </c>
      <c r="O374" s="35"/>
      <c r="P374" s="36"/>
      <c r="Q374" s="36"/>
      <c r="T374" s="36"/>
    </row>
    <row r="375" spans="1:255" s="37" customFormat="1" ht="18.75" customHeight="1">
      <c r="A375" s="29">
        <f t="shared" si="7"/>
        <v>359</v>
      </c>
      <c r="B375" s="30"/>
      <c r="C375" s="30" t="s">
        <v>248</v>
      </c>
      <c r="D375" s="30" t="s">
        <v>721</v>
      </c>
      <c r="E375" s="31">
        <v>42916</v>
      </c>
      <c r="F375" s="30" t="s">
        <v>250</v>
      </c>
      <c r="G375" s="30" t="s">
        <v>251</v>
      </c>
      <c r="H375" s="30" t="s">
        <v>722</v>
      </c>
      <c r="I375" s="29">
        <v>3200000</v>
      </c>
      <c r="J375" s="29">
        <v>10</v>
      </c>
      <c r="K375" s="29">
        <v>320000</v>
      </c>
      <c r="L375" s="38" t="s">
        <v>52</v>
      </c>
      <c r="M375" s="39">
        <v>42935</v>
      </c>
      <c r="N375" s="40" t="s">
        <v>587</v>
      </c>
      <c r="O375" s="35"/>
      <c r="P375" s="36"/>
      <c r="Q375" s="36"/>
      <c r="T375" s="36"/>
    </row>
    <row r="376" spans="1:255" s="37" customFormat="1" ht="18.75" customHeight="1">
      <c r="A376" s="29">
        <f t="shared" si="7"/>
        <v>360</v>
      </c>
      <c r="B376" s="30"/>
      <c r="C376" s="30" t="s">
        <v>248</v>
      </c>
      <c r="D376" s="30" t="s">
        <v>723</v>
      </c>
      <c r="E376" s="31">
        <v>42916</v>
      </c>
      <c r="F376" s="30" t="s">
        <v>250</v>
      </c>
      <c r="G376" s="30" t="s">
        <v>251</v>
      </c>
      <c r="H376" s="30" t="s">
        <v>724</v>
      </c>
      <c r="I376" s="29">
        <v>1620000</v>
      </c>
      <c r="J376" s="29">
        <v>10</v>
      </c>
      <c r="K376" s="29">
        <v>162000</v>
      </c>
      <c r="L376" s="38" t="s">
        <v>52</v>
      </c>
      <c r="M376" s="39">
        <v>42935</v>
      </c>
      <c r="N376" s="40" t="s">
        <v>587</v>
      </c>
      <c r="O376" s="35"/>
      <c r="P376" s="36"/>
      <c r="Q376" s="36"/>
      <c r="T376" s="36"/>
    </row>
    <row r="377" spans="1:255" s="37" customFormat="1" ht="18.75" customHeight="1">
      <c r="A377" s="29">
        <f t="shared" si="7"/>
        <v>361</v>
      </c>
      <c r="B377" s="30"/>
      <c r="C377" s="30" t="s">
        <v>130</v>
      </c>
      <c r="D377" s="30" t="s">
        <v>725</v>
      </c>
      <c r="E377" s="31">
        <v>42916</v>
      </c>
      <c r="F377" s="30" t="s">
        <v>333</v>
      </c>
      <c r="G377" s="30" t="s">
        <v>334</v>
      </c>
      <c r="H377" s="30" t="s">
        <v>134</v>
      </c>
      <c r="I377" s="29">
        <v>1588000</v>
      </c>
      <c r="J377" s="29">
        <v>10</v>
      </c>
      <c r="K377" s="29">
        <v>158800</v>
      </c>
      <c r="L377" s="41"/>
      <c r="M377" s="42"/>
      <c r="N377" s="40"/>
      <c r="O377" s="35"/>
      <c r="P377" s="36"/>
      <c r="Q377" s="36"/>
      <c r="T377" s="36"/>
    </row>
    <row r="378" spans="1:255" s="37" customFormat="1" ht="15.75" customHeight="1">
      <c r="A378" s="205" t="s">
        <v>264</v>
      </c>
      <c r="B378" s="205"/>
      <c r="C378" s="205"/>
      <c r="D378" s="205"/>
      <c r="E378" s="205"/>
      <c r="F378" s="205"/>
      <c r="G378" s="205"/>
      <c r="H378" s="205"/>
      <c r="I378" s="43">
        <f>SUM(I278:I377)</f>
        <v>4285072416</v>
      </c>
      <c r="J378" s="43"/>
      <c r="K378" s="62">
        <f>SUM(K278:K377)</f>
        <v>428377004</v>
      </c>
      <c r="L378" s="44"/>
      <c r="M378" s="45"/>
      <c r="N378" s="46"/>
      <c r="O378" s="35"/>
      <c r="P378" s="49"/>
      <c r="Q378" s="36"/>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c r="BK378" s="10"/>
      <c r="BL378" s="10"/>
      <c r="BM378" s="10"/>
      <c r="BN378" s="10"/>
      <c r="BO378" s="10"/>
      <c r="BP378" s="10"/>
      <c r="BQ378" s="10"/>
      <c r="BR378" s="10"/>
      <c r="BS378" s="10"/>
      <c r="BT378" s="10"/>
      <c r="BU378" s="10"/>
      <c r="BV378" s="10"/>
      <c r="BW378" s="10"/>
      <c r="BX378" s="10"/>
      <c r="BY378" s="10"/>
      <c r="BZ378" s="10"/>
      <c r="CA378" s="10"/>
      <c r="CB378" s="10"/>
      <c r="CC378" s="10"/>
      <c r="CD378" s="10"/>
      <c r="CE378" s="10"/>
      <c r="CF378" s="10"/>
      <c r="CG378" s="10"/>
      <c r="CH378" s="10"/>
      <c r="CI378" s="10"/>
      <c r="CJ378" s="10"/>
      <c r="CK378" s="10"/>
      <c r="CL378" s="10"/>
      <c r="CM378" s="10"/>
      <c r="CN378" s="10"/>
      <c r="CO378" s="10"/>
      <c r="CP378" s="10"/>
      <c r="CQ378" s="10"/>
      <c r="CR378" s="10"/>
      <c r="CS378" s="10"/>
      <c r="CT378" s="10"/>
      <c r="CU378" s="10"/>
      <c r="CV378" s="10"/>
      <c r="CW378" s="10"/>
      <c r="CX378" s="10"/>
      <c r="CY378" s="10"/>
      <c r="CZ378" s="10"/>
      <c r="DA378" s="10"/>
      <c r="DB378" s="10"/>
      <c r="DC378" s="10"/>
      <c r="DD378" s="10"/>
      <c r="DE378" s="10"/>
      <c r="DF378" s="10"/>
      <c r="DG378" s="10"/>
      <c r="DH378" s="10"/>
      <c r="DI378" s="10"/>
      <c r="DJ378" s="10"/>
      <c r="DK378" s="10"/>
      <c r="DL378" s="10"/>
      <c r="DM378" s="10"/>
      <c r="DN378" s="10"/>
      <c r="DO378" s="10"/>
      <c r="DP378" s="10"/>
      <c r="DQ378" s="10"/>
      <c r="DR378" s="10"/>
      <c r="DS378" s="10"/>
      <c r="DT378" s="10"/>
      <c r="DU378" s="10"/>
      <c r="DV378" s="10"/>
      <c r="DW378" s="10"/>
      <c r="DX378" s="10"/>
      <c r="DY378" s="10"/>
      <c r="DZ378" s="10"/>
      <c r="EA378" s="10"/>
      <c r="EB378" s="10"/>
      <c r="EC378" s="10"/>
      <c r="ED378" s="10"/>
      <c r="EE378" s="10"/>
      <c r="EF378" s="10"/>
      <c r="EG378" s="10"/>
      <c r="EH378" s="10"/>
      <c r="EI378" s="10"/>
      <c r="EJ378" s="10"/>
      <c r="EK378" s="10"/>
      <c r="EL378" s="10"/>
      <c r="EM378" s="10"/>
      <c r="EN378" s="10"/>
      <c r="EO378" s="10"/>
      <c r="EP378" s="10"/>
      <c r="EQ378" s="10"/>
      <c r="ER378" s="10"/>
      <c r="ES378" s="10"/>
      <c r="ET378" s="10"/>
      <c r="EU378" s="10"/>
      <c r="EV378" s="10"/>
      <c r="EW378" s="10"/>
      <c r="EX378" s="10"/>
      <c r="EY378" s="10"/>
      <c r="EZ378" s="10"/>
      <c r="FA378" s="10"/>
      <c r="FB378" s="10"/>
      <c r="FC378" s="10"/>
      <c r="FD378" s="10"/>
      <c r="FE378" s="10"/>
      <c r="FF378" s="10"/>
      <c r="FG378" s="10"/>
      <c r="FH378" s="10"/>
      <c r="FI378" s="10"/>
      <c r="FJ378" s="10"/>
      <c r="FK378" s="10"/>
      <c r="FL378" s="10"/>
      <c r="FM378" s="10"/>
      <c r="FN378" s="10"/>
      <c r="FO378" s="10"/>
      <c r="FP378" s="10"/>
      <c r="FQ378" s="10"/>
      <c r="FR378" s="10"/>
      <c r="FS378" s="10"/>
      <c r="FT378" s="10"/>
      <c r="FU378" s="10"/>
      <c r="FV378" s="10"/>
      <c r="FW378" s="10"/>
      <c r="FX378" s="10"/>
      <c r="FY378" s="10"/>
      <c r="FZ378" s="10"/>
      <c r="GA378" s="10"/>
      <c r="GB378" s="10"/>
      <c r="GC378" s="10"/>
      <c r="GD378" s="10"/>
      <c r="GE378" s="10"/>
      <c r="GF378" s="10"/>
      <c r="GG378" s="10"/>
      <c r="GH378" s="10"/>
      <c r="GI378" s="10"/>
      <c r="GJ378" s="10"/>
      <c r="GK378" s="10"/>
      <c r="GL378" s="10"/>
      <c r="GM378" s="10"/>
      <c r="GN378" s="10"/>
      <c r="GO378" s="10"/>
      <c r="GP378" s="10"/>
      <c r="GQ378" s="10"/>
      <c r="GR378" s="10"/>
      <c r="GS378" s="10"/>
      <c r="GT378" s="10"/>
      <c r="GU378" s="10"/>
      <c r="GV378" s="10"/>
      <c r="GW378" s="10"/>
      <c r="GX378" s="10"/>
      <c r="GY378" s="10"/>
      <c r="GZ378" s="10"/>
      <c r="HA378" s="10"/>
      <c r="HB378" s="10"/>
      <c r="HC378" s="10"/>
      <c r="HD378" s="10"/>
      <c r="HE378" s="10"/>
      <c r="HF378" s="10"/>
      <c r="HG378" s="10"/>
      <c r="HH378" s="10"/>
      <c r="HI378" s="10"/>
      <c r="HJ378" s="10"/>
      <c r="HK378" s="10"/>
      <c r="HL378" s="10"/>
      <c r="HM378" s="10"/>
      <c r="HN378" s="10"/>
      <c r="HO378" s="10"/>
      <c r="HP378" s="10"/>
      <c r="HQ378" s="10"/>
      <c r="HR378" s="10"/>
      <c r="HS378" s="10"/>
      <c r="HT378" s="10"/>
      <c r="HU378" s="10"/>
      <c r="HV378" s="10"/>
      <c r="HW378" s="10"/>
      <c r="HX378" s="10"/>
      <c r="HY378" s="10"/>
      <c r="HZ378" s="10"/>
      <c r="IA378" s="10"/>
      <c r="IB378" s="10"/>
      <c r="IC378" s="10"/>
      <c r="ID378" s="10"/>
      <c r="IE378" s="10"/>
      <c r="IF378" s="10"/>
      <c r="IG378" s="10"/>
      <c r="IH378" s="10"/>
      <c r="II378" s="10"/>
      <c r="IJ378" s="10"/>
      <c r="IK378" s="10"/>
      <c r="IL378" s="10"/>
      <c r="IM378" s="10"/>
      <c r="IN378" s="10"/>
      <c r="IO378" s="10"/>
      <c r="IP378" s="10"/>
      <c r="IQ378" s="10"/>
      <c r="IR378" s="10"/>
      <c r="IS378" s="10"/>
      <c r="IT378" s="10"/>
      <c r="IU378" s="10"/>
    </row>
    <row r="379" spans="1:255" s="37" customFormat="1" ht="18.75" customHeight="1">
      <c r="A379" s="29">
        <f>A377+1</f>
        <v>362</v>
      </c>
      <c r="B379" s="30"/>
      <c r="C379" s="30" t="s">
        <v>726</v>
      </c>
      <c r="D379" s="30" t="s">
        <v>727</v>
      </c>
      <c r="E379" s="31">
        <v>42916</v>
      </c>
      <c r="F379" s="30" t="s">
        <v>63</v>
      </c>
      <c r="G379" s="30" t="s">
        <v>64</v>
      </c>
      <c r="H379" s="30" t="s">
        <v>728</v>
      </c>
      <c r="I379" s="29">
        <v>25072727</v>
      </c>
      <c r="J379" s="29">
        <v>10</v>
      </c>
      <c r="K379" s="29">
        <v>2507273</v>
      </c>
      <c r="L379" s="47" t="s">
        <v>52</v>
      </c>
      <c r="M379" s="48">
        <v>42962</v>
      </c>
      <c r="N379" s="40" t="s">
        <v>729</v>
      </c>
      <c r="O379" s="35"/>
      <c r="P379" s="36"/>
      <c r="Q379" s="36"/>
      <c r="T379" s="36"/>
    </row>
    <row r="380" spans="1:255" s="37" customFormat="1" ht="18.75" customHeight="1">
      <c r="A380" s="29">
        <f>+A379+1</f>
        <v>363</v>
      </c>
      <c r="B380" s="30"/>
      <c r="C380" s="30" t="s">
        <v>162</v>
      </c>
      <c r="D380" s="30" t="s">
        <v>730</v>
      </c>
      <c r="E380" s="31">
        <v>42919</v>
      </c>
      <c r="F380" s="30" t="s">
        <v>164</v>
      </c>
      <c r="G380" s="30" t="s">
        <v>165</v>
      </c>
      <c r="H380" s="30" t="s">
        <v>166</v>
      </c>
      <c r="I380" s="29">
        <v>12298728</v>
      </c>
      <c r="J380" s="29">
        <v>10</v>
      </c>
      <c r="K380" s="29">
        <v>1229873</v>
      </c>
      <c r="L380" s="38"/>
      <c r="M380" s="39"/>
      <c r="N380" s="40"/>
      <c r="O380" s="35"/>
      <c r="P380" s="36"/>
      <c r="Q380" s="36"/>
      <c r="T380" s="36"/>
    </row>
    <row r="381" spans="1:255" s="37" customFormat="1" ht="18.75" customHeight="1">
      <c r="A381" s="29">
        <f t="shared" ref="A381:A444" si="8">+A380+1</f>
        <v>364</v>
      </c>
      <c r="B381" s="30"/>
      <c r="C381" s="30" t="s">
        <v>74</v>
      </c>
      <c r="D381" s="30" t="s">
        <v>731</v>
      </c>
      <c r="E381" s="31">
        <v>42920</v>
      </c>
      <c r="F381" s="30" t="s">
        <v>76</v>
      </c>
      <c r="G381" s="30" t="s">
        <v>77</v>
      </c>
      <c r="H381" s="30" t="s">
        <v>678</v>
      </c>
      <c r="I381" s="29">
        <v>1501600</v>
      </c>
      <c r="J381" s="29">
        <v>10</v>
      </c>
      <c r="K381" s="29">
        <v>150160</v>
      </c>
      <c r="L381" s="38"/>
      <c r="M381" s="39"/>
      <c r="N381" s="40"/>
      <c r="O381" s="35"/>
      <c r="P381" s="36"/>
      <c r="Q381" s="36"/>
      <c r="T381" s="36"/>
    </row>
    <row r="382" spans="1:255" s="37" customFormat="1" ht="18.75" customHeight="1">
      <c r="A382" s="29">
        <f t="shared" si="8"/>
        <v>365</v>
      </c>
      <c r="B382" s="30"/>
      <c r="C382" s="30" t="s">
        <v>100</v>
      </c>
      <c r="D382" s="30" t="s">
        <v>732</v>
      </c>
      <c r="E382" s="31">
        <v>42921</v>
      </c>
      <c r="F382" s="30" t="s">
        <v>102</v>
      </c>
      <c r="G382" s="30" t="s">
        <v>103</v>
      </c>
      <c r="H382" s="30" t="s">
        <v>377</v>
      </c>
      <c r="I382" s="29">
        <v>3500000</v>
      </c>
      <c r="J382" s="29">
        <v>10</v>
      </c>
      <c r="K382" s="29">
        <v>350000</v>
      </c>
      <c r="L382" s="38"/>
      <c r="M382" s="39"/>
      <c r="N382" s="40"/>
      <c r="O382" s="35"/>
      <c r="P382" s="36"/>
      <c r="Q382" s="36"/>
      <c r="T382" s="36"/>
    </row>
    <row r="383" spans="1:255" s="37" customFormat="1" ht="18.75" customHeight="1">
      <c r="A383" s="29">
        <f t="shared" si="8"/>
        <v>366</v>
      </c>
      <c r="B383" s="30"/>
      <c r="C383" s="30" t="s">
        <v>502</v>
      </c>
      <c r="D383" s="30" t="s">
        <v>733</v>
      </c>
      <c r="E383" s="31">
        <v>42924</v>
      </c>
      <c r="F383" s="30" t="s">
        <v>362</v>
      </c>
      <c r="G383" s="30" t="s">
        <v>363</v>
      </c>
      <c r="H383" s="30" t="s">
        <v>129</v>
      </c>
      <c r="I383" s="29">
        <v>454545</v>
      </c>
      <c r="J383" s="29">
        <v>10</v>
      </c>
      <c r="K383" s="29">
        <v>45455</v>
      </c>
      <c r="L383" s="38"/>
      <c r="M383" s="39"/>
      <c r="N383" s="40"/>
      <c r="O383" s="35"/>
      <c r="P383" s="36"/>
      <c r="Q383" s="36"/>
      <c r="T383" s="36"/>
    </row>
    <row r="384" spans="1:255" s="37" customFormat="1" ht="18.75" customHeight="1">
      <c r="A384" s="29">
        <f t="shared" si="8"/>
        <v>367</v>
      </c>
      <c r="B384" s="30"/>
      <c r="C384" s="30" t="s">
        <v>468</v>
      </c>
      <c r="D384" s="30" t="s">
        <v>734</v>
      </c>
      <c r="E384" s="31">
        <v>42926</v>
      </c>
      <c r="F384" s="30" t="s">
        <v>159</v>
      </c>
      <c r="G384" s="30" t="s">
        <v>160</v>
      </c>
      <c r="H384" s="30" t="s">
        <v>161</v>
      </c>
      <c r="I384" s="29">
        <v>9000000</v>
      </c>
      <c r="J384" s="29">
        <v>10</v>
      </c>
      <c r="K384" s="29">
        <v>900000</v>
      </c>
      <c r="L384" s="38"/>
      <c r="M384" s="39"/>
      <c r="N384" s="40"/>
      <c r="O384" s="35"/>
      <c r="P384" s="36"/>
      <c r="Q384" s="36"/>
      <c r="T384" s="36"/>
    </row>
    <row r="385" spans="1:20" s="37" customFormat="1" ht="18.75" customHeight="1">
      <c r="A385" s="29">
        <f t="shared" si="8"/>
        <v>368</v>
      </c>
      <c r="B385" s="30"/>
      <c r="C385" s="30" t="s">
        <v>112</v>
      </c>
      <c r="D385" s="30" t="s">
        <v>735</v>
      </c>
      <c r="E385" s="31">
        <v>42926</v>
      </c>
      <c r="F385" s="30" t="s">
        <v>114</v>
      </c>
      <c r="G385" s="30" t="s">
        <v>115</v>
      </c>
      <c r="H385" s="30" t="s">
        <v>116</v>
      </c>
      <c r="I385" s="29">
        <v>10000</v>
      </c>
      <c r="J385" s="29">
        <v>10</v>
      </c>
      <c r="K385" s="29">
        <v>1000</v>
      </c>
      <c r="L385" s="38"/>
      <c r="M385" s="39"/>
      <c r="N385" s="40"/>
      <c r="O385" s="35"/>
      <c r="P385" s="36"/>
      <c r="Q385" s="36"/>
      <c r="T385" s="36"/>
    </row>
    <row r="386" spans="1:20" s="37" customFormat="1" ht="18.75" customHeight="1">
      <c r="A386" s="29">
        <f t="shared" si="8"/>
        <v>369</v>
      </c>
      <c r="B386" s="30"/>
      <c r="C386" s="30" t="s">
        <v>130</v>
      </c>
      <c r="D386" s="30" t="s">
        <v>736</v>
      </c>
      <c r="E386" s="31">
        <v>42927</v>
      </c>
      <c r="F386" s="30" t="s">
        <v>333</v>
      </c>
      <c r="G386" s="30" t="s">
        <v>334</v>
      </c>
      <c r="H386" s="30" t="s">
        <v>134</v>
      </c>
      <c r="I386" s="29">
        <v>1321000</v>
      </c>
      <c r="J386" s="29">
        <v>10</v>
      </c>
      <c r="K386" s="29">
        <v>132100</v>
      </c>
      <c r="L386" s="38"/>
      <c r="M386" s="39"/>
      <c r="N386" s="40"/>
      <c r="O386" s="35"/>
      <c r="P386" s="36"/>
      <c r="Q386" s="36"/>
      <c r="T386" s="36"/>
    </row>
    <row r="387" spans="1:20" s="37" customFormat="1" ht="18.75" customHeight="1">
      <c r="A387" s="29">
        <f t="shared" si="8"/>
        <v>370</v>
      </c>
      <c r="B387" s="30"/>
      <c r="C387" s="30" t="s">
        <v>95</v>
      </c>
      <c r="D387" s="30" t="s">
        <v>737</v>
      </c>
      <c r="E387" s="31">
        <v>42928</v>
      </c>
      <c r="F387" s="30" t="s">
        <v>97</v>
      </c>
      <c r="G387" s="30" t="s">
        <v>98</v>
      </c>
      <c r="H387" s="30" t="s">
        <v>99</v>
      </c>
      <c r="I387" s="29">
        <v>43200000</v>
      </c>
      <c r="J387" s="29">
        <v>10</v>
      </c>
      <c r="K387" s="29">
        <v>4320000</v>
      </c>
      <c r="L387" s="38" t="s">
        <v>52</v>
      </c>
      <c r="M387" s="39">
        <v>42962</v>
      </c>
      <c r="N387" s="40" t="s">
        <v>729</v>
      </c>
      <c r="O387" s="35"/>
      <c r="P387" s="36"/>
      <c r="Q387" s="36"/>
      <c r="T387" s="36"/>
    </row>
    <row r="388" spans="1:20" s="37" customFormat="1" ht="18.75" customHeight="1">
      <c r="A388" s="29">
        <f t="shared" si="8"/>
        <v>371</v>
      </c>
      <c r="B388" s="30"/>
      <c r="C388" s="30" t="s">
        <v>261</v>
      </c>
      <c r="D388" s="30" t="s">
        <v>738</v>
      </c>
      <c r="E388" s="31">
        <v>42928</v>
      </c>
      <c r="F388" s="30" t="s">
        <v>139</v>
      </c>
      <c r="G388" s="30" t="s">
        <v>140</v>
      </c>
      <c r="H388" s="30" t="s">
        <v>739</v>
      </c>
      <c r="I388" s="29">
        <v>1456439</v>
      </c>
      <c r="J388" s="29">
        <v>10</v>
      </c>
      <c r="K388" s="29">
        <v>145644</v>
      </c>
      <c r="L388" s="38"/>
      <c r="M388" s="39"/>
      <c r="N388" s="40"/>
      <c r="O388" s="35"/>
      <c r="P388" s="36"/>
      <c r="Q388" s="36"/>
      <c r="T388" s="36"/>
    </row>
    <row r="389" spans="1:20" s="37" customFormat="1" ht="18.75" customHeight="1">
      <c r="A389" s="29">
        <f t="shared" si="8"/>
        <v>372</v>
      </c>
      <c r="B389" s="30"/>
      <c r="C389" s="30" t="s">
        <v>261</v>
      </c>
      <c r="D389" s="30" t="s">
        <v>740</v>
      </c>
      <c r="E389" s="31">
        <v>42928</v>
      </c>
      <c r="F389" s="30" t="s">
        <v>139</v>
      </c>
      <c r="G389" s="30" t="s">
        <v>140</v>
      </c>
      <c r="H389" s="30" t="s">
        <v>739</v>
      </c>
      <c r="I389" s="29">
        <v>157205</v>
      </c>
      <c r="J389" s="29">
        <v>10</v>
      </c>
      <c r="K389" s="29">
        <v>15721</v>
      </c>
      <c r="L389" s="38"/>
      <c r="M389" s="39"/>
      <c r="N389" s="40"/>
      <c r="O389" s="35"/>
      <c r="P389" s="36"/>
      <c r="Q389" s="36"/>
      <c r="T389" s="36"/>
    </row>
    <row r="390" spans="1:20" s="37" customFormat="1" ht="18.75" customHeight="1">
      <c r="A390" s="29">
        <f t="shared" si="8"/>
        <v>373</v>
      </c>
      <c r="B390" s="30"/>
      <c r="C390" s="30" t="s">
        <v>261</v>
      </c>
      <c r="D390" s="30" t="s">
        <v>741</v>
      </c>
      <c r="E390" s="31">
        <v>42928</v>
      </c>
      <c r="F390" s="30" t="s">
        <v>139</v>
      </c>
      <c r="G390" s="30" t="s">
        <v>140</v>
      </c>
      <c r="H390" s="30" t="s">
        <v>739</v>
      </c>
      <c r="I390" s="29">
        <v>333403</v>
      </c>
      <c r="J390" s="29">
        <v>10</v>
      </c>
      <c r="K390" s="29">
        <v>33340</v>
      </c>
      <c r="L390" s="38"/>
      <c r="M390" s="39"/>
      <c r="N390" s="40"/>
      <c r="O390" s="35"/>
      <c r="P390" s="36"/>
      <c r="Q390" s="36"/>
      <c r="T390" s="36"/>
    </row>
    <row r="391" spans="1:20" s="37" customFormat="1" ht="18.75" customHeight="1">
      <c r="A391" s="29">
        <f t="shared" si="8"/>
        <v>374</v>
      </c>
      <c r="B391" s="30"/>
      <c r="C391" s="30" t="s">
        <v>261</v>
      </c>
      <c r="D391" s="30" t="s">
        <v>742</v>
      </c>
      <c r="E391" s="31">
        <v>42928</v>
      </c>
      <c r="F391" s="30" t="s">
        <v>139</v>
      </c>
      <c r="G391" s="30" t="s">
        <v>140</v>
      </c>
      <c r="H391" s="30" t="s">
        <v>739</v>
      </c>
      <c r="I391" s="29">
        <v>496334</v>
      </c>
      <c r="J391" s="29">
        <v>10</v>
      </c>
      <c r="K391" s="29">
        <v>49633</v>
      </c>
      <c r="L391" s="38"/>
      <c r="M391" s="39"/>
      <c r="N391" s="40"/>
      <c r="O391" s="35"/>
      <c r="P391" s="36"/>
      <c r="Q391" s="36"/>
      <c r="T391" s="36"/>
    </row>
    <row r="392" spans="1:20" s="37" customFormat="1" ht="18.75" customHeight="1">
      <c r="A392" s="29">
        <f t="shared" si="8"/>
        <v>375</v>
      </c>
      <c r="B392" s="30"/>
      <c r="C392" s="30" t="s">
        <v>581</v>
      </c>
      <c r="D392" s="30" t="s">
        <v>743</v>
      </c>
      <c r="E392" s="31">
        <v>42929</v>
      </c>
      <c r="F392" s="30" t="s">
        <v>744</v>
      </c>
      <c r="G392" s="30" t="s">
        <v>584</v>
      </c>
      <c r="H392" s="30" t="s">
        <v>745</v>
      </c>
      <c r="I392" s="29">
        <v>2236363</v>
      </c>
      <c r="J392" s="29">
        <v>10</v>
      </c>
      <c r="K392" s="29">
        <v>223637</v>
      </c>
      <c r="L392" s="38"/>
      <c r="M392" s="39"/>
      <c r="N392" s="40"/>
      <c r="O392" s="35"/>
      <c r="P392" s="36"/>
      <c r="Q392" s="36"/>
      <c r="T392" s="36"/>
    </row>
    <row r="393" spans="1:20" s="37" customFormat="1" ht="18.75" customHeight="1">
      <c r="A393" s="29">
        <f t="shared" si="8"/>
        <v>376</v>
      </c>
      <c r="B393" s="30"/>
      <c r="C393" s="30" t="s">
        <v>746</v>
      </c>
      <c r="D393" s="30" t="s">
        <v>747</v>
      </c>
      <c r="E393" s="31">
        <v>42929</v>
      </c>
      <c r="F393" s="30" t="s">
        <v>748</v>
      </c>
      <c r="G393" s="30" t="s">
        <v>749</v>
      </c>
      <c r="H393" s="30" t="s">
        <v>316</v>
      </c>
      <c r="I393" s="29">
        <v>5808182</v>
      </c>
      <c r="J393" s="29">
        <v>10</v>
      </c>
      <c r="K393" s="29">
        <v>580818</v>
      </c>
      <c r="L393" s="38"/>
      <c r="M393" s="39"/>
      <c r="N393" s="40"/>
      <c r="O393" s="35"/>
      <c r="P393" s="36"/>
      <c r="Q393" s="36"/>
      <c r="T393" s="36"/>
    </row>
    <row r="394" spans="1:20" s="37" customFormat="1" ht="18.75" customHeight="1">
      <c r="A394" s="29">
        <f t="shared" si="8"/>
        <v>377</v>
      </c>
      <c r="B394" s="30"/>
      <c r="C394" s="30" t="s">
        <v>502</v>
      </c>
      <c r="D394" s="30" t="s">
        <v>750</v>
      </c>
      <c r="E394" s="31">
        <v>42929</v>
      </c>
      <c r="F394" s="30" t="s">
        <v>362</v>
      </c>
      <c r="G394" s="30" t="s">
        <v>363</v>
      </c>
      <c r="H394" s="30" t="s">
        <v>129</v>
      </c>
      <c r="I394" s="29">
        <v>454545</v>
      </c>
      <c r="J394" s="29">
        <v>10</v>
      </c>
      <c r="K394" s="29">
        <v>45455</v>
      </c>
      <c r="L394" s="38"/>
      <c r="M394" s="39"/>
      <c r="N394" s="40"/>
      <c r="O394" s="35"/>
      <c r="P394" s="36"/>
      <c r="Q394" s="36"/>
      <c r="T394" s="36"/>
    </row>
    <row r="395" spans="1:20" s="37" customFormat="1" ht="18.75" customHeight="1">
      <c r="A395" s="29">
        <f t="shared" si="8"/>
        <v>378</v>
      </c>
      <c r="B395" s="30"/>
      <c r="C395" s="30" t="s">
        <v>213</v>
      </c>
      <c r="D395" s="30" t="s">
        <v>751</v>
      </c>
      <c r="E395" s="31">
        <v>42930</v>
      </c>
      <c r="F395" s="30" t="s">
        <v>215</v>
      </c>
      <c r="G395" s="30" t="s">
        <v>216</v>
      </c>
      <c r="H395" s="30" t="s">
        <v>752</v>
      </c>
      <c r="I395" s="29">
        <v>2366000</v>
      </c>
      <c r="J395" s="29">
        <v>10</v>
      </c>
      <c r="K395" s="29">
        <v>236600</v>
      </c>
      <c r="L395" s="38"/>
      <c r="M395" s="39"/>
      <c r="N395" s="40"/>
      <c r="O395" s="35"/>
      <c r="P395" s="36"/>
      <c r="Q395" s="36"/>
      <c r="T395" s="36"/>
    </row>
    <row r="396" spans="1:20" s="37" customFormat="1" ht="18.75" customHeight="1">
      <c r="A396" s="29">
        <f t="shared" si="8"/>
        <v>379</v>
      </c>
      <c r="B396" s="30"/>
      <c r="C396" s="30" t="s">
        <v>753</v>
      </c>
      <c r="D396" s="30" t="s">
        <v>754</v>
      </c>
      <c r="E396" s="31">
        <v>42933</v>
      </c>
      <c r="F396" s="30" t="s">
        <v>755</v>
      </c>
      <c r="G396" s="30" t="s">
        <v>756</v>
      </c>
      <c r="H396" s="30" t="s">
        <v>757</v>
      </c>
      <c r="I396" s="29">
        <v>1980000</v>
      </c>
      <c r="J396" s="29">
        <v>10</v>
      </c>
      <c r="K396" s="29">
        <v>198000</v>
      </c>
      <c r="L396" s="38"/>
      <c r="M396" s="39"/>
      <c r="N396" s="40"/>
      <c r="O396" s="35"/>
      <c r="P396" s="36"/>
      <c r="Q396" s="36"/>
      <c r="T396" s="36"/>
    </row>
    <row r="397" spans="1:20" s="37" customFormat="1" ht="18.75" customHeight="1">
      <c r="A397" s="29">
        <f t="shared" si="8"/>
        <v>380</v>
      </c>
      <c r="B397" s="30"/>
      <c r="C397" s="30" t="s">
        <v>100</v>
      </c>
      <c r="D397" s="30" t="s">
        <v>758</v>
      </c>
      <c r="E397" s="31">
        <v>42933</v>
      </c>
      <c r="F397" s="30" t="s">
        <v>102</v>
      </c>
      <c r="G397" s="30" t="s">
        <v>103</v>
      </c>
      <c r="H397" s="30" t="s">
        <v>377</v>
      </c>
      <c r="I397" s="29">
        <v>15220000</v>
      </c>
      <c r="J397" s="29">
        <v>10</v>
      </c>
      <c r="K397" s="29">
        <v>1522000</v>
      </c>
      <c r="L397" s="38"/>
      <c r="M397" s="39"/>
      <c r="N397" s="40"/>
      <c r="O397" s="35"/>
      <c r="P397" s="36"/>
      <c r="Q397" s="36"/>
      <c r="T397" s="36"/>
    </row>
    <row r="398" spans="1:20" s="37" customFormat="1" ht="18.75" customHeight="1">
      <c r="A398" s="29">
        <f t="shared" si="8"/>
        <v>381</v>
      </c>
      <c r="B398" s="30"/>
      <c r="C398" s="30" t="s">
        <v>162</v>
      </c>
      <c r="D398" s="30" t="s">
        <v>759</v>
      </c>
      <c r="E398" s="31">
        <v>42933</v>
      </c>
      <c r="F398" s="30" t="s">
        <v>164</v>
      </c>
      <c r="G398" s="30" t="s">
        <v>165</v>
      </c>
      <c r="H398" s="30" t="s">
        <v>166</v>
      </c>
      <c r="I398" s="29">
        <v>11503265</v>
      </c>
      <c r="J398" s="29">
        <v>10</v>
      </c>
      <c r="K398" s="29">
        <v>1150327</v>
      </c>
      <c r="L398" s="38"/>
      <c r="M398" s="39"/>
      <c r="N398" s="40"/>
      <c r="O398" s="35"/>
      <c r="P398" s="36"/>
      <c r="Q398" s="36"/>
      <c r="T398" s="36"/>
    </row>
    <row r="399" spans="1:20" s="37" customFormat="1" ht="18.75" customHeight="1">
      <c r="A399" s="29">
        <f t="shared" si="8"/>
        <v>382</v>
      </c>
      <c r="B399" s="30"/>
      <c r="C399" s="30" t="s">
        <v>93</v>
      </c>
      <c r="D399" s="30" t="s">
        <v>760</v>
      </c>
      <c r="E399" s="31">
        <v>42934</v>
      </c>
      <c r="F399" s="30" t="s">
        <v>49</v>
      </c>
      <c r="G399" s="30" t="s">
        <v>50</v>
      </c>
      <c r="H399" s="30" t="s">
        <v>51</v>
      </c>
      <c r="I399" s="29">
        <v>130570000</v>
      </c>
      <c r="J399" s="29">
        <v>10</v>
      </c>
      <c r="K399" s="29">
        <v>13057000</v>
      </c>
      <c r="L399" s="38" t="s">
        <v>52</v>
      </c>
      <c r="M399" s="39">
        <v>42962</v>
      </c>
      <c r="N399" s="40" t="s">
        <v>729</v>
      </c>
      <c r="O399" s="35"/>
      <c r="P399" s="36"/>
      <c r="Q399" s="36"/>
      <c r="T399" s="36"/>
    </row>
    <row r="400" spans="1:20" s="37" customFormat="1" ht="18.75" customHeight="1">
      <c r="A400" s="29">
        <f t="shared" si="8"/>
        <v>383</v>
      </c>
      <c r="B400" s="30"/>
      <c r="C400" s="30" t="s">
        <v>502</v>
      </c>
      <c r="D400" s="30" t="s">
        <v>761</v>
      </c>
      <c r="E400" s="31">
        <v>42934</v>
      </c>
      <c r="F400" s="30" t="s">
        <v>362</v>
      </c>
      <c r="G400" s="30" t="s">
        <v>363</v>
      </c>
      <c r="H400" s="30" t="s">
        <v>129</v>
      </c>
      <c r="I400" s="29">
        <v>454545</v>
      </c>
      <c r="J400" s="29">
        <v>10</v>
      </c>
      <c r="K400" s="29">
        <v>45455</v>
      </c>
      <c r="L400" s="38"/>
      <c r="M400" s="39"/>
      <c r="N400" s="40"/>
      <c r="O400" s="35"/>
      <c r="P400" s="36"/>
      <c r="Q400" s="36"/>
      <c r="T400" s="36"/>
    </row>
    <row r="401" spans="1:20" s="37" customFormat="1" ht="18.75" customHeight="1">
      <c r="A401" s="29">
        <f t="shared" si="8"/>
        <v>384</v>
      </c>
      <c r="B401" s="30"/>
      <c r="C401" s="30" t="s">
        <v>762</v>
      </c>
      <c r="D401" s="30" t="s">
        <v>763</v>
      </c>
      <c r="E401" s="31">
        <v>42935</v>
      </c>
      <c r="F401" s="30" t="s">
        <v>764</v>
      </c>
      <c r="G401" s="30" t="s">
        <v>765</v>
      </c>
      <c r="H401" s="30" t="s">
        <v>766</v>
      </c>
      <c r="I401" s="29">
        <v>11700000</v>
      </c>
      <c r="J401" s="29">
        <v>10</v>
      </c>
      <c r="K401" s="29">
        <v>1170000</v>
      </c>
      <c r="L401" s="38"/>
      <c r="M401" s="39"/>
      <c r="N401" s="40"/>
      <c r="O401" s="35"/>
      <c r="P401" s="36"/>
      <c r="Q401" s="36"/>
      <c r="T401" s="36"/>
    </row>
    <row r="402" spans="1:20" s="37" customFormat="1" ht="18.75" customHeight="1">
      <c r="A402" s="29">
        <f t="shared" si="8"/>
        <v>385</v>
      </c>
      <c r="B402" s="30"/>
      <c r="C402" s="30" t="s">
        <v>93</v>
      </c>
      <c r="D402" s="30" t="s">
        <v>767</v>
      </c>
      <c r="E402" s="31">
        <v>42935</v>
      </c>
      <c r="F402" s="30" t="s">
        <v>643</v>
      </c>
      <c r="G402" s="30" t="s">
        <v>644</v>
      </c>
      <c r="H402" s="30" t="s">
        <v>645</v>
      </c>
      <c r="I402" s="29">
        <v>304545</v>
      </c>
      <c r="J402" s="29">
        <v>8</v>
      </c>
      <c r="K402" s="29">
        <v>25455</v>
      </c>
      <c r="L402" s="38"/>
      <c r="M402" s="39"/>
      <c r="N402" s="40"/>
      <c r="O402" s="35"/>
      <c r="P402" s="36"/>
      <c r="Q402" s="36"/>
      <c r="T402" s="36"/>
    </row>
    <row r="403" spans="1:20" s="37" customFormat="1" ht="18.75" customHeight="1">
      <c r="A403" s="29">
        <f t="shared" si="8"/>
        <v>386</v>
      </c>
      <c r="B403" s="30"/>
      <c r="C403" s="30" t="s">
        <v>112</v>
      </c>
      <c r="D403" s="30" t="s">
        <v>768</v>
      </c>
      <c r="E403" s="31">
        <v>42935</v>
      </c>
      <c r="F403" s="30" t="s">
        <v>114</v>
      </c>
      <c r="G403" s="30" t="s">
        <v>115</v>
      </c>
      <c r="H403" s="30" t="s">
        <v>116</v>
      </c>
      <c r="I403" s="29">
        <v>20000</v>
      </c>
      <c r="J403" s="29">
        <v>10</v>
      </c>
      <c r="K403" s="29">
        <v>2000</v>
      </c>
      <c r="L403" s="38"/>
      <c r="M403" s="39"/>
      <c r="N403" s="40"/>
      <c r="O403" s="35"/>
      <c r="P403" s="36"/>
      <c r="Q403" s="36"/>
      <c r="T403" s="36"/>
    </row>
    <row r="404" spans="1:20" s="37" customFormat="1" ht="18.75" customHeight="1">
      <c r="A404" s="29">
        <f t="shared" si="8"/>
        <v>387</v>
      </c>
      <c r="B404" s="30"/>
      <c r="C404" s="30" t="s">
        <v>112</v>
      </c>
      <c r="D404" s="30" t="s">
        <v>769</v>
      </c>
      <c r="E404" s="31">
        <v>42935</v>
      </c>
      <c r="F404" s="30" t="s">
        <v>114</v>
      </c>
      <c r="G404" s="30" t="s">
        <v>115</v>
      </c>
      <c r="H404" s="30" t="s">
        <v>116</v>
      </c>
      <c r="I404" s="29">
        <v>20000</v>
      </c>
      <c r="J404" s="29">
        <v>10</v>
      </c>
      <c r="K404" s="29">
        <v>2000</v>
      </c>
      <c r="L404" s="38"/>
      <c r="M404" s="39"/>
      <c r="N404" s="40"/>
      <c r="O404" s="35"/>
      <c r="P404" s="36"/>
      <c r="Q404" s="36"/>
      <c r="T404" s="36"/>
    </row>
    <row r="405" spans="1:20" s="37" customFormat="1" ht="18.75" customHeight="1">
      <c r="A405" s="29">
        <f t="shared" si="8"/>
        <v>388</v>
      </c>
      <c r="B405" s="30"/>
      <c r="C405" s="30" t="s">
        <v>112</v>
      </c>
      <c r="D405" s="30" t="s">
        <v>770</v>
      </c>
      <c r="E405" s="31">
        <v>42935</v>
      </c>
      <c r="F405" s="30" t="s">
        <v>114</v>
      </c>
      <c r="G405" s="30" t="s">
        <v>115</v>
      </c>
      <c r="H405" s="30" t="s">
        <v>116</v>
      </c>
      <c r="I405" s="29">
        <v>10000</v>
      </c>
      <c r="J405" s="29">
        <v>10</v>
      </c>
      <c r="K405" s="29">
        <v>1000</v>
      </c>
      <c r="L405" s="38"/>
      <c r="M405" s="39"/>
      <c r="N405" s="40"/>
      <c r="O405" s="35"/>
      <c r="P405" s="36"/>
      <c r="Q405" s="36"/>
      <c r="T405" s="36"/>
    </row>
    <row r="406" spans="1:20" s="37" customFormat="1" ht="18.75" customHeight="1">
      <c r="A406" s="29">
        <f t="shared" si="8"/>
        <v>389</v>
      </c>
      <c r="B406" s="30"/>
      <c r="C406" s="30" t="s">
        <v>112</v>
      </c>
      <c r="D406" s="30" t="s">
        <v>771</v>
      </c>
      <c r="E406" s="31">
        <v>42935</v>
      </c>
      <c r="F406" s="30" t="s">
        <v>114</v>
      </c>
      <c r="G406" s="30" t="s">
        <v>115</v>
      </c>
      <c r="H406" s="30" t="s">
        <v>116</v>
      </c>
      <c r="I406" s="29">
        <v>20000</v>
      </c>
      <c r="J406" s="29">
        <v>10</v>
      </c>
      <c r="K406" s="29">
        <v>2000</v>
      </c>
      <c r="L406" s="38"/>
      <c r="M406" s="39"/>
      <c r="N406" s="40"/>
      <c r="O406" s="35"/>
      <c r="P406" s="36"/>
      <c r="Q406" s="36"/>
      <c r="T406" s="36"/>
    </row>
    <row r="407" spans="1:20" s="37" customFormat="1" ht="18.75" customHeight="1">
      <c r="A407" s="29">
        <f t="shared" si="8"/>
        <v>390</v>
      </c>
      <c r="B407" s="30"/>
      <c r="C407" s="30" t="s">
        <v>112</v>
      </c>
      <c r="D407" s="30" t="s">
        <v>772</v>
      </c>
      <c r="E407" s="31">
        <v>42935</v>
      </c>
      <c r="F407" s="30" t="s">
        <v>114</v>
      </c>
      <c r="G407" s="30" t="s">
        <v>115</v>
      </c>
      <c r="H407" s="30" t="s">
        <v>116</v>
      </c>
      <c r="I407" s="29">
        <v>20000</v>
      </c>
      <c r="J407" s="29">
        <v>10</v>
      </c>
      <c r="K407" s="29">
        <v>2000</v>
      </c>
      <c r="L407" s="38"/>
      <c r="M407" s="39"/>
      <c r="N407" s="40"/>
      <c r="O407" s="35"/>
      <c r="P407" s="36"/>
      <c r="Q407" s="36"/>
      <c r="T407" s="36"/>
    </row>
    <row r="408" spans="1:20" s="37" customFormat="1" ht="18.75" customHeight="1">
      <c r="A408" s="29">
        <f t="shared" si="8"/>
        <v>391</v>
      </c>
      <c r="B408" s="30"/>
      <c r="C408" s="30" t="s">
        <v>112</v>
      </c>
      <c r="D408" s="30" t="s">
        <v>773</v>
      </c>
      <c r="E408" s="31">
        <v>42935</v>
      </c>
      <c r="F408" s="30" t="s">
        <v>114</v>
      </c>
      <c r="G408" s="30" t="s">
        <v>115</v>
      </c>
      <c r="H408" s="30" t="s">
        <v>116</v>
      </c>
      <c r="I408" s="29">
        <v>20000</v>
      </c>
      <c r="J408" s="29">
        <v>10</v>
      </c>
      <c r="K408" s="29">
        <v>2000</v>
      </c>
      <c r="L408" s="38"/>
      <c r="M408" s="39"/>
      <c r="N408" s="40"/>
      <c r="O408" s="35"/>
      <c r="P408" s="36"/>
      <c r="Q408" s="36"/>
      <c r="T408" s="36"/>
    </row>
    <row r="409" spans="1:20" s="37" customFormat="1" ht="18.75" customHeight="1">
      <c r="A409" s="29">
        <f t="shared" si="8"/>
        <v>392</v>
      </c>
      <c r="B409" s="30"/>
      <c r="C409" s="30" t="s">
        <v>112</v>
      </c>
      <c r="D409" s="30" t="s">
        <v>735</v>
      </c>
      <c r="E409" s="31">
        <v>42935</v>
      </c>
      <c r="F409" s="30" t="s">
        <v>114</v>
      </c>
      <c r="G409" s="30" t="s">
        <v>115</v>
      </c>
      <c r="H409" s="30" t="s">
        <v>116</v>
      </c>
      <c r="I409" s="29">
        <v>20000</v>
      </c>
      <c r="J409" s="29">
        <v>10</v>
      </c>
      <c r="K409" s="29">
        <v>2000</v>
      </c>
      <c r="L409" s="38"/>
      <c r="M409" s="39"/>
      <c r="N409" s="40"/>
      <c r="O409" s="35"/>
      <c r="P409" s="36"/>
      <c r="Q409" s="36"/>
      <c r="T409" s="36"/>
    </row>
    <row r="410" spans="1:20" s="37" customFormat="1" ht="18.75" customHeight="1">
      <c r="A410" s="29">
        <f t="shared" si="8"/>
        <v>393</v>
      </c>
      <c r="B410" s="30"/>
      <c r="C410" s="30" t="s">
        <v>112</v>
      </c>
      <c r="D410" s="30" t="s">
        <v>774</v>
      </c>
      <c r="E410" s="31">
        <v>42935</v>
      </c>
      <c r="F410" s="30" t="s">
        <v>114</v>
      </c>
      <c r="G410" s="30" t="s">
        <v>115</v>
      </c>
      <c r="H410" s="30" t="s">
        <v>116</v>
      </c>
      <c r="I410" s="29">
        <v>10000</v>
      </c>
      <c r="J410" s="29">
        <v>10</v>
      </c>
      <c r="K410" s="29">
        <v>1000</v>
      </c>
      <c r="L410" s="38"/>
      <c r="M410" s="39"/>
      <c r="N410" s="40"/>
      <c r="O410" s="35"/>
      <c r="P410" s="36"/>
      <c r="Q410" s="36"/>
      <c r="T410" s="36"/>
    </row>
    <row r="411" spans="1:20" s="37" customFormat="1" ht="18.75" customHeight="1">
      <c r="A411" s="29">
        <f t="shared" si="8"/>
        <v>394</v>
      </c>
      <c r="B411" s="30"/>
      <c r="C411" s="30" t="s">
        <v>112</v>
      </c>
      <c r="D411" s="30" t="s">
        <v>775</v>
      </c>
      <c r="E411" s="31">
        <v>42935</v>
      </c>
      <c r="F411" s="30" t="s">
        <v>114</v>
      </c>
      <c r="G411" s="30" t="s">
        <v>115</v>
      </c>
      <c r="H411" s="30" t="s">
        <v>116</v>
      </c>
      <c r="I411" s="29">
        <v>20000</v>
      </c>
      <c r="J411" s="29">
        <v>10</v>
      </c>
      <c r="K411" s="29">
        <v>2000</v>
      </c>
      <c r="L411" s="38"/>
      <c r="M411" s="39"/>
      <c r="N411" s="40"/>
      <c r="O411" s="35"/>
      <c r="P411" s="36"/>
      <c r="Q411" s="36"/>
      <c r="T411" s="36"/>
    </row>
    <row r="412" spans="1:20" s="37" customFormat="1" ht="18.75" customHeight="1">
      <c r="A412" s="29">
        <f t="shared" si="8"/>
        <v>395</v>
      </c>
      <c r="B412" s="30"/>
      <c r="C412" s="30" t="s">
        <v>112</v>
      </c>
      <c r="D412" s="30" t="s">
        <v>776</v>
      </c>
      <c r="E412" s="31">
        <v>42935</v>
      </c>
      <c r="F412" s="30" t="s">
        <v>114</v>
      </c>
      <c r="G412" s="30" t="s">
        <v>115</v>
      </c>
      <c r="H412" s="30" t="s">
        <v>116</v>
      </c>
      <c r="I412" s="29">
        <v>20000</v>
      </c>
      <c r="J412" s="29">
        <v>10</v>
      </c>
      <c r="K412" s="29">
        <v>2000</v>
      </c>
      <c r="L412" s="38"/>
      <c r="M412" s="39"/>
      <c r="N412" s="40"/>
      <c r="O412" s="35"/>
      <c r="P412" s="36"/>
      <c r="Q412" s="36"/>
      <c r="T412" s="36"/>
    </row>
    <row r="413" spans="1:20" s="37" customFormat="1" ht="18.75" customHeight="1">
      <c r="A413" s="29">
        <f t="shared" si="8"/>
        <v>396</v>
      </c>
      <c r="B413" s="30"/>
      <c r="C413" s="30" t="s">
        <v>112</v>
      </c>
      <c r="D413" s="30" t="s">
        <v>777</v>
      </c>
      <c r="E413" s="31">
        <v>42935</v>
      </c>
      <c r="F413" s="30" t="s">
        <v>114</v>
      </c>
      <c r="G413" s="30" t="s">
        <v>115</v>
      </c>
      <c r="H413" s="30" t="s">
        <v>116</v>
      </c>
      <c r="I413" s="29">
        <v>10000</v>
      </c>
      <c r="J413" s="29">
        <v>10</v>
      </c>
      <c r="K413" s="29">
        <v>1000</v>
      </c>
      <c r="L413" s="38"/>
      <c r="M413" s="39"/>
      <c r="N413" s="40"/>
      <c r="O413" s="35"/>
      <c r="P413" s="36"/>
      <c r="Q413" s="36"/>
      <c r="T413" s="36"/>
    </row>
    <row r="414" spans="1:20" s="37" customFormat="1" ht="18.75" customHeight="1">
      <c r="A414" s="29">
        <f t="shared" si="8"/>
        <v>397</v>
      </c>
      <c r="B414" s="30"/>
      <c r="C414" s="30" t="s">
        <v>112</v>
      </c>
      <c r="D414" s="30" t="s">
        <v>687</v>
      </c>
      <c r="E414" s="31">
        <v>42935</v>
      </c>
      <c r="F414" s="30" t="s">
        <v>114</v>
      </c>
      <c r="G414" s="30" t="s">
        <v>115</v>
      </c>
      <c r="H414" s="30" t="s">
        <v>116</v>
      </c>
      <c r="I414" s="29">
        <v>10000</v>
      </c>
      <c r="J414" s="29">
        <v>10</v>
      </c>
      <c r="K414" s="29">
        <v>1000</v>
      </c>
      <c r="L414" s="38"/>
      <c r="M414" s="39"/>
      <c r="N414" s="40"/>
      <c r="O414" s="35"/>
      <c r="P414" s="36"/>
      <c r="Q414" s="36"/>
      <c r="T414" s="36"/>
    </row>
    <row r="415" spans="1:20" s="37" customFormat="1" ht="18.75" customHeight="1">
      <c r="A415" s="29">
        <f t="shared" si="8"/>
        <v>398</v>
      </c>
      <c r="B415" s="30"/>
      <c r="C415" s="30" t="s">
        <v>112</v>
      </c>
      <c r="D415" s="30" t="s">
        <v>778</v>
      </c>
      <c r="E415" s="31">
        <v>42935</v>
      </c>
      <c r="F415" s="30" t="s">
        <v>114</v>
      </c>
      <c r="G415" s="30" t="s">
        <v>115</v>
      </c>
      <c r="H415" s="30" t="s">
        <v>116</v>
      </c>
      <c r="I415" s="29">
        <v>10000</v>
      </c>
      <c r="J415" s="29">
        <v>10</v>
      </c>
      <c r="K415" s="29">
        <v>1000</v>
      </c>
      <c r="L415" s="38"/>
      <c r="M415" s="39"/>
      <c r="N415" s="40"/>
      <c r="O415" s="35"/>
      <c r="P415" s="36"/>
      <c r="Q415" s="36"/>
      <c r="T415" s="36"/>
    </row>
    <row r="416" spans="1:20" s="37" customFormat="1" ht="18.75" customHeight="1">
      <c r="A416" s="29">
        <f t="shared" si="8"/>
        <v>399</v>
      </c>
      <c r="B416" s="30"/>
      <c r="C416" s="30" t="s">
        <v>112</v>
      </c>
      <c r="D416" s="30" t="s">
        <v>779</v>
      </c>
      <c r="E416" s="31">
        <v>42935</v>
      </c>
      <c r="F416" s="30" t="s">
        <v>114</v>
      </c>
      <c r="G416" s="30" t="s">
        <v>115</v>
      </c>
      <c r="H416" s="30" t="s">
        <v>116</v>
      </c>
      <c r="I416" s="29">
        <v>20000</v>
      </c>
      <c r="J416" s="29">
        <v>10</v>
      </c>
      <c r="K416" s="29">
        <v>2000</v>
      </c>
      <c r="L416" s="38"/>
      <c r="M416" s="39"/>
      <c r="N416" s="40"/>
      <c r="O416" s="35"/>
      <c r="P416" s="36"/>
      <c r="Q416" s="36"/>
      <c r="T416" s="36"/>
    </row>
    <row r="417" spans="1:20" s="37" customFormat="1" ht="18.75" customHeight="1">
      <c r="A417" s="29">
        <f t="shared" si="8"/>
        <v>400</v>
      </c>
      <c r="B417" s="30"/>
      <c r="C417" s="30" t="s">
        <v>762</v>
      </c>
      <c r="D417" s="30" t="s">
        <v>780</v>
      </c>
      <c r="E417" s="31">
        <v>42936</v>
      </c>
      <c r="F417" s="30" t="s">
        <v>764</v>
      </c>
      <c r="G417" s="30" t="s">
        <v>765</v>
      </c>
      <c r="H417" s="30" t="s">
        <v>781</v>
      </c>
      <c r="I417" s="29">
        <v>12600000</v>
      </c>
      <c r="J417" s="29">
        <v>10</v>
      </c>
      <c r="K417" s="29">
        <v>1260000</v>
      </c>
      <c r="L417" s="38"/>
      <c r="M417" s="39"/>
      <c r="N417" s="40"/>
      <c r="O417" s="35"/>
      <c r="P417" s="36"/>
      <c r="Q417" s="36"/>
      <c r="T417" s="36"/>
    </row>
    <row r="418" spans="1:20" s="37" customFormat="1" ht="18.75" customHeight="1">
      <c r="A418" s="29">
        <f t="shared" si="8"/>
        <v>401</v>
      </c>
      <c r="B418" s="30"/>
      <c r="C418" s="30" t="s">
        <v>194</v>
      </c>
      <c r="D418" s="30" t="s">
        <v>301</v>
      </c>
      <c r="E418" s="31">
        <v>42936</v>
      </c>
      <c r="F418" s="30" t="s">
        <v>196</v>
      </c>
      <c r="G418" s="30" t="s">
        <v>197</v>
      </c>
      <c r="H418" s="30" t="s">
        <v>402</v>
      </c>
      <c r="I418" s="29">
        <v>709087</v>
      </c>
      <c r="J418" s="29">
        <v>10</v>
      </c>
      <c r="K418" s="29">
        <v>70909</v>
      </c>
      <c r="L418" s="38"/>
      <c r="M418" s="39"/>
      <c r="N418" s="40"/>
      <c r="O418" s="35"/>
      <c r="P418" s="36"/>
      <c r="Q418" s="36"/>
      <c r="T418" s="36"/>
    </row>
    <row r="419" spans="1:20" s="37" customFormat="1" ht="18.75" customHeight="1">
      <c r="A419" s="29">
        <f t="shared" si="8"/>
        <v>402</v>
      </c>
      <c r="B419" s="30"/>
      <c r="C419" s="30" t="s">
        <v>502</v>
      </c>
      <c r="D419" s="30" t="s">
        <v>782</v>
      </c>
      <c r="E419" s="31">
        <v>42936</v>
      </c>
      <c r="F419" s="30" t="s">
        <v>666</v>
      </c>
      <c r="G419" s="30" t="s">
        <v>363</v>
      </c>
      <c r="H419" s="30" t="s">
        <v>667</v>
      </c>
      <c r="I419" s="29">
        <v>2354545</v>
      </c>
      <c r="J419" s="29">
        <v>10</v>
      </c>
      <c r="K419" s="29">
        <v>235455</v>
      </c>
      <c r="L419" s="38"/>
      <c r="M419" s="39"/>
      <c r="N419" s="40"/>
      <c r="O419" s="35"/>
      <c r="P419" s="36"/>
      <c r="Q419" s="36"/>
      <c r="T419" s="36"/>
    </row>
    <row r="420" spans="1:20" s="37" customFormat="1" ht="18.75" customHeight="1">
      <c r="A420" s="29">
        <f t="shared" si="8"/>
        <v>403</v>
      </c>
      <c r="B420" s="30"/>
      <c r="C420" s="30" t="s">
        <v>320</v>
      </c>
      <c r="D420" s="30" t="s">
        <v>783</v>
      </c>
      <c r="E420" s="31">
        <v>42937</v>
      </c>
      <c r="F420" s="30" t="s">
        <v>322</v>
      </c>
      <c r="G420" s="30" t="s">
        <v>323</v>
      </c>
      <c r="H420" s="30" t="s">
        <v>654</v>
      </c>
      <c r="I420" s="29">
        <v>23673000</v>
      </c>
      <c r="J420" s="29">
        <v>10</v>
      </c>
      <c r="K420" s="29">
        <v>2367300</v>
      </c>
      <c r="L420" s="38" t="s">
        <v>52</v>
      </c>
      <c r="M420" s="39">
        <v>42962</v>
      </c>
      <c r="N420" s="40" t="s">
        <v>729</v>
      </c>
      <c r="O420" s="35"/>
      <c r="P420" s="36"/>
      <c r="Q420" s="36"/>
      <c r="T420" s="36"/>
    </row>
    <row r="421" spans="1:20" s="37" customFormat="1" ht="18.75" customHeight="1">
      <c r="A421" s="29">
        <f t="shared" si="8"/>
        <v>404</v>
      </c>
      <c r="B421" s="30"/>
      <c r="C421" s="30" t="s">
        <v>502</v>
      </c>
      <c r="D421" s="30" t="s">
        <v>784</v>
      </c>
      <c r="E421" s="31">
        <v>42937</v>
      </c>
      <c r="F421" s="30" t="s">
        <v>362</v>
      </c>
      <c r="G421" s="30" t="s">
        <v>363</v>
      </c>
      <c r="H421" s="30" t="s">
        <v>129</v>
      </c>
      <c r="I421" s="29">
        <v>454545</v>
      </c>
      <c r="J421" s="29">
        <v>10</v>
      </c>
      <c r="K421" s="29">
        <v>45455</v>
      </c>
      <c r="L421" s="38"/>
      <c r="M421" s="39"/>
      <c r="N421" s="40"/>
      <c r="O421" s="35"/>
      <c r="P421" s="36"/>
      <c r="Q421" s="36"/>
      <c r="T421" s="36"/>
    </row>
    <row r="422" spans="1:20" s="37" customFormat="1" ht="18.75" customHeight="1">
      <c r="A422" s="29">
        <f t="shared" si="8"/>
        <v>405</v>
      </c>
      <c r="B422" s="30"/>
      <c r="C422" s="30" t="s">
        <v>502</v>
      </c>
      <c r="D422" s="30" t="s">
        <v>785</v>
      </c>
      <c r="E422" s="31">
        <v>42938</v>
      </c>
      <c r="F422" s="30" t="s">
        <v>362</v>
      </c>
      <c r="G422" s="30" t="s">
        <v>363</v>
      </c>
      <c r="H422" s="30" t="s">
        <v>129</v>
      </c>
      <c r="I422" s="29">
        <v>454545</v>
      </c>
      <c r="J422" s="29">
        <v>10</v>
      </c>
      <c r="K422" s="29">
        <v>45455</v>
      </c>
      <c r="L422" s="38"/>
      <c r="M422" s="39"/>
      <c r="N422" s="40"/>
      <c r="O422" s="35"/>
      <c r="P422" s="36"/>
      <c r="Q422" s="36"/>
      <c r="T422" s="36"/>
    </row>
    <row r="423" spans="1:20" s="37" customFormat="1" ht="18.75" customHeight="1">
      <c r="A423" s="29">
        <f t="shared" si="8"/>
        <v>406</v>
      </c>
      <c r="B423" s="30"/>
      <c r="C423" s="30" t="s">
        <v>93</v>
      </c>
      <c r="D423" s="30" t="s">
        <v>786</v>
      </c>
      <c r="E423" s="31">
        <v>42940</v>
      </c>
      <c r="F423" s="30" t="s">
        <v>49</v>
      </c>
      <c r="G423" s="30" t="s">
        <v>50</v>
      </c>
      <c r="H423" s="30" t="s">
        <v>51</v>
      </c>
      <c r="I423" s="29">
        <v>173332800</v>
      </c>
      <c r="J423" s="29">
        <v>10</v>
      </c>
      <c r="K423" s="29">
        <v>17333280</v>
      </c>
      <c r="L423" s="38" t="s">
        <v>52</v>
      </c>
      <c r="M423" s="39">
        <v>42962</v>
      </c>
      <c r="N423" s="40" t="s">
        <v>729</v>
      </c>
      <c r="O423" s="35"/>
      <c r="P423" s="36"/>
      <c r="Q423" s="36"/>
      <c r="T423" s="36"/>
    </row>
    <row r="424" spans="1:20" s="37" customFormat="1" ht="18.75" customHeight="1">
      <c r="A424" s="29">
        <f t="shared" si="8"/>
        <v>407</v>
      </c>
      <c r="B424" s="30"/>
      <c r="C424" s="30" t="s">
        <v>74</v>
      </c>
      <c r="D424" s="30" t="s">
        <v>787</v>
      </c>
      <c r="E424" s="31">
        <v>42941</v>
      </c>
      <c r="F424" s="30" t="s">
        <v>76</v>
      </c>
      <c r="G424" s="30" t="s">
        <v>77</v>
      </c>
      <c r="H424" s="30" t="s">
        <v>788</v>
      </c>
      <c r="I424" s="29">
        <v>1870800</v>
      </c>
      <c r="J424" s="29">
        <v>10</v>
      </c>
      <c r="K424" s="29">
        <v>187080</v>
      </c>
      <c r="L424" s="38"/>
      <c r="M424" s="39"/>
      <c r="N424" s="40"/>
      <c r="O424" s="35"/>
      <c r="P424" s="36"/>
      <c r="Q424" s="36"/>
      <c r="T424" s="36"/>
    </row>
    <row r="425" spans="1:20" s="37" customFormat="1" ht="18.75" customHeight="1">
      <c r="A425" s="29">
        <f t="shared" si="8"/>
        <v>408</v>
      </c>
      <c r="B425" s="30"/>
      <c r="C425" s="30" t="s">
        <v>74</v>
      </c>
      <c r="D425" s="30" t="s">
        <v>789</v>
      </c>
      <c r="E425" s="31">
        <v>42941</v>
      </c>
      <c r="F425" s="30" t="s">
        <v>76</v>
      </c>
      <c r="G425" s="30" t="s">
        <v>77</v>
      </c>
      <c r="H425" s="30" t="s">
        <v>790</v>
      </c>
      <c r="I425" s="29">
        <v>3881300</v>
      </c>
      <c r="J425" s="29">
        <v>10</v>
      </c>
      <c r="K425" s="29">
        <v>388130</v>
      </c>
      <c r="L425" s="38"/>
      <c r="M425" s="39"/>
      <c r="N425" s="40"/>
      <c r="O425" s="35"/>
      <c r="P425" s="36"/>
      <c r="Q425" s="36"/>
      <c r="T425" s="36"/>
    </row>
    <row r="426" spans="1:20" s="37" customFormat="1" ht="18.75" customHeight="1">
      <c r="A426" s="29">
        <f t="shared" si="8"/>
        <v>409</v>
      </c>
      <c r="B426" s="30"/>
      <c r="C426" s="30" t="s">
        <v>320</v>
      </c>
      <c r="D426" s="30" t="s">
        <v>791</v>
      </c>
      <c r="E426" s="31">
        <v>42941</v>
      </c>
      <c r="F426" s="30" t="s">
        <v>372</v>
      </c>
      <c r="G426" s="30" t="s">
        <v>373</v>
      </c>
      <c r="H426" s="30" t="s">
        <v>374</v>
      </c>
      <c r="I426" s="29">
        <v>84847273</v>
      </c>
      <c r="J426" s="29">
        <v>10</v>
      </c>
      <c r="K426" s="29">
        <v>8484727</v>
      </c>
      <c r="L426" s="38" t="s">
        <v>52</v>
      </c>
      <c r="M426" s="39">
        <v>42962</v>
      </c>
      <c r="N426" s="40" t="s">
        <v>729</v>
      </c>
      <c r="O426" s="35"/>
      <c r="P426" s="36"/>
      <c r="Q426" s="36"/>
      <c r="T426" s="36"/>
    </row>
    <row r="427" spans="1:20" s="37" customFormat="1" ht="18.75" customHeight="1">
      <c r="A427" s="29">
        <f t="shared" si="8"/>
        <v>410</v>
      </c>
      <c r="B427" s="30"/>
      <c r="C427" s="30" t="s">
        <v>502</v>
      </c>
      <c r="D427" s="30" t="s">
        <v>792</v>
      </c>
      <c r="E427" s="31">
        <v>42941</v>
      </c>
      <c r="F427" s="30" t="s">
        <v>362</v>
      </c>
      <c r="G427" s="30" t="s">
        <v>363</v>
      </c>
      <c r="H427" s="30" t="s">
        <v>129</v>
      </c>
      <c r="I427" s="29">
        <v>454545</v>
      </c>
      <c r="J427" s="29">
        <v>10</v>
      </c>
      <c r="K427" s="29">
        <v>45455</v>
      </c>
      <c r="L427" s="38"/>
      <c r="M427" s="39"/>
      <c r="N427" s="40"/>
      <c r="O427" s="35"/>
      <c r="P427" s="36"/>
      <c r="Q427" s="36"/>
      <c r="T427" s="36"/>
    </row>
    <row r="428" spans="1:20" s="37" customFormat="1" ht="18.75" customHeight="1">
      <c r="A428" s="29">
        <f t="shared" si="8"/>
        <v>411</v>
      </c>
      <c r="B428" s="30"/>
      <c r="C428" s="30" t="s">
        <v>93</v>
      </c>
      <c r="D428" s="30" t="s">
        <v>793</v>
      </c>
      <c r="E428" s="31">
        <v>42942</v>
      </c>
      <c r="F428" s="30" t="s">
        <v>794</v>
      </c>
      <c r="G428" s="30" t="s">
        <v>337</v>
      </c>
      <c r="H428" s="30" t="s">
        <v>795</v>
      </c>
      <c r="I428" s="29">
        <v>134742074</v>
      </c>
      <c r="J428" s="29">
        <v>10</v>
      </c>
      <c r="K428" s="29">
        <v>13474207</v>
      </c>
      <c r="L428" s="38" t="s">
        <v>52</v>
      </c>
      <c r="M428" s="39">
        <v>42962</v>
      </c>
      <c r="N428" s="40" t="s">
        <v>729</v>
      </c>
      <c r="O428" s="35"/>
      <c r="P428" s="36"/>
      <c r="Q428" s="36"/>
      <c r="T428" s="36"/>
    </row>
    <row r="429" spans="1:20" s="37" customFormat="1" ht="18.75" customHeight="1">
      <c r="A429" s="29">
        <f t="shared" si="8"/>
        <v>412</v>
      </c>
      <c r="B429" s="30"/>
      <c r="C429" s="30" t="s">
        <v>468</v>
      </c>
      <c r="D429" s="30" t="s">
        <v>796</v>
      </c>
      <c r="E429" s="31">
        <v>42942</v>
      </c>
      <c r="F429" s="30" t="s">
        <v>181</v>
      </c>
      <c r="G429" s="30" t="s">
        <v>182</v>
      </c>
      <c r="H429" s="30" t="s">
        <v>797</v>
      </c>
      <c r="I429" s="29">
        <v>514091</v>
      </c>
      <c r="J429" s="29">
        <v>10</v>
      </c>
      <c r="K429" s="29">
        <v>51409</v>
      </c>
      <c r="L429" s="38"/>
      <c r="M429" s="39"/>
      <c r="N429" s="40"/>
      <c r="O429" s="35"/>
      <c r="P429" s="36"/>
      <c r="Q429" s="36"/>
      <c r="T429" s="36"/>
    </row>
    <row r="430" spans="1:20" s="37" customFormat="1" ht="18.75" customHeight="1">
      <c r="A430" s="29">
        <f t="shared" si="8"/>
        <v>413</v>
      </c>
      <c r="B430" s="30"/>
      <c r="C430" s="30" t="s">
        <v>100</v>
      </c>
      <c r="D430" s="30" t="s">
        <v>798</v>
      </c>
      <c r="E430" s="31">
        <v>42943</v>
      </c>
      <c r="F430" s="30" t="s">
        <v>102</v>
      </c>
      <c r="G430" s="30" t="s">
        <v>103</v>
      </c>
      <c r="H430" s="30" t="s">
        <v>377</v>
      </c>
      <c r="I430" s="29">
        <v>16500000</v>
      </c>
      <c r="J430" s="29">
        <v>10</v>
      </c>
      <c r="K430" s="29">
        <v>1650000</v>
      </c>
      <c r="L430" s="38"/>
      <c r="M430" s="39"/>
      <c r="N430" s="40"/>
      <c r="O430" s="35"/>
      <c r="P430" s="36"/>
      <c r="Q430" s="36"/>
      <c r="T430" s="36"/>
    </row>
    <row r="431" spans="1:20" s="37" customFormat="1" ht="18.75" customHeight="1">
      <c r="A431" s="29">
        <f t="shared" si="8"/>
        <v>414</v>
      </c>
      <c r="B431" s="30"/>
      <c r="C431" s="30" t="s">
        <v>167</v>
      </c>
      <c r="D431" s="30" t="s">
        <v>799</v>
      </c>
      <c r="E431" s="31">
        <v>42943</v>
      </c>
      <c r="F431" s="30" t="s">
        <v>800</v>
      </c>
      <c r="G431" s="30" t="s">
        <v>801</v>
      </c>
      <c r="H431" s="30" t="s">
        <v>802</v>
      </c>
      <c r="I431" s="29">
        <v>7250000</v>
      </c>
      <c r="J431" s="29">
        <v>10</v>
      </c>
      <c r="K431" s="29">
        <v>725000</v>
      </c>
      <c r="L431" s="38"/>
      <c r="M431" s="39"/>
      <c r="N431" s="40"/>
      <c r="O431" s="35"/>
      <c r="P431" s="36"/>
      <c r="Q431" s="36"/>
      <c r="T431" s="36"/>
    </row>
    <row r="432" spans="1:20" s="37" customFormat="1" ht="18.75" customHeight="1">
      <c r="A432" s="29">
        <f t="shared" si="8"/>
        <v>415</v>
      </c>
      <c r="B432" s="30"/>
      <c r="C432" s="30" t="s">
        <v>803</v>
      </c>
      <c r="D432" s="30" t="s">
        <v>804</v>
      </c>
      <c r="E432" s="31">
        <v>42943</v>
      </c>
      <c r="F432" s="30" t="s">
        <v>805</v>
      </c>
      <c r="G432" s="30" t="s">
        <v>806</v>
      </c>
      <c r="H432" s="30" t="s">
        <v>807</v>
      </c>
      <c r="I432" s="29">
        <v>12600000</v>
      </c>
      <c r="J432" s="29">
        <v>10</v>
      </c>
      <c r="K432" s="29">
        <v>1260000</v>
      </c>
      <c r="L432" s="38"/>
      <c r="M432" s="39"/>
      <c r="N432" s="40"/>
      <c r="O432" s="35"/>
      <c r="P432" s="36"/>
      <c r="Q432" s="36"/>
      <c r="T432" s="36"/>
    </row>
    <row r="433" spans="1:20" s="37" customFormat="1" ht="18.75" customHeight="1">
      <c r="A433" s="29">
        <f t="shared" si="8"/>
        <v>416</v>
      </c>
      <c r="B433" s="30"/>
      <c r="C433" s="30" t="s">
        <v>74</v>
      </c>
      <c r="D433" s="30" t="s">
        <v>808</v>
      </c>
      <c r="E433" s="31">
        <v>42944</v>
      </c>
      <c r="F433" s="30" t="s">
        <v>76</v>
      </c>
      <c r="G433" s="30" t="s">
        <v>77</v>
      </c>
      <c r="H433" s="30" t="s">
        <v>809</v>
      </c>
      <c r="I433" s="29">
        <v>2561200</v>
      </c>
      <c r="J433" s="29">
        <v>10</v>
      </c>
      <c r="K433" s="29">
        <v>256120</v>
      </c>
      <c r="L433" s="38"/>
      <c r="M433" s="39"/>
      <c r="N433" s="40"/>
      <c r="O433" s="35"/>
      <c r="P433" s="36"/>
      <c r="Q433" s="36"/>
      <c r="T433" s="36"/>
    </row>
    <row r="434" spans="1:20" s="37" customFormat="1" ht="18.75" customHeight="1">
      <c r="A434" s="29">
        <f t="shared" si="8"/>
        <v>417</v>
      </c>
      <c r="B434" s="30"/>
      <c r="C434" s="30" t="s">
        <v>167</v>
      </c>
      <c r="D434" s="30" t="s">
        <v>810</v>
      </c>
      <c r="E434" s="31">
        <v>42944</v>
      </c>
      <c r="F434" s="30" t="s">
        <v>409</v>
      </c>
      <c r="G434" s="30" t="s">
        <v>410</v>
      </c>
      <c r="H434" s="30" t="s">
        <v>411</v>
      </c>
      <c r="I434" s="29">
        <v>218027500</v>
      </c>
      <c r="J434" s="29">
        <v>10</v>
      </c>
      <c r="K434" s="29">
        <v>21802750</v>
      </c>
      <c r="L434" s="38" t="s">
        <v>52</v>
      </c>
      <c r="M434" s="39">
        <v>42962</v>
      </c>
      <c r="N434" s="40" t="s">
        <v>729</v>
      </c>
      <c r="O434" s="35"/>
      <c r="P434" s="36"/>
      <c r="Q434" s="36"/>
      <c r="T434" s="36"/>
    </row>
    <row r="435" spans="1:20" s="37" customFormat="1" ht="18.75" customHeight="1">
      <c r="A435" s="29">
        <f t="shared" si="8"/>
        <v>418</v>
      </c>
      <c r="B435" s="30"/>
      <c r="C435" s="30" t="s">
        <v>119</v>
      </c>
      <c r="D435" s="30" t="s">
        <v>811</v>
      </c>
      <c r="E435" s="31">
        <v>42944</v>
      </c>
      <c r="F435" s="30" t="s">
        <v>121</v>
      </c>
      <c r="G435" s="30" t="s">
        <v>122</v>
      </c>
      <c r="H435" s="30" t="s">
        <v>812</v>
      </c>
      <c r="I435" s="29">
        <v>117215164</v>
      </c>
      <c r="J435" s="29">
        <v>10</v>
      </c>
      <c r="K435" s="29">
        <v>11721516</v>
      </c>
      <c r="L435" s="38" t="s">
        <v>52</v>
      </c>
      <c r="M435" s="39">
        <v>42962</v>
      </c>
      <c r="N435" s="40" t="s">
        <v>729</v>
      </c>
      <c r="O435" s="35"/>
      <c r="P435" s="36"/>
      <c r="Q435" s="36"/>
      <c r="T435" s="36"/>
    </row>
    <row r="436" spans="1:20" s="37" customFormat="1" ht="18.75" customHeight="1">
      <c r="A436" s="29">
        <f t="shared" si="8"/>
        <v>419</v>
      </c>
      <c r="B436" s="30"/>
      <c r="C436" s="30" t="s">
        <v>119</v>
      </c>
      <c r="D436" s="30" t="s">
        <v>732</v>
      </c>
      <c r="E436" s="31">
        <v>42944</v>
      </c>
      <c r="F436" s="30" t="s">
        <v>121</v>
      </c>
      <c r="G436" s="30" t="s">
        <v>122</v>
      </c>
      <c r="H436" s="30" t="s">
        <v>813</v>
      </c>
      <c r="I436" s="29">
        <v>499099860</v>
      </c>
      <c r="J436" s="29">
        <v>10</v>
      </c>
      <c r="K436" s="29">
        <v>49909986</v>
      </c>
      <c r="L436" s="38" t="s">
        <v>52</v>
      </c>
      <c r="M436" s="39">
        <v>42962</v>
      </c>
      <c r="N436" s="40" t="s">
        <v>729</v>
      </c>
      <c r="O436" s="35"/>
      <c r="P436" s="36"/>
      <c r="Q436" s="36"/>
      <c r="T436" s="36"/>
    </row>
    <row r="437" spans="1:20" s="37" customFormat="1" ht="18.75" customHeight="1">
      <c r="A437" s="29">
        <f t="shared" si="8"/>
        <v>420</v>
      </c>
      <c r="B437" s="30"/>
      <c r="C437" s="30" t="s">
        <v>93</v>
      </c>
      <c r="D437" s="30" t="s">
        <v>814</v>
      </c>
      <c r="E437" s="31">
        <v>42944</v>
      </c>
      <c r="F437" s="30" t="s">
        <v>49</v>
      </c>
      <c r="G437" s="30" t="s">
        <v>50</v>
      </c>
      <c r="H437" s="30" t="s">
        <v>51</v>
      </c>
      <c r="I437" s="29">
        <v>73280000</v>
      </c>
      <c r="J437" s="29">
        <v>10</v>
      </c>
      <c r="K437" s="29">
        <v>7328000</v>
      </c>
      <c r="L437" s="38" t="s">
        <v>52</v>
      </c>
      <c r="M437" s="39">
        <v>42962</v>
      </c>
      <c r="N437" s="40" t="s">
        <v>729</v>
      </c>
      <c r="O437" s="35"/>
      <c r="P437" s="36"/>
      <c r="Q437" s="36"/>
      <c r="T437" s="36"/>
    </row>
    <row r="438" spans="1:20" s="37" customFormat="1" ht="18.75" customHeight="1">
      <c r="A438" s="29">
        <f t="shared" si="8"/>
        <v>421</v>
      </c>
      <c r="B438" s="30"/>
      <c r="C438" s="30" t="s">
        <v>162</v>
      </c>
      <c r="D438" s="30" t="s">
        <v>815</v>
      </c>
      <c r="E438" s="31">
        <v>42944</v>
      </c>
      <c r="F438" s="30" t="s">
        <v>164</v>
      </c>
      <c r="G438" s="30" t="s">
        <v>165</v>
      </c>
      <c r="H438" s="30" t="s">
        <v>166</v>
      </c>
      <c r="I438" s="29">
        <v>41381111</v>
      </c>
      <c r="J438" s="29">
        <v>10</v>
      </c>
      <c r="K438" s="29">
        <v>4138111</v>
      </c>
      <c r="L438" s="38" t="s">
        <v>52</v>
      </c>
      <c r="M438" s="39">
        <v>42962</v>
      </c>
      <c r="N438" s="40" t="s">
        <v>729</v>
      </c>
      <c r="O438" s="35"/>
      <c r="P438" s="36"/>
      <c r="Q438" s="36"/>
      <c r="T438" s="36"/>
    </row>
    <row r="439" spans="1:20" s="37" customFormat="1" ht="18.75" customHeight="1">
      <c r="A439" s="29">
        <f t="shared" si="8"/>
        <v>422</v>
      </c>
      <c r="B439" s="30"/>
      <c r="C439" s="30" t="s">
        <v>112</v>
      </c>
      <c r="D439" s="30" t="s">
        <v>816</v>
      </c>
      <c r="E439" s="31">
        <v>42944</v>
      </c>
      <c r="F439" s="30" t="s">
        <v>114</v>
      </c>
      <c r="G439" s="30" t="s">
        <v>115</v>
      </c>
      <c r="H439" s="30" t="s">
        <v>116</v>
      </c>
      <c r="I439" s="29">
        <v>10000</v>
      </c>
      <c r="J439" s="29">
        <v>10</v>
      </c>
      <c r="K439" s="29">
        <v>1000</v>
      </c>
      <c r="L439" s="38"/>
      <c r="M439" s="39"/>
      <c r="N439" s="40"/>
      <c r="O439" s="35"/>
      <c r="P439" s="36"/>
      <c r="Q439" s="36"/>
      <c r="T439" s="36"/>
    </row>
    <row r="440" spans="1:20" s="37" customFormat="1" ht="18.75" customHeight="1">
      <c r="A440" s="29">
        <f t="shared" si="8"/>
        <v>423</v>
      </c>
      <c r="B440" s="30"/>
      <c r="C440" s="30" t="s">
        <v>231</v>
      </c>
      <c r="D440" s="30" t="s">
        <v>817</v>
      </c>
      <c r="E440" s="31">
        <v>42945</v>
      </c>
      <c r="F440" s="30" t="s">
        <v>233</v>
      </c>
      <c r="G440" s="30" t="s">
        <v>234</v>
      </c>
      <c r="H440" s="30" t="s">
        <v>235</v>
      </c>
      <c r="I440" s="29">
        <v>91737800</v>
      </c>
      <c r="J440" s="29">
        <v>10</v>
      </c>
      <c r="K440" s="29">
        <v>9173780</v>
      </c>
      <c r="L440" s="38" t="s">
        <v>52</v>
      </c>
      <c r="M440" s="39">
        <v>42962</v>
      </c>
      <c r="N440" s="40" t="s">
        <v>729</v>
      </c>
      <c r="O440" s="35"/>
      <c r="P440" s="36"/>
      <c r="Q440" s="36"/>
      <c r="T440" s="36"/>
    </row>
    <row r="441" spans="1:20" s="37" customFormat="1" ht="18.75" customHeight="1">
      <c r="A441" s="29">
        <f t="shared" si="8"/>
        <v>424</v>
      </c>
      <c r="B441" s="30"/>
      <c r="C441" s="30" t="s">
        <v>231</v>
      </c>
      <c r="D441" s="30" t="s">
        <v>818</v>
      </c>
      <c r="E441" s="31">
        <v>42945</v>
      </c>
      <c r="F441" s="30" t="s">
        <v>233</v>
      </c>
      <c r="G441" s="30" t="s">
        <v>234</v>
      </c>
      <c r="H441" s="30" t="s">
        <v>235</v>
      </c>
      <c r="I441" s="29">
        <v>87957000</v>
      </c>
      <c r="J441" s="29">
        <v>10</v>
      </c>
      <c r="K441" s="29">
        <v>8795700</v>
      </c>
      <c r="L441" s="38" t="s">
        <v>52</v>
      </c>
      <c r="M441" s="39">
        <v>42962</v>
      </c>
      <c r="N441" s="40" t="s">
        <v>729</v>
      </c>
      <c r="O441" s="35"/>
      <c r="P441" s="36"/>
      <c r="Q441" s="36"/>
      <c r="T441" s="36"/>
    </row>
    <row r="442" spans="1:20" s="37" customFormat="1" ht="18.75" customHeight="1">
      <c r="A442" s="29">
        <f t="shared" si="8"/>
        <v>425</v>
      </c>
      <c r="B442" s="30"/>
      <c r="C442" s="30" t="s">
        <v>231</v>
      </c>
      <c r="D442" s="30" t="s">
        <v>819</v>
      </c>
      <c r="E442" s="31">
        <v>42945</v>
      </c>
      <c r="F442" s="30" t="s">
        <v>233</v>
      </c>
      <c r="G442" s="30" t="s">
        <v>234</v>
      </c>
      <c r="H442" s="30" t="s">
        <v>235</v>
      </c>
      <c r="I442" s="29">
        <v>18181400</v>
      </c>
      <c r="J442" s="29">
        <v>10</v>
      </c>
      <c r="K442" s="29">
        <v>1818140</v>
      </c>
      <c r="L442" s="38" t="s">
        <v>52</v>
      </c>
      <c r="M442" s="39">
        <v>42962</v>
      </c>
      <c r="N442" s="40" t="s">
        <v>729</v>
      </c>
      <c r="O442" s="35"/>
      <c r="P442" s="36"/>
      <c r="Q442" s="36"/>
      <c r="T442" s="36"/>
    </row>
    <row r="443" spans="1:20" s="37" customFormat="1" ht="18.75" customHeight="1">
      <c r="A443" s="29">
        <f t="shared" si="8"/>
        <v>426</v>
      </c>
      <c r="B443" s="30"/>
      <c r="C443" s="30" t="s">
        <v>231</v>
      </c>
      <c r="D443" s="30" t="s">
        <v>820</v>
      </c>
      <c r="E443" s="31">
        <v>42945</v>
      </c>
      <c r="F443" s="30" t="s">
        <v>239</v>
      </c>
      <c r="G443" s="30" t="s">
        <v>240</v>
      </c>
      <c r="H443" s="30" t="s">
        <v>821</v>
      </c>
      <c r="I443" s="29">
        <v>94148250</v>
      </c>
      <c r="J443" s="29">
        <v>10</v>
      </c>
      <c r="K443" s="29">
        <v>9414825</v>
      </c>
      <c r="L443" s="38" t="s">
        <v>52</v>
      </c>
      <c r="M443" s="39">
        <v>42962</v>
      </c>
      <c r="N443" s="40" t="s">
        <v>729</v>
      </c>
      <c r="O443" s="35"/>
      <c r="P443" s="36"/>
      <c r="Q443" s="36"/>
      <c r="T443" s="36"/>
    </row>
    <row r="444" spans="1:20" s="37" customFormat="1" ht="18.75" customHeight="1">
      <c r="A444" s="29">
        <f t="shared" si="8"/>
        <v>427</v>
      </c>
      <c r="B444" s="30"/>
      <c r="C444" s="30" t="s">
        <v>100</v>
      </c>
      <c r="D444" s="30" t="s">
        <v>822</v>
      </c>
      <c r="E444" s="31">
        <v>42947</v>
      </c>
      <c r="F444" s="30" t="s">
        <v>102</v>
      </c>
      <c r="G444" s="30" t="s">
        <v>103</v>
      </c>
      <c r="H444" s="30" t="s">
        <v>377</v>
      </c>
      <c r="I444" s="29">
        <v>6300000</v>
      </c>
      <c r="J444" s="29">
        <v>10</v>
      </c>
      <c r="K444" s="29">
        <v>630000</v>
      </c>
      <c r="L444" s="38"/>
      <c r="M444" s="39"/>
      <c r="N444" s="40"/>
      <c r="O444" s="35"/>
      <c r="P444" s="36"/>
      <c r="Q444" s="36"/>
      <c r="T444" s="36"/>
    </row>
    <row r="445" spans="1:20" s="37" customFormat="1" ht="18.75" customHeight="1">
      <c r="A445" s="29">
        <f>+A444+1</f>
        <v>428</v>
      </c>
      <c r="B445" s="30"/>
      <c r="C445" s="30" t="s">
        <v>444</v>
      </c>
      <c r="D445" s="30" t="s">
        <v>823</v>
      </c>
      <c r="E445" s="31">
        <v>42947</v>
      </c>
      <c r="F445" s="30" t="s">
        <v>638</v>
      </c>
      <c r="G445" s="30" t="s">
        <v>447</v>
      </c>
      <c r="H445" s="30" t="s">
        <v>824</v>
      </c>
      <c r="I445" s="29">
        <f>22500000+1125000</f>
        <v>23625000</v>
      </c>
      <c r="J445" s="29">
        <v>10</v>
      </c>
      <c r="K445" s="29">
        <f>2250000/2</f>
        <v>1125000</v>
      </c>
      <c r="L445" s="38" t="s">
        <v>52</v>
      </c>
      <c r="M445" s="39">
        <v>42963</v>
      </c>
      <c r="N445" s="40" t="s">
        <v>729</v>
      </c>
      <c r="O445" s="35"/>
      <c r="P445" s="36"/>
      <c r="Q445" s="36"/>
      <c r="T445" s="36"/>
    </row>
    <row r="446" spans="1:20" s="37" customFormat="1" ht="18.75" customHeight="1">
      <c r="A446" s="29">
        <f>+A445+1</f>
        <v>429</v>
      </c>
      <c r="B446" s="30"/>
      <c r="C446" s="30" t="s">
        <v>248</v>
      </c>
      <c r="D446" s="30" t="s">
        <v>825</v>
      </c>
      <c r="E446" s="31">
        <v>42947</v>
      </c>
      <c r="F446" s="30" t="s">
        <v>250</v>
      </c>
      <c r="G446" s="30" t="s">
        <v>251</v>
      </c>
      <c r="H446" s="30" t="s">
        <v>826</v>
      </c>
      <c r="I446" s="29">
        <v>250591182</v>
      </c>
      <c r="J446" s="29">
        <v>10</v>
      </c>
      <c r="K446" s="29">
        <v>25059118</v>
      </c>
      <c r="L446" s="38" t="s">
        <v>52</v>
      </c>
      <c r="M446" s="39">
        <v>42962</v>
      </c>
      <c r="N446" s="40" t="s">
        <v>729</v>
      </c>
      <c r="O446" s="35"/>
      <c r="P446" s="36"/>
      <c r="Q446" s="36"/>
      <c r="T446" s="36"/>
    </row>
    <row r="447" spans="1:20" s="37" customFormat="1" ht="18.75" customHeight="1">
      <c r="A447" s="29">
        <f>+A446+1</f>
        <v>430</v>
      </c>
      <c r="B447" s="30"/>
      <c r="C447" s="30" t="s">
        <v>248</v>
      </c>
      <c r="D447" s="30" t="s">
        <v>827</v>
      </c>
      <c r="E447" s="31">
        <v>42947</v>
      </c>
      <c r="F447" s="30" t="s">
        <v>250</v>
      </c>
      <c r="G447" s="30" t="s">
        <v>251</v>
      </c>
      <c r="H447" s="30" t="s">
        <v>828</v>
      </c>
      <c r="I447" s="29">
        <v>780000</v>
      </c>
      <c r="J447" s="29">
        <v>10</v>
      </c>
      <c r="K447" s="29">
        <v>78000</v>
      </c>
      <c r="L447" s="38" t="s">
        <v>52</v>
      </c>
      <c r="M447" s="39">
        <v>42962</v>
      </c>
      <c r="N447" s="40" t="s">
        <v>729</v>
      </c>
      <c r="O447" s="35"/>
      <c r="P447" s="36"/>
      <c r="Q447" s="36"/>
      <c r="T447" s="36"/>
    </row>
    <row r="448" spans="1:20" s="37" customFormat="1" ht="18.75" customHeight="1">
      <c r="A448" s="29">
        <f>+A447+1</f>
        <v>431</v>
      </c>
      <c r="B448" s="30"/>
      <c r="C448" s="30" t="s">
        <v>93</v>
      </c>
      <c r="D448" s="30" t="s">
        <v>829</v>
      </c>
      <c r="E448" s="31">
        <v>42947</v>
      </c>
      <c r="F448" s="30" t="s">
        <v>258</v>
      </c>
      <c r="G448" s="30" t="s">
        <v>259</v>
      </c>
      <c r="H448" s="30" t="s">
        <v>830</v>
      </c>
      <c r="I448" s="29">
        <v>79680115</v>
      </c>
      <c r="J448" s="29">
        <v>10</v>
      </c>
      <c r="K448" s="29">
        <v>7968012</v>
      </c>
      <c r="L448" s="38" t="s">
        <v>52</v>
      </c>
      <c r="M448" s="39">
        <v>42962</v>
      </c>
      <c r="N448" s="40" t="s">
        <v>729</v>
      </c>
      <c r="O448" s="35"/>
      <c r="P448" s="36"/>
      <c r="Q448" s="36"/>
      <c r="T448" s="36"/>
    </row>
    <row r="449" spans="1:255" s="37" customFormat="1" ht="18.75" customHeight="1">
      <c r="A449" s="29">
        <f>+A448+1</f>
        <v>432</v>
      </c>
      <c r="B449" s="30"/>
      <c r="C449" s="30" t="s">
        <v>93</v>
      </c>
      <c r="D449" s="30" t="s">
        <v>831</v>
      </c>
      <c r="E449" s="31">
        <v>42947</v>
      </c>
      <c r="F449" s="30" t="s">
        <v>258</v>
      </c>
      <c r="G449" s="30" t="s">
        <v>259</v>
      </c>
      <c r="H449" s="30" t="s">
        <v>832</v>
      </c>
      <c r="I449" s="29">
        <v>2490000</v>
      </c>
      <c r="J449" s="29">
        <v>10</v>
      </c>
      <c r="K449" s="29">
        <v>249000</v>
      </c>
      <c r="L449" s="41" t="s">
        <v>52</v>
      </c>
      <c r="M449" s="42">
        <v>42962</v>
      </c>
      <c r="N449" s="40" t="s">
        <v>729</v>
      </c>
      <c r="O449" s="35"/>
      <c r="P449" s="36"/>
      <c r="Q449" s="36"/>
      <c r="T449" s="36"/>
    </row>
    <row r="450" spans="1:255" s="37" customFormat="1" ht="15.75" customHeight="1">
      <c r="A450" s="205" t="s">
        <v>264</v>
      </c>
      <c r="B450" s="205"/>
      <c r="C450" s="205"/>
      <c r="D450" s="205"/>
      <c r="E450" s="205"/>
      <c r="F450" s="205"/>
      <c r="G450" s="205"/>
      <c r="H450" s="205"/>
      <c r="I450" s="43">
        <f>SUM(I379:I449)</f>
        <v>2364933613</v>
      </c>
      <c r="J450" s="43"/>
      <c r="K450" s="43">
        <f>SUM(K379:K449)</f>
        <v>235250866</v>
      </c>
      <c r="L450" s="44"/>
      <c r="M450" s="45"/>
      <c r="N450" s="46"/>
      <c r="O450" s="35"/>
      <c r="P450" s="49"/>
      <c r="Q450" s="36"/>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c r="BI450" s="10"/>
      <c r="BJ450" s="10"/>
      <c r="BK450" s="10"/>
      <c r="BL450" s="10"/>
      <c r="BM450" s="10"/>
      <c r="BN450" s="10"/>
      <c r="BO450" s="10"/>
      <c r="BP450" s="10"/>
      <c r="BQ450" s="10"/>
      <c r="BR450" s="10"/>
      <c r="BS450" s="10"/>
      <c r="BT450" s="10"/>
      <c r="BU450" s="10"/>
      <c r="BV450" s="10"/>
      <c r="BW450" s="10"/>
      <c r="BX450" s="10"/>
      <c r="BY450" s="10"/>
      <c r="BZ450" s="10"/>
      <c r="CA450" s="10"/>
      <c r="CB450" s="10"/>
      <c r="CC450" s="10"/>
      <c r="CD450" s="10"/>
      <c r="CE450" s="10"/>
      <c r="CF450" s="10"/>
      <c r="CG450" s="10"/>
      <c r="CH450" s="10"/>
      <c r="CI450" s="10"/>
      <c r="CJ450" s="10"/>
      <c r="CK450" s="10"/>
      <c r="CL450" s="10"/>
      <c r="CM450" s="10"/>
      <c r="CN450" s="10"/>
      <c r="CO450" s="10"/>
      <c r="CP450" s="10"/>
      <c r="CQ450" s="10"/>
      <c r="CR450" s="10"/>
      <c r="CS450" s="10"/>
      <c r="CT450" s="10"/>
      <c r="CU450" s="10"/>
      <c r="CV450" s="10"/>
      <c r="CW450" s="10"/>
      <c r="CX450" s="10"/>
      <c r="CY450" s="10"/>
      <c r="CZ450" s="10"/>
      <c r="DA450" s="10"/>
      <c r="DB450" s="10"/>
      <c r="DC450" s="10"/>
      <c r="DD450" s="10"/>
      <c r="DE450" s="10"/>
      <c r="DF450" s="10"/>
      <c r="DG450" s="10"/>
      <c r="DH450" s="10"/>
      <c r="DI450" s="10"/>
      <c r="DJ450" s="10"/>
      <c r="DK450" s="10"/>
      <c r="DL450" s="10"/>
      <c r="DM450" s="10"/>
      <c r="DN450" s="10"/>
      <c r="DO450" s="10"/>
      <c r="DP450" s="10"/>
      <c r="DQ450" s="10"/>
      <c r="DR450" s="10"/>
      <c r="DS450" s="10"/>
      <c r="DT450" s="10"/>
      <c r="DU450" s="10"/>
      <c r="DV450" s="10"/>
      <c r="DW450" s="10"/>
      <c r="DX450" s="10"/>
      <c r="DY450" s="10"/>
      <c r="DZ450" s="10"/>
      <c r="EA450" s="10"/>
      <c r="EB450" s="10"/>
      <c r="EC450" s="10"/>
      <c r="ED450" s="10"/>
      <c r="EE450" s="10"/>
      <c r="EF450" s="10"/>
      <c r="EG450" s="10"/>
      <c r="EH450" s="10"/>
      <c r="EI450" s="10"/>
      <c r="EJ450" s="10"/>
      <c r="EK450" s="10"/>
      <c r="EL450" s="10"/>
      <c r="EM450" s="10"/>
      <c r="EN450" s="10"/>
      <c r="EO450" s="10"/>
      <c r="EP450" s="10"/>
      <c r="EQ450" s="10"/>
      <c r="ER450" s="10"/>
      <c r="ES450" s="10"/>
      <c r="ET450" s="10"/>
      <c r="EU450" s="10"/>
      <c r="EV450" s="10"/>
      <c r="EW450" s="10"/>
      <c r="EX450" s="10"/>
      <c r="EY450" s="10"/>
      <c r="EZ450" s="10"/>
      <c r="FA450" s="10"/>
      <c r="FB450" s="10"/>
      <c r="FC450" s="10"/>
      <c r="FD450" s="10"/>
      <c r="FE450" s="10"/>
      <c r="FF450" s="10"/>
      <c r="FG450" s="10"/>
      <c r="FH450" s="10"/>
      <c r="FI450" s="10"/>
      <c r="FJ450" s="10"/>
      <c r="FK450" s="10"/>
      <c r="FL450" s="10"/>
      <c r="FM450" s="10"/>
      <c r="FN450" s="10"/>
      <c r="FO450" s="10"/>
      <c r="FP450" s="10"/>
      <c r="FQ450" s="10"/>
      <c r="FR450" s="10"/>
      <c r="FS450" s="10"/>
      <c r="FT450" s="10"/>
      <c r="FU450" s="10"/>
      <c r="FV450" s="10"/>
      <c r="FW450" s="10"/>
      <c r="FX450" s="10"/>
      <c r="FY450" s="10"/>
      <c r="FZ450" s="10"/>
      <c r="GA450" s="10"/>
      <c r="GB450" s="10"/>
      <c r="GC450" s="10"/>
      <c r="GD450" s="10"/>
      <c r="GE450" s="10"/>
      <c r="GF450" s="10"/>
      <c r="GG450" s="10"/>
      <c r="GH450" s="10"/>
      <c r="GI450" s="10"/>
      <c r="GJ450" s="10"/>
      <c r="GK450" s="10"/>
      <c r="GL450" s="10"/>
      <c r="GM450" s="10"/>
      <c r="GN450" s="10"/>
      <c r="GO450" s="10"/>
      <c r="GP450" s="10"/>
      <c r="GQ450" s="10"/>
      <c r="GR450" s="10"/>
      <c r="GS450" s="10"/>
      <c r="GT450" s="10"/>
      <c r="GU450" s="10"/>
      <c r="GV450" s="10"/>
      <c r="GW450" s="10"/>
      <c r="GX450" s="10"/>
      <c r="GY450" s="10"/>
      <c r="GZ450" s="10"/>
      <c r="HA450" s="10"/>
      <c r="HB450" s="10"/>
      <c r="HC450" s="10"/>
      <c r="HD450" s="10"/>
      <c r="HE450" s="10"/>
      <c r="HF450" s="10"/>
      <c r="HG450" s="10"/>
      <c r="HH450" s="10"/>
      <c r="HI450" s="10"/>
      <c r="HJ450" s="10"/>
      <c r="HK450" s="10"/>
      <c r="HL450" s="10"/>
      <c r="HM450" s="10"/>
      <c r="HN450" s="10"/>
      <c r="HO450" s="10"/>
      <c r="HP450" s="10"/>
      <c r="HQ450" s="10"/>
      <c r="HR450" s="10"/>
      <c r="HS450" s="10"/>
      <c r="HT450" s="10"/>
      <c r="HU450" s="10"/>
      <c r="HV450" s="10"/>
      <c r="HW450" s="10"/>
      <c r="HX450" s="10"/>
      <c r="HY450" s="10"/>
      <c r="HZ450" s="10"/>
      <c r="IA450" s="10"/>
      <c r="IB450" s="10"/>
      <c r="IC450" s="10"/>
      <c r="ID450" s="10"/>
      <c r="IE450" s="10"/>
      <c r="IF450" s="10"/>
      <c r="IG450" s="10"/>
      <c r="IH450" s="10"/>
      <c r="II450" s="10"/>
      <c r="IJ450" s="10"/>
      <c r="IK450" s="10"/>
      <c r="IL450" s="10"/>
      <c r="IM450" s="10"/>
      <c r="IN450" s="10"/>
      <c r="IO450" s="10"/>
      <c r="IP450" s="10"/>
      <c r="IQ450" s="10"/>
      <c r="IR450" s="10"/>
      <c r="IS450" s="10"/>
      <c r="IT450" s="10"/>
      <c r="IU450" s="10"/>
    </row>
    <row r="451" spans="1:255" s="37" customFormat="1" ht="18.75" customHeight="1">
      <c r="A451" s="29">
        <f>A449+1</f>
        <v>433</v>
      </c>
      <c r="B451" s="30"/>
      <c r="C451" s="30" t="s">
        <v>833</v>
      </c>
      <c r="D451" s="30" t="s">
        <v>834</v>
      </c>
      <c r="E451" s="31">
        <v>42891</v>
      </c>
      <c r="F451" s="30" t="s">
        <v>835</v>
      </c>
      <c r="G451" s="30" t="s">
        <v>836</v>
      </c>
      <c r="H451" s="30" t="s">
        <v>837</v>
      </c>
      <c r="I451" s="29">
        <v>645665</v>
      </c>
      <c r="J451" s="29">
        <v>10</v>
      </c>
      <c r="K451" s="29">
        <v>64567</v>
      </c>
      <c r="L451" s="47"/>
      <c r="M451" s="48"/>
      <c r="N451" s="40"/>
      <c r="O451" s="35"/>
      <c r="P451" s="36"/>
      <c r="Q451" s="36"/>
      <c r="T451" s="36"/>
    </row>
    <row r="452" spans="1:255" s="37" customFormat="1" ht="18.75" customHeight="1">
      <c r="A452" s="29">
        <f>+A451+1</f>
        <v>434</v>
      </c>
      <c r="B452" s="30"/>
      <c r="C452" s="30" t="s">
        <v>291</v>
      </c>
      <c r="D452" s="30" t="s">
        <v>838</v>
      </c>
      <c r="E452" s="31">
        <v>42893</v>
      </c>
      <c r="F452" s="30" t="s">
        <v>293</v>
      </c>
      <c r="G452" s="30" t="s">
        <v>294</v>
      </c>
      <c r="H452" s="30" t="s">
        <v>316</v>
      </c>
      <c r="I452" s="29">
        <v>5095455</v>
      </c>
      <c r="J452" s="29">
        <v>10</v>
      </c>
      <c r="K452" s="29">
        <v>509545</v>
      </c>
      <c r="L452" s="38"/>
      <c r="M452" s="39"/>
      <c r="N452" s="40"/>
      <c r="O452" s="35"/>
      <c r="P452" s="36"/>
      <c r="Q452" s="36"/>
      <c r="T452" s="36"/>
    </row>
    <row r="453" spans="1:255" s="37" customFormat="1" ht="18.75" customHeight="1">
      <c r="A453" s="29">
        <f t="shared" ref="A453:A516" si="9">+A452+1</f>
        <v>435</v>
      </c>
      <c r="B453" s="30"/>
      <c r="C453" s="30" t="s">
        <v>54</v>
      </c>
      <c r="D453" s="30" t="s">
        <v>839</v>
      </c>
      <c r="E453" s="31">
        <v>42898</v>
      </c>
      <c r="F453" s="30" t="s">
        <v>56</v>
      </c>
      <c r="G453" s="30" t="s">
        <v>57</v>
      </c>
      <c r="H453" s="30" t="s">
        <v>591</v>
      </c>
      <c r="I453" s="29">
        <v>5772150</v>
      </c>
      <c r="J453" s="29">
        <v>10</v>
      </c>
      <c r="K453" s="29">
        <v>577217</v>
      </c>
      <c r="L453" s="38"/>
      <c r="M453" s="39"/>
      <c r="N453" s="40"/>
      <c r="O453" s="35"/>
      <c r="P453" s="36"/>
      <c r="Q453" s="36"/>
      <c r="T453" s="36"/>
    </row>
    <row r="454" spans="1:255" s="37" customFormat="1" ht="18.75" customHeight="1">
      <c r="A454" s="29">
        <f t="shared" si="9"/>
        <v>436</v>
      </c>
      <c r="B454" s="30"/>
      <c r="C454" s="30" t="s">
        <v>291</v>
      </c>
      <c r="D454" s="30" t="s">
        <v>840</v>
      </c>
      <c r="E454" s="31">
        <v>42900</v>
      </c>
      <c r="F454" s="30" t="s">
        <v>293</v>
      </c>
      <c r="G454" s="30" t="s">
        <v>294</v>
      </c>
      <c r="H454" s="30" t="s">
        <v>316</v>
      </c>
      <c r="I454" s="29">
        <v>3531818</v>
      </c>
      <c r="J454" s="29">
        <v>10</v>
      </c>
      <c r="K454" s="29">
        <v>353182</v>
      </c>
      <c r="L454" s="38"/>
      <c r="M454" s="39"/>
      <c r="N454" s="40"/>
      <c r="O454" s="35"/>
      <c r="P454" s="36"/>
      <c r="Q454" s="36"/>
      <c r="T454" s="36"/>
    </row>
    <row r="455" spans="1:255" s="37" customFormat="1" ht="18.75" customHeight="1">
      <c r="A455" s="29">
        <f t="shared" si="9"/>
        <v>437</v>
      </c>
      <c r="B455" s="30"/>
      <c r="C455" s="30" t="s">
        <v>54</v>
      </c>
      <c r="D455" s="30" t="s">
        <v>841</v>
      </c>
      <c r="E455" s="31">
        <v>42905</v>
      </c>
      <c r="F455" s="30" t="s">
        <v>56</v>
      </c>
      <c r="G455" s="30" t="s">
        <v>57</v>
      </c>
      <c r="H455" s="30" t="s">
        <v>591</v>
      </c>
      <c r="I455" s="29">
        <v>5775960</v>
      </c>
      <c r="J455" s="29">
        <v>10</v>
      </c>
      <c r="K455" s="29">
        <v>577596</v>
      </c>
      <c r="L455" s="38"/>
      <c r="M455" s="39"/>
      <c r="N455" s="40"/>
      <c r="O455" s="35"/>
      <c r="P455" s="36"/>
      <c r="Q455" s="36"/>
      <c r="T455" s="36"/>
    </row>
    <row r="456" spans="1:255" s="37" customFormat="1" ht="18.75" customHeight="1">
      <c r="A456" s="29">
        <f t="shared" si="9"/>
        <v>438</v>
      </c>
      <c r="B456" s="30"/>
      <c r="C456" s="30" t="s">
        <v>69</v>
      </c>
      <c r="D456" s="30" t="s">
        <v>842</v>
      </c>
      <c r="E456" s="31">
        <v>42905</v>
      </c>
      <c r="F456" s="30" t="s">
        <v>71</v>
      </c>
      <c r="G456" s="30" t="s">
        <v>72</v>
      </c>
      <c r="H456" s="30" t="s">
        <v>40</v>
      </c>
      <c r="I456" s="29">
        <v>800000</v>
      </c>
      <c r="J456" s="29">
        <v>10</v>
      </c>
      <c r="K456" s="29">
        <v>80000</v>
      </c>
      <c r="L456" s="38"/>
      <c r="M456" s="39"/>
      <c r="N456" s="40"/>
      <c r="O456" s="35"/>
      <c r="P456" s="36"/>
      <c r="Q456" s="36"/>
      <c r="T456" s="36"/>
    </row>
    <row r="457" spans="1:255" s="37" customFormat="1" ht="18.75" customHeight="1">
      <c r="A457" s="29">
        <f t="shared" si="9"/>
        <v>439</v>
      </c>
      <c r="B457" s="30"/>
      <c r="C457" s="30" t="s">
        <v>152</v>
      </c>
      <c r="D457" s="30" t="s">
        <v>843</v>
      </c>
      <c r="E457" s="31">
        <v>42905</v>
      </c>
      <c r="F457" s="30" t="s">
        <v>844</v>
      </c>
      <c r="G457" s="30" t="s">
        <v>845</v>
      </c>
      <c r="H457" s="30" t="s">
        <v>846</v>
      </c>
      <c r="I457" s="29">
        <v>1641818</v>
      </c>
      <c r="J457" s="29">
        <v>10</v>
      </c>
      <c r="K457" s="29">
        <v>164182</v>
      </c>
      <c r="L457" s="38"/>
      <c r="M457" s="39"/>
      <c r="N457" s="40"/>
      <c r="O457" s="35"/>
      <c r="P457" s="36"/>
      <c r="Q457" s="36"/>
      <c r="T457" s="36"/>
    </row>
    <row r="458" spans="1:255" s="37" customFormat="1" ht="18.75" customHeight="1">
      <c r="A458" s="29">
        <f t="shared" si="9"/>
        <v>440</v>
      </c>
      <c r="B458" s="30"/>
      <c r="C458" s="30" t="s">
        <v>291</v>
      </c>
      <c r="D458" s="30" t="s">
        <v>847</v>
      </c>
      <c r="E458" s="31">
        <v>42907</v>
      </c>
      <c r="F458" s="30" t="s">
        <v>293</v>
      </c>
      <c r="G458" s="30" t="s">
        <v>294</v>
      </c>
      <c r="H458" s="30" t="s">
        <v>316</v>
      </c>
      <c r="I458" s="29">
        <v>3832727</v>
      </c>
      <c r="J458" s="29">
        <v>10</v>
      </c>
      <c r="K458" s="29">
        <v>383273</v>
      </c>
      <c r="L458" s="38"/>
      <c r="M458" s="39"/>
      <c r="N458" s="40"/>
      <c r="O458" s="35"/>
      <c r="P458" s="36"/>
      <c r="Q458" s="36"/>
      <c r="T458" s="36"/>
    </row>
    <row r="459" spans="1:255" s="37" customFormat="1" ht="18.75" customHeight="1">
      <c r="A459" s="29">
        <f t="shared" si="9"/>
        <v>441</v>
      </c>
      <c r="B459" s="30"/>
      <c r="C459" s="30" t="s">
        <v>848</v>
      </c>
      <c r="D459" s="30" t="s">
        <v>849</v>
      </c>
      <c r="E459" s="31">
        <v>42912</v>
      </c>
      <c r="F459" s="30" t="s">
        <v>850</v>
      </c>
      <c r="G459" s="30" t="s">
        <v>851</v>
      </c>
      <c r="H459" s="30" t="s">
        <v>591</v>
      </c>
      <c r="I459" s="29">
        <v>8730378</v>
      </c>
      <c r="J459" s="29">
        <v>10</v>
      </c>
      <c r="K459" s="29">
        <v>873038</v>
      </c>
      <c r="L459" s="38"/>
      <c r="M459" s="39"/>
      <c r="N459" s="40"/>
      <c r="O459" s="35"/>
      <c r="P459" s="36"/>
      <c r="Q459" s="36"/>
      <c r="T459" s="36"/>
    </row>
    <row r="460" spans="1:255" s="37" customFormat="1" ht="18.75" customHeight="1">
      <c r="A460" s="29">
        <f t="shared" si="9"/>
        <v>442</v>
      </c>
      <c r="B460" s="30"/>
      <c r="C460" s="30" t="s">
        <v>54</v>
      </c>
      <c r="D460" s="30" t="s">
        <v>475</v>
      </c>
      <c r="E460" s="31">
        <v>42913</v>
      </c>
      <c r="F460" s="30" t="s">
        <v>56</v>
      </c>
      <c r="G460" s="30" t="s">
        <v>57</v>
      </c>
      <c r="H460" s="30" t="s">
        <v>591</v>
      </c>
      <c r="I460" s="29">
        <v>5783580</v>
      </c>
      <c r="J460" s="29">
        <v>10</v>
      </c>
      <c r="K460" s="29">
        <v>578358</v>
      </c>
      <c r="L460" s="38"/>
      <c r="M460" s="39"/>
      <c r="N460" s="40"/>
      <c r="O460" s="35"/>
      <c r="P460" s="36"/>
      <c r="Q460" s="36"/>
      <c r="T460" s="36"/>
    </row>
    <row r="461" spans="1:255" s="37" customFormat="1" ht="18.75" customHeight="1">
      <c r="A461" s="29">
        <f t="shared" si="9"/>
        <v>443</v>
      </c>
      <c r="B461" s="30"/>
      <c r="C461" s="30" t="s">
        <v>69</v>
      </c>
      <c r="D461" s="30" t="s">
        <v>852</v>
      </c>
      <c r="E461" s="31">
        <v>42913</v>
      </c>
      <c r="F461" s="30" t="s">
        <v>71</v>
      </c>
      <c r="G461" s="30" t="s">
        <v>72</v>
      </c>
      <c r="H461" s="30" t="s">
        <v>40</v>
      </c>
      <c r="I461" s="29">
        <v>1200000</v>
      </c>
      <c r="J461" s="29">
        <v>10</v>
      </c>
      <c r="K461" s="29">
        <v>120000</v>
      </c>
      <c r="L461" s="38"/>
      <c r="M461" s="39"/>
      <c r="N461" s="40"/>
      <c r="O461" s="35"/>
      <c r="P461" s="36"/>
      <c r="Q461" s="36"/>
      <c r="T461" s="36"/>
    </row>
    <row r="462" spans="1:255" s="37" customFormat="1" ht="18.75" customHeight="1">
      <c r="A462" s="29">
        <f t="shared" si="9"/>
        <v>444</v>
      </c>
      <c r="B462" s="30"/>
      <c r="C462" s="30" t="s">
        <v>726</v>
      </c>
      <c r="D462" s="30" t="s">
        <v>853</v>
      </c>
      <c r="E462" s="31">
        <v>42914</v>
      </c>
      <c r="F462" s="30" t="s">
        <v>63</v>
      </c>
      <c r="G462" s="30" t="s">
        <v>64</v>
      </c>
      <c r="H462" s="30" t="s">
        <v>854</v>
      </c>
      <c r="I462" s="29">
        <v>18172727</v>
      </c>
      <c r="J462" s="29">
        <v>10</v>
      </c>
      <c r="K462" s="29">
        <v>1817273</v>
      </c>
      <c r="L462" s="38"/>
      <c r="M462" s="39"/>
      <c r="N462" s="40"/>
      <c r="O462" s="35"/>
      <c r="P462" s="36"/>
      <c r="Q462" s="36"/>
      <c r="T462" s="36"/>
    </row>
    <row r="463" spans="1:255" s="37" customFormat="1" ht="18.75" customHeight="1">
      <c r="A463" s="29">
        <f t="shared" si="9"/>
        <v>445</v>
      </c>
      <c r="B463" s="30"/>
      <c r="C463" s="30" t="s">
        <v>152</v>
      </c>
      <c r="D463" s="30" t="s">
        <v>855</v>
      </c>
      <c r="E463" s="31">
        <v>42915</v>
      </c>
      <c r="F463" s="30" t="s">
        <v>844</v>
      </c>
      <c r="G463" s="30" t="s">
        <v>845</v>
      </c>
      <c r="H463" s="30" t="s">
        <v>846</v>
      </c>
      <c r="I463" s="29">
        <v>938182</v>
      </c>
      <c r="J463" s="29">
        <v>10</v>
      </c>
      <c r="K463" s="29">
        <v>93818</v>
      </c>
      <c r="L463" s="38"/>
      <c r="M463" s="39"/>
      <c r="N463" s="40"/>
      <c r="O463" s="35"/>
      <c r="P463" s="36"/>
      <c r="Q463" s="36"/>
      <c r="T463" s="36"/>
    </row>
    <row r="464" spans="1:255" s="37" customFormat="1" ht="18.75" customHeight="1">
      <c r="A464" s="29">
        <f t="shared" si="9"/>
        <v>446</v>
      </c>
      <c r="B464" s="30"/>
      <c r="C464" s="30" t="s">
        <v>856</v>
      </c>
      <c r="D464" s="30" t="s">
        <v>857</v>
      </c>
      <c r="E464" s="31">
        <v>42917</v>
      </c>
      <c r="F464" s="30" t="s">
        <v>89</v>
      </c>
      <c r="G464" s="30" t="s">
        <v>90</v>
      </c>
      <c r="H464" s="30" t="s">
        <v>858</v>
      </c>
      <c r="I464" s="29">
        <v>621706</v>
      </c>
      <c r="J464" s="29">
        <v>10</v>
      </c>
      <c r="K464" s="29">
        <v>62171</v>
      </c>
      <c r="L464" s="38"/>
      <c r="M464" s="39"/>
      <c r="N464" s="40"/>
      <c r="O464" s="35"/>
      <c r="P464" s="36"/>
      <c r="Q464" s="36"/>
      <c r="T464" s="36"/>
    </row>
    <row r="465" spans="1:20" s="37" customFormat="1" ht="18.75" customHeight="1">
      <c r="A465" s="29">
        <f t="shared" si="9"/>
        <v>447</v>
      </c>
      <c r="B465" s="30"/>
      <c r="C465" s="30" t="s">
        <v>856</v>
      </c>
      <c r="D465" s="30" t="s">
        <v>859</v>
      </c>
      <c r="E465" s="31">
        <v>42917</v>
      </c>
      <c r="F465" s="30" t="s">
        <v>89</v>
      </c>
      <c r="G465" s="30" t="s">
        <v>90</v>
      </c>
      <c r="H465" s="30" t="s">
        <v>858</v>
      </c>
      <c r="I465" s="29">
        <v>249130</v>
      </c>
      <c r="J465" s="29">
        <v>10</v>
      </c>
      <c r="K465" s="29">
        <v>24913</v>
      </c>
      <c r="L465" s="38"/>
      <c r="M465" s="39"/>
      <c r="N465" s="40"/>
      <c r="O465" s="35"/>
      <c r="P465" s="36"/>
      <c r="Q465" s="36"/>
      <c r="T465" s="36"/>
    </row>
    <row r="466" spans="1:20" s="37" customFormat="1" ht="18.75" customHeight="1">
      <c r="A466" s="29">
        <f t="shared" si="9"/>
        <v>448</v>
      </c>
      <c r="B466" s="30"/>
      <c r="C466" s="30" t="s">
        <v>278</v>
      </c>
      <c r="D466" s="30" t="s">
        <v>860</v>
      </c>
      <c r="E466" s="31">
        <v>42921</v>
      </c>
      <c r="F466" s="30" t="s">
        <v>280</v>
      </c>
      <c r="G466" s="30" t="s">
        <v>281</v>
      </c>
      <c r="H466" s="30" t="s">
        <v>591</v>
      </c>
      <c r="I466" s="29">
        <v>5373700</v>
      </c>
      <c r="J466" s="29">
        <v>10</v>
      </c>
      <c r="K466" s="29">
        <v>537370</v>
      </c>
      <c r="L466" s="38"/>
      <c r="M466" s="39"/>
      <c r="N466" s="40"/>
      <c r="O466" s="35"/>
      <c r="P466" s="36"/>
      <c r="Q466" s="36"/>
      <c r="T466" s="36"/>
    </row>
    <row r="467" spans="1:20" s="37" customFormat="1" ht="18.75" customHeight="1">
      <c r="A467" s="29">
        <f t="shared" si="9"/>
        <v>449</v>
      </c>
      <c r="B467" s="30"/>
      <c r="C467" s="30" t="s">
        <v>833</v>
      </c>
      <c r="D467" s="30" t="s">
        <v>861</v>
      </c>
      <c r="E467" s="31">
        <v>42921</v>
      </c>
      <c r="F467" s="30" t="s">
        <v>835</v>
      </c>
      <c r="G467" s="30" t="s">
        <v>836</v>
      </c>
      <c r="H467" s="30" t="s">
        <v>862</v>
      </c>
      <c r="I467" s="29">
        <v>651816</v>
      </c>
      <c r="J467" s="29">
        <v>10</v>
      </c>
      <c r="K467" s="29">
        <v>65182</v>
      </c>
      <c r="L467" s="38"/>
      <c r="M467" s="39"/>
      <c r="N467" s="40"/>
      <c r="O467" s="35"/>
      <c r="P467" s="36"/>
      <c r="Q467" s="36"/>
      <c r="T467" s="36"/>
    </row>
    <row r="468" spans="1:20" s="37" customFormat="1" ht="18.75" customHeight="1">
      <c r="A468" s="29">
        <f t="shared" si="9"/>
        <v>450</v>
      </c>
      <c r="B468" s="30"/>
      <c r="C468" s="30" t="s">
        <v>93</v>
      </c>
      <c r="D468" s="30" t="s">
        <v>863</v>
      </c>
      <c r="E468" s="31">
        <v>42922</v>
      </c>
      <c r="F468" s="30" t="s">
        <v>49</v>
      </c>
      <c r="G468" s="30" t="s">
        <v>50</v>
      </c>
      <c r="H468" s="30" t="s">
        <v>864</v>
      </c>
      <c r="I468" s="29">
        <v>71720000</v>
      </c>
      <c r="J468" s="29">
        <v>10</v>
      </c>
      <c r="K468" s="29">
        <v>7172000</v>
      </c>
      <c r="L468" s="38" t="s">
        <v>52</v>
      </c>
      <c r="M468" s="39">
        <v>42990</v>
      </c>
      <c r="N468" s="40" t="s">
        <v>865</v>
      </c>
      <c r="O468" s="35"/>
      <c r="P468" s="36"/>
      <c r="Q468" s="36"/>
      <c r="T468" s="36"/>
    </row>
    <row r="469" spans="1:20" s="37" customFormat="1" ht="18.75" customHeight="1">
      <c r="A469" s="29">
        <f t="shared" si="9"/>
        <v>451</v>
      </c>
      <c r="B469" s="30"/>
      <c r="C469" s="30" t="s">
        <v>54</v>
      </c>
      <c r="D469" s="30" t="s">
        <v>866</v>
      </c>
      <c r="E469" s="31">
        <v>42926</v>
      </c>
      <c r="F469" s="30" t="s">
        <v>56</v>
      </c>
      <c r="G469" s="30" t="s">
        <v>57</v>
      </c>
      <c r="H469" s="30" t="s">
        <v>591</v>
      </c>
      <c r="I469" s="29">
        <v>5787390</v>
      </c>
      <c r="J469" s="29">
        <v>10</v>
      </c>
      <c r="K469" s="29">
        <v>578739</v>
      </c>
      <c r="L469" s="38"/>
      <c r="M469" s="39"/>
      <c r="N469" s="40"/>
      <c r="O469" s="35"/>
      <c r="P469" s="36"/>
      <c r="Q469" s="36"/>
      <c r="T469" s="36"/>
    </row>
    <row r="470" spans="1:20" s="37" customFormat="1" ht="18.75" customHeight="1">
      <c r="A470" s="29">
        <f t="shared" si="9"/>
        <v>452</v>
      </c>
      <c r="B470" s="30"/>
      <c r="C470" s="30" t="s">
        <v>291</v>
      </c>
      <c r="D470" s="30" t="s">
        <v>867</v>
      </c>
      <c r="E470" s="31">
        <v>42926</v>
      </c>
      <c r="F470" s="30" t="s">
        <v>293</v>
      </c>
      <c r="G470" s="30" t="s">
        <v>294</v>
      </c>
      <c r="H470" s="30" t="s">
        <v>316</v>
      </c>
      <c r="I470" s="29">
        <v>3940000</v>
      </c>
      <c r="J470" s="29">
        <v>10</v>
      </c>
      <c r="K470" s="29">
        <v>394000</v>
      </c>
      <c r="L470" s="38"/>
      <c r="M470" s="39"/>
      <c r="N470" s="40"/>
      <c r="O470" s="35"/>
      <c r="P470" s="36"/>
      <c r="Q470" s="36"/>
      <c r="T470" s="36"/>
    </row>
    <row r="471" spans="1:20" s="37" customFormat="1" ht="18.75" customHeight="1">
      <c r="A471" s="29">
        <f t="shared" si="9"/>
        <v>453</v>
      </c>
      <c r="B471" s="30"/>
      <c r="C471" s="30" t="s">
        <v>868</v>
      </c>
      <c r="D471" s="30" t="s">
        <v>869</v>
      </c>
      <c r="E471" s="31">
        <v>42926</v>
      </c>
      <c r="F471" s="30" t="s">
        <v>546</v>
      </c>
      <c r="G471" s="30" t="s">
        <v>547</v>
      </c>
      <c r="H471" s="30" t="s">
        <v>134</v>
      </c>
      <c r="I471" s="29">
        <v>1358000</v>
      </c>
      <c r="J471" s="29">
        <v>10</v>
      </c>
      <c r="K471" s="29">
        <v>135800</v>
      </c>
      <c r="L471" s="38"/>
      <c r="M471" s="39"/>
      <c r="N471" s="40"/>
      <c r="O471" s="35"/>
      <c r="P471" s="36"/>
      <c r="Q471" s="36"/>
      <c r="T471" s="36"/>
    </row>
    <row r="472" spans="1:20" s="37" customFormat="1" ht="18.75" customHeight="1">
      <c r="A472" s="29">
        <f t="shared" si="9"/>
        <v>454</v>
      </c>
      <c r="B472" s="30"/>
      <c r="C472" s="30" t="s">
        <v>69</v>
      </c>
      <c r="D472" s="30" t="s">
        <v>870</v>
      </c>
      <c r="E472" s="31">
        <v>42927</v>
      </c>
      <c r="F472" s="30" t="s">
        <v>71</v>
      </c>
      <c r="G472" s="30" t="s">
        <v>72</v>
      </c>
      <c r="H472" s="30" t="s">
        <v>40</v>
      </c>
      <c r="I472" s="29">
        <v>800000</v>
      </c>
      <c r="J472" s="29">
        <v>10</v>
      </c>
      <c r="K472" s="29">
        <v>80000</v>
      </c>
      <c r="L472" s="38"/>
      <c r="M472" s="39"/>
      <c r="N472" s="40"/>
      <c r="O472" s="35"/>
      <c r="P472" s="36"/>
      <c r="Q472" s="36"/>
      <c r="T472" s="36"/>
    </row>
    <row r="473" spans="1:20" s="37" customFormat="1" ht="18.75" customHeight="1">
      <c r="A473" s="29">
        <f t="shared" si="9"/>
        <v>455</v>
      </c>
      <c r="B473" s="30"/>
      <c r="C473" s="30" t="s">
        <v>152</v>
      </c>
      <c r="D473" s="30" t="s">
        <v>871</v>
      </c>
      <c r="E473" s="31">
        <v>42928</v>
      </c>
      <c r="F473" s="30" t="s">
        <v>844</v>
      </c>
      <c r="G473" s="30" t="s">
        <v>845</v>
      </c>
      <c r="H473" s="30" t="s">
        <v>846</v>
      </c>
      <c r="I473" s="29">
        <v>914182</v>
      </c>
      <c r="J473" s="29">
        <v>10</v>
      </c>
      <c r="K473" s="29">
        <v>91418</v>
      </c>
      <c r="L473" s="38"/>
      <c r="M473" s="39"/>
      <c r="N473" s="40"/>
      <c r="O473" s="35"/>
      <c r="P473" s="36"/>
      <c r="Q473" s="36"/>
      <c r="T473" s="36"/>
    </row>
    <row r="474" spans="1:20" s="37" customFormat="1" ht="18.75" customHeight="1">
      <c r="A474" s="29">
        <f t="shared" si="9"/>
        <v>456</v>
      </c>
      <c r="B474" s="30"/>
      <c r="C474" s="30" t="s">
        <v>291</v>
      </c>
      <c r="D474" s="30" t="s">
        <v>872</v>
      </c>
      <c r="E474" s="31">
        <v>42929</v>
      </c>
      <c r="F474" s="30" t="s">
        <v>293</v>
      </c>
      <c r="G474" s="30" t="s">
        <v>294</v>
      </c>
      <c r="H474" s="30" t="s">
        <v>134</v>
      </c>
      <c r="I474" s="29">
        <v>2301818</v>
      </c>
      <c r="J474" s="29">
        <v>10</v>
      </c>
      <c r="K474" s="29">
        <v>230182</v>
      </c>
      <c r="L474" s="38"/>
      <c r="M474" s="39"/>
      <c r="N474" s="40"/>
      <c r="O474" s="35"/>
      <c r="P474" s="36"/>
      <c r="Q474" s="36"/>
      <c r="T474" s="36"/>
    </row>
    <row r="475" spans="1:20" s="37" customFormat="1" ht="18.75" customHeight="1">
      <c r="A475" s="29">
        <f t="shared" si="9"/>
        <v>457</v>
      </c>
      <c r="B475" s="30"/>
      <c r="C475" s="30" t="s">
        <v>93</v>
      </c>
      <c r="D475" s="30" t="s">
        <v>873</v>
      </c>
      <c r="E475" s="31">
        <v>42929</v>
      </c>
      <c r="F475" s="30" t="s">
        <v>49</v>
      </c>
      <c r="G475" s="30" t="s">
        <v>50</v>
      </c>
      <c r="H475" s="30" t="s">
        <v>864</v>
      </c>
      <c r="I475" s="29">
        <v>34776000</v>
      </c>
      <c r="J475" s="29">
        <v>10</v>
      </c>
      <c r="K475" s="29">
        <v>3477600</v>
      </c>
      <c r="L475" s="38" t="s">
        <v>52</v>
      </c>
      <c r="M475" s="39">
        <v>42990</v>
      </c>
      <c r="N475" s="40" t="s">
        <v>865</v>
      </c>
      <c r="O475" s="35"/>
      <c r="P475" s="36"/>
      <c r="Q475" s="36"/>
      <c r="T475" s="36"/>
    </row>
    <row r="476" spans="1:20" s="37" customFormat="1" ht="18.75" customHeight="1">
      <c r="A476" s="29">
        <f t="shared" si="9"/>
        <v>458</v>
      </c>
      <c r="B476" s="30"/>
      <c r="C476" s="30" t="s">
        <v>874</v>
      </c>
      <c r="D476" s="30" t="s">
        <v>875</v>
      </c>
      <c r="E476" s="31">
        <v>42931</v>
      </c>
      <c r="F476" s="30" t="s">
        <v>876</v>
      </c>
      <c r="G476" s="30" t="s">
        <v>877</v>
      </c>
      <c r="H476" s="30" t="s">
        <v>316</v>
      </c>
      <c r="I476" s="29">
        <v>4815000</v>
      </c>
      <c r="J476" s="29">
        <v>10</v>
      </c>
      <c r="K476" s="29">
        <v>481500</v>
      </c>
      <c r="L476" s="38"/>
      <c r="M476" s="39"/>
      <c r="N476" s="40"/>
      <c r="O476" s="35"/>
      <c r="P476" s="36"/>
      <c r="Q476" s="36"/>
      <c r="T476" s="36"/>
    </row>
    <row r="477" spans="1:20" s="37" customFormat="1" ht="18.75" customHeight="1">
      <c r="A477" s="29">
        <f t="shared" si="9"/>
        <v>459</v>
      </c>
      <c r="B477" s="30"/>
      <c r="C477" s="30" t="s">
        <v>130</v>
      </c>
      <c r="D477" s="30" t="s">
        <v>878</v>
      </c>
      <c r="E477" s="31">
        <v>42935</v>
      </c>
      <c r="F477" s="30" t="s">
        <v>333</v>
      </c>
      <c r="G477" s="30" t="s">
        <v>334</v>
      </c>
      <c r="H477" s="30" t="s">
        <v>134</v>
      </c>
      <c r="I477" s="29">
        <v>1753000</v>
      </c>
      <c r="J477" s="29">
        <v>10</v>
      </c>
      <c r="K477" s="29">
        <v>175300</v>
      </c>
      <c r="L477" s="38"/>
      <c r="M477" s="39"/>
      <c r="N477" s="40"/>
      <c r="O477" s="35"/>
      <c r="P477" s="36"/>
      <c r="Q477" s="36"/>
      <c r="T477" s="36"/>
    </row>
    <row r="478" spans="1:20" s="37" customFormat="1" ht="18.75" customHeight="1">
      <c r="A478" s="29">
        <f t="shared" si="9"/>
        <v>460</v>
      </c>
      <c r="B478" s="30"/>
      <c r="C478" s="30" t="s">
        <v>291</v>
      </c>
      <c r="D478" s="30" t="s">
        <v>879</v>
      </c>
      <c r="E478" s="31">
        <v>42936</v>
      </c>
      <c r="F478" s="30" t="s">
        <v>293</v>
      </c>
      <c r="G478" s="30" t="s">
        <v>294</v>
      </c>
      <c r="H478" s="30" t="s">
        <v>134</v>
      </c>
      <c r="I478" s="29">
        <v>2230909</v>
      </c>
      <c r="J478" s="29">
        <v>10</v>
      </c>
      <c r="K478" s="29">
        <v>223091</v>
      </c>
      <c r="L478" s="38"/>
      <c r="M478" s="39"/>
      <c r="N478" s="40"/>
      <c r="O478" s="35"/>
      <c r="P478" s="36"/>
      <c r="Q478" s="36"/>
      <c r="T478" s="36"/>
    </row>
    <row r="479" spans="1:20" s="37" customFormat="1" ht="18.75" customHeight="1">
      <c r="A479" s="29">
        <f t="shared" si="9"/>
        <v>461</v>
      </c>
      <c r="B479" s="30"/>
      <c r="C479" s="30" t="s">
        <v>419</v>
      </c>
      <c r="D479" s="30" t="s">
        <v>880</v>
      </c>
      <c r="E479" s="31">
        <v>42936</v>
      </c>
      <c r="F479" s="30" t="s">
        <v>421</v>
      </c>
      <c r="G479" s="30" t="s">
        <v>422</v>
      </c>
      <c r="H479" s="30" t="s">
        <v>134</v>
      </c>
      <c r="I479" s="29">
        <v>902000</v>
      </c>
      <c r="J479" s="29">
        <v>10</v>
      </c>
      <c r="K479" s="29">
        <v>90200</v>
      </c>
      <c r="L479" s="38"/>
      <c r="M479" s="39"/>
      <c r="N479" s="40"/>
      <c r="O479" s="35"/>
      <c r="P479" s="36"/>
      <c r="Q479" s="36"/>
      <c r="T479" s="36"/>
    </row>
    <row r="480" spans="1:20" s="37" customFormat="1" ht="18.75" customHeight="1">
      <c r="A480" s="29">
        <f t="shared" si="9"/>
        <v>462</v>
      </c>
      <c r="B480" s="30"/>
      <c r="C480" s="30" t="s">
        <v>152</v>
      </c>
      <c r="D480" s="30" t="s">
        <v>881</v>
      </c>
      <c r="E480" s="31">
        <v>42937</v>
      </c>
      <c r="F480" s="30" t="s">
        <v>844</v>
      </c>
      <c r="G480" s="30" t="s">
        <v>845</v>
      </c>
      <c r="H480" s="30" t="s">
        <v>846</v>
      </c>
      <c r="I480" s="29">
        <v>933818</v>
      </c>
      <c r="J480" s="29">
        <v>10</v>
      </c>
      <c r="K480" s="29">
        <v>93382</v>
      </c>
      <c r="L480" s="38"/>
      <c r="M480" s="39"/>
      <c r="N480" s="40"/>
      <c r="O480" s="35"/>
      <c r="P480" s="36"/>
      <c r="Q480" s="36"/>
      <c r="T480" s="36"/>
    </row>
    <row r="481" spans="1:20" s="37" customFormat="1" ht="18.75" customHeight="1">
      <c r="A481" s="29">
        <f t="shared" si="9"/>
        <v>463</v>
      </c>
      <c r="B481" s="30"/>
      <c r="C481" s="30" t="s">
        <v>291</v>
      </c>
      <c r="D481" s="30" t="s">
        <v>882</v>
      </c>
      <c r="E481" s="31">
        <v>42940</v>
      </c>
      <c r="F481" s="30" t="s">
        <v>293</v>
      </c>
      <c r="G481" s="30" t="s">
        <v>294</v>
      </c>
      <c r="H481" s="30" t="s">
        <v>134</v>
      </c>
      <c r="I481" s="29">
        <v>3559091</v>
      </c>
      <c r="J481" s="29">
        <v>10</v>
      </c>
      <c r="K481" s="29">
        <v>355909</v>
      </c>
      <c r="L481" s="38"/>
      <c r="M481" s="39"/>
      <c r="N481" s="40"/>
      <c r="O481" s="35"/>
      <c r="P481" s="36"/>
      <c r="Q481" s="36"/>
      <c r="T481" s="36"/>
    </row>
    <row r="482" spans="1:20" s="37" customFormat="1" ht="18.75" customHeight="1">
      <c r="A482" s="29">
        <f t="shared" si="9"/>
        <v>464</v>
      </c>
      <c r="B482" s="30"/>
      <c r="C482" s="30" t="s">
        <v>93</v>
      </c>
      <c r="D482" s="30" t="s">
        <v>883</v>
      </c>
      <c r="E482" s="31">
        <v>42940</v>
      </c>
      <c r="F482" s="30" t="s">
        <v>49</v>
      </c>
      <c r="G482" s="30" t="s">
        <v>50</v>
      </c>
      <c r="H482" s="30" t="s">
        <v>864</v>
      </c>
      <c r="I482" s="29">
        <v>93200000</v>
      </c>
      <c r="J482" s="29">
        <v>10</v>
      </c>
      <c r="K482" s="29">
        <v>9320000</v>
      </c>
      <c r="L482" s="38" t="s">
        <v>52</v>
      </c>
      <c r="M482" s="39">
        <v>42990</v>
      </c>
      <c r="N482" s="40" t="s">
        <v>865</v>
      </c>
      <c r="O482" s="35"/>
      <c r="P482" s="36"/>
      <c r="Q482" s="36"/>
      <c r="T482" s="36"/>
    </row>
    <row r="483" spans="1:20" s="37" customFormat="1" ht="18.75" customHeight="1">
      <c r="A483" s="29">
        <f t="shared" si="9"/>
        <v>465</v>
      </c>
      <c r="B483" s="30"/>
      <c r="C483" s="30" t="s">
        <v>726</v>
      </c>
      <c r="D483" s="30" t="s">
        <v>884</v>
      </c>
      <c r="E483" s="31">
        <v>42941</v>
      </c>
      <c r="F483" s="30" t="s">
        <v>63</v>
      </c>
      <c r="G483" s="30" t="s">
        <v>64</v>
      </c>
      <c r="H483" s="30" t="s">
        <v>885</v>
      </c>
      <c r="I483" s="29">
        <v>13945455</v>
      </c>
      <c r="J483" s="29">
        <v>10</v>
      </c>
      <c r="K483" s="29">
        <v>1394545</v>
      </c>
      <c r="L483" s="38"/>
      <c r="M483" s="39"/>
      <c r="N483" s="40"/>
      <c r="O483" s="35"/>
      <c r="P483" s="36"/>
      <c r="Q483" s="36"/>
      <c r="T483" s="36"/>
    </row>
    <row r="484" spans="1:20" s="37" customFormat="1" ht="18.75" customHeight="1">
      <c r="A484" s="29">
        <f t="shared" si="9"/>
        <v>466</v>
      </c>
      <c r="B484" s="30"/>
      <c r="C484" s="30" t="s">
        <v>726</v>
      </c>
      <c r="D484" s="30" t="s">
        <v>886</v>
      </c>
      <c r="E484" s="31">
        <v>42947</v>
      </c>
      <c r="F484" s="30" t="s">
        <v>63</v>
      </c>
      <c r="G484" s="30" t="s">
        <v>64</v>
      </c>
      <c r="H484" s="30" t="s">
        <v>885</v>
      </c>
      <c r="I484" s="29">
        <v>9236364</v>
      </c>
      <c r="J484" s="29">
        <v>10</v>
      </c>
      <c r="K484" s="29">
        <v>923636</v>
      </c>
      <c r="L484" s="38"/>
      <c r="M484" s="39"/>
      <c r="N484" s="40"/>
      <c r="O484" s="35"/>
      <c r="P484" s="36"/>
      <c r="Q484" s="36"/>
      <c r="T484" s="36"/>
    </row>
    <row r="485" spans="1:20" s="37" customFormat="1" ht="18.75" customHeight="1">
      <c r="A485" s="29">
        <f t="shared" si="9"/>
        <v>467</v>
      </c>
      <c r="B485" s="30"/>
      <c r="C485" s="30" t="s">
        <v>726</v>
      </c>
      <c r="D485" s="30" t="s">
        <v>887</v>
      </c>
      <c r="E485" s="31">
        <v>42944</v>
      </c>
      <c r="F485" s="30" t="s">
        <v>63</v>
      </c>
      <c r="G485" s="30" t="s">
        <v>64</v>
      </c>
      <c r="H485" s="30" t="s">
        <v>888</v>
      </c>
      <c r="I485" s="29">
        <v>27100000</v>
      </c>
      <c r="J485" s="29">
        <v>10</v>
      </c>
      <c r="K485" s="29">
        <v>2710000</v>
      </c>
      <c r="L485" s="38" t="s">
        <v>52</v>
      </c>
      <c r="M485" s="39">
        <v>42972</v>
      </c>
      <c r="N485" s="40" t="s">
        <v>865</v>
      </c>
      <c r="O485" s="35"/>
      <c r="P485" s="36"/>
      <c r="Q485" s="36"/>
      <c r="T485" s="36"/>
    </row>
    <row r="486" spans="1:20" s="37" customFormat="1" ht="18.75" customHeight="1">
      <c r="A486" s="29">
        <f t="shared" si="9"/>
        <v>468</v>
      </c>
      <c r="B486" s="30"/>
      <c r="C486" s="30" t="s">
        <v>502</v>
      </c>
      <c r="D486" s="30" t="s">
        <v>889</v>
      </c>
      <c r="E486" s="31">
        <v>42944</v>
      </c>
      <c r="F486" s="30" t="s">
        <v>362</v>
      </c>
      <c r="G486" s="30" t="s">
        <v>363</v>
      </c>
      <c r="H486" s="30" t="s">
        <v>129</v>
      </c>
      <c r="I486" s="29">
        <v>454545</v>
      </c>
      <c r="J486" s="29">
        <v>10</v>
      </c>
      <c r="K486" s="29">
        <v>45455</v>
      </c>
      <c r="L486" s="38"/>
      <c r="M486" s="39"/>
      <c r="N486" s="40"/>
      <c r="O486" s="35"/>
      <c r="P486" s="36"/>
      <c r="Q486" s="36"/>
      <c r="T486" s="36"/>
    </row>
    <row r="487" spans="1:20" s="37" customFormat="1" ht="18.75" customHeight="1">
      <c r="A487" s="29">
        <f t="shared" si="9"/>
        <v>469</v>
      </c>
      <c r="B487" s="30"/>
      <c r="C487" s="30" t="s">
        <v>291</v>
      </c>
      <c r="D487" s="30" t="s">
        <v>890</v>
      </c>
      <c r="E487" s="31">
        <v>42945</v>
      </c>
      <c r="F487" s="30" t="s">
        <v>293</v>
      </c>
      <c r="G487" s="30" t="s">
        <v>294</v>
      </c>
      <c r="H487" s="30" t="s">
        <v>134</v>
      </c>
      <c r="I487" s="29">
        <v>2495455</v>
      </c>
      <c r="J487" s="29">
        <v>10</v>
      </c>
      <c r="K487" s="29">
        <v>249545</v>
      </c>
      <c r="L487" s="38"/>
      <c r="M487" s="39"/>
      <c r="N487" s="40"/>
      <c r="O487" s="35"/>
      <c r="P487" s="36"/>
      <c r="Q487" s="36"/>
      <c r="T487" s="36"/>
    </row>
    <row r="488" spans="1:20" s="37" customFormat="1" ht="18.75" customHeight="1">
      <c r="A488" s="29">
        <f t="shared" si="9"/>
        <v>470</v>
      </c>
      <c r="B488" s="30"/>
      <c r="C488" s="30" t="s">
        <v>130</v>
      </c>
      <c r="D488" s="30" t="s">
        <v>891</v>
      </c>
      <c r="E488" s="31">
        <v>42946</v>
      </c>
      <c r="F488" s="30" t="s">
        <v>333</v>
      </c>
      <c r="G488" s="30" t="s">
        <v>334</v>
      </c>
      <c r="H488" s="30" t="s">
        <v>134</v>
      </c>
      <c r="I488" s="29">
        <v>1958000</v>
      </c>
      <c r="J488" s="29">
        <v>10</v>
      </c>
      <c r="K488" s="29">
        <v>195800</v>
      </c>
      <c r="L488" s="38"/>
      <c r="M488" s="39"/>
      <c r="N488" s="40"/>
      <c r="O488" s="35"/>
      <c r="P488" s="36"/>
      <c r="Q488" s="36"/>
      <c r="T488" s="36"/>
    </row>
    <row r="489" spans="1:20" s="37" customFormat="1" ht="18.75" customHeight="1">
      <c r="A489" s="29">
        <f t="shared" si="9"/>
        <v>471</v>
      </c>
      <c r="B489" s="30"/>
      <c r="C489" s="30" t="s">
        <v>892</v>
      </c>
      <c r="D489" s="30" t="s">
        <v>893</v>
      </c>
      <c r="E489" s="31">
        <v>42946</v>
      </c>
      <c r="F489" s="30" t="s">
        <v>894</v>
      </c>
      <c r="G489" s="30" t="s">
        <v>297</v>
      </c>
      <c r="H489" s="30" t="s">
        <v>316</v>
      </c>
      <c r="I489" s="29">
        <v>1010700</v>
      </c>
      <c r="J489" s="29">
        <v>10</v>
      </c>
      <c r="K489" s="29">
        <v>101070</v>
      </c>
      <c r="L489" s="38"/>
      <c r="M489" s="39"/>
      <c r="N489" s="40"/>
      <c r="O489" s="35"/>
      <c r="P489" s="36"/>
      <c r="Q489" s="36"/>
      <c r="T489" s="36"/>
    </row>
    <row r="490" spans="1:20" s="37" customFormat="1" ht="18.75" customHeight="1">
      <c r="A490" s="29">
        <f t="shared" si="9"/>
        <v>472</v>
      </c>
      <c r="B490" s="30"/>
      <c r="C490" s="30" t="s">
        <v>895</v>
      </c>
      <c r="D490" s="30" t="s">
        <v>896</v>
      </c>
      <c r="E490" s="31">
        <v>42947</v>
      </c>
      <c r="F490" s="30" t="s">
        <v>897</v>
      </c>
      <c r="G490" s="30" t="s">
        <v>898</v>
      </c>
      <c r="H490" s="30" t="s">
        <v>899</v>
      </c>
      <c r="I490" s="63">
        <f>1953636364+195363636-160000000</f>
        <v>1989000000</v>
      </c>
      <c r="J490" s="29">
        <v>10</v>
      </c>
      <c r="K490" s="63">
        <f>195363636-35363636</f>
        <v>160000000</v>
      </c>
      <c r="L490" s="38" t="s">
        <v>52</v>
      </c>
      <c r="M490" s="39">
        <v>42926</v>
      </c>
      <c r="N490" s="40" t="s">
        <v>900</v>
      </c>
      <c r="O490" s="39">
        <v>42957</v>
      </c>
      <c r="P490" s="36"/>
      <c r="Q490" s="36"/>
      <c r="T490" s="36"/>
    </row>
    <row r="491" spans="1:20" s="37" customFormat="1" ht="18.75" customHeight="1">
      <c r="A491" s="29">
        <f t="shared" si="9"/>
        <v>473</v>
      </c>
      <c r="B491" s="30"/>
      <c r="C491" s="30" t="s">
        <v>231</v>
      </c>
      <c r="D491" s="30" t="s">
        <v>901</v>
      </c>
      <c r="E491" s="31">
        <v>42948</v>
      </c>
      <c r="F491" s="30" t="s">
        <v>239</v>
      </c>
      <c r="G491" s="30" t="s">
        <v>240</v>
      </c>
      <c r="H491" s="30" t="s">
        <v>902</v>
      </c>
      <c r="I491" s="29">
        <v>63920000</v>
      </c>
      <c r="J491" s="29">
        <v>10</v>
      </c>
      <c r="K491" s="29">
        <v>6392000</v>
      </c>
      <c r="L491" s="38" t="s">
        <v>52</v>
      </c>
      <c r="M491" s="39">
        <v>42998</v>
      </c>
      <c r="N491" s="40" t="s">
        <v>865</v>
      </c>
      <c r="O491" s="35"/>
      <c r="P491" s="36"/>
      <c r="Q491" s="36"/>
      <c r="T491" s="36"/>
    </row>
    <row r="492" spans="1:20" s="37" customFormat="1" ht="18.75" customHeight="1">
      <c r="A492" s="29">
        <f t="shared" si="9"/>
        <v>474</v>
      </c>
      <c r="B492" s="30"/>
      <c r="C492" s="30" t="s">
        <v>903</v>
      </c>
      <c r="D492" s="30" t="s">
        <v>904</v>
      </c>
      <c r="E492" s="31">
        <v>42948</v>
      </c>
      <c r="F492" s="30" t="s">
        <v>89</v>
      </c>
      <c r="G492" s="30" t="s">
        <v>90</v>
      </c>
      <c r="H492" s="30" t="s">
        <v>858</v>
      </c>
      <c r="I492" s="29">
        <v>244256</v>
      </c>
      <c r="J492" s="29">
        <v>10</v>
      </c>
      <c r="K492" s="29">
        <v>24426</v>
      </c>
      <c r="L492" s="38"/>
      <c r="M492" s="39"/>
      <c r="N492" s="40"/>
      <c r="O492" s="35"/>
      <c r="P492" s="36"/>
      <c r="Q492" s="36"/>
      <c r="T492" s="36"/>
    </row>
    <row r="493" spans="1:20" s="37" customFormat="1" ht="18.75" customHeight="1">
      <c r="A493" s="29">
        <f t="shared" si="9"/>
        <v>475</v>
      </c>
      <c r="B493" s="30"/>
      <c r="C493" s="30" t="s">
        <v>903</v>
      </c>
      <c r="D493" s="30" t="s">
        <v>905</v>
      </c>
      <c r="E493" s="31">
        <v>42948</v>
      </c>
      <c r="F493" s="30" t="s">
        <v>89</v>
      </c>
      <c r="G493" s="30" t="s">
        <v>90</v>
      </c>
      <c r="H493" s="30" t="s">
        <v>858</v>
      </c>
      <c r="I493" s="29">
        <v>564929</v>
      </c>
      <c r="J493" s="29">
        <v>10</v>
      </c>
      <c r="K493" s="29">
        <v>56493</v>
      </c>
      <c r="L493" s="38"/>
      <c r="M493" s="39"/>
      <c r="N493" s="40"/>
      <c r="O493" s="35"/>
      <c r="P493" s="36"/>
      <c r="Q493" s="36"/>
      <c r="T493" s="36"/>
    </row>
    <row r="494" spans="1:20" s="37" customFormat="1" ht="18.75" customHeight="1">
      <c r="A494" s="29">
        <f t="shared" si="9"/>
        <v>476</v>
      </c>
      <c r="B494" s="30"/>
      <c r="C494" s="30" t="s">
        <v>353</v>
      </c>
      <c r="D494" s="30" t="s">
        <v>906</v>
      </c>
      <c r="E494" s="31">
        <v>42949</v>
      </c>
      <c r="F494" s="30" t="s">
        <v>354</v>
      </c>
      <c r="G494" s="30" t="s">
        <v>355</v>
      </c>
      <c r="H494" s="30" t="s">
        <v>907</v>
      </c>
      <c r="I494" s="29">
        <v>45500000</v>
      </c>
      <c r="J494" s="29">
        <v>10</v>
      </c>
      <c r="K494" s="29">
        <v>4550000</v>
      </c>
      <c r="L494" s="38" t="s">
        <v>52</v>
      </c>
      <c r="M494" s="39">
        <v>42962</v>
      </c>
      <c r="N494" s="40" t="s">
        <v>865</v>
      </c>
      <c r="O494" s="35"/>
      <c r="P494" s="36"/>
      <c r="Q494" s="36"/>
      <c r="T494" s="36"/>
    </row>
    <row r="495" spans="1:20" s="37" customFormat="1" ht="18.75" customHeight="1">
      <c r="A495" s="29">
        <f t="shared" si="9"/>
        <v>477</v>
      </c>
      <c r="B495" s="30"/>
      <c r="C495" s="30" t="s">
        <v>100</v>
      </c>
      <c r="D495" s="30" t="s">
        <v>908</v>
      </c>
      <c r="E495" s="31">
        <v>42949</v>
      </c>
      <c r="F495" s="30" t="s">
        <v>102</v>
      </c>
      <c r="G495" s="30" t="s">
        <v>103</v>
      </c>
      <c r="H495" s="30" t="s">
        <v>377</v>
      </c>
      <c r="I495" s="29">
        <v>15519000</v>
      </c>
      <c r="J495" s="29">
        <v>10</v>
      </c>
      <c r="K495" s="29">
        <v>1551900</v>
      </c>
      <c r="L495" s="38"/>
      <c r="M495" s="39"/>
      <c r="N495" s="40"/>
      <c r="O495" s="35"/>
      <c r="P495" s="36"/>
      <c r="Q495" s="36"/>
      <c r="T495" s="36"/>
    </row>
    <row r="496" spans="1:20" s="37" customFormat="1" ht="18.75" customHeight="1">
      <c r="A496" s="29">
        <f t="shared" si="9"/>
        <v>478</v>
      </c>
      <c r="B496" s="30"/>
      <c r="C496" s="30" t="s">
        <v>291</v>
      </c>
      <c r="D496" s="30" t="s">
        <v>909</v>
      </c>
      <c r="E496" s="31">
        <v>42949</v>
      </c>
      <c r="F496" s="30" t="s">
        <v>293</v>
      </c>
      <c r="G496" s="30" t="s">
        <v>294</v>
      </c>
      <c r="H496" s="30" t="s">
        <v>134</v>
      </c>
      <c r="I496" s="29">
        <v>2692727</v>
      </c>
      <c r="J496" s="29">
        <v>10</v>
      </c>
      <c r="K496" s="29">
        <v>269273</v>
      </c>
      <c r="L496" s="38"/>
      <c r="M496" s="39"/>
      <c r="N496" s="40"/>
      <c r="O496" s="35"/>
      <c r="P496" s="36"/>
      <c r="Q496" s="36"/>
      <c r="T496" s="36"/>
    </row>
    <row r="497" spans="1:20" s="37" customFormat="1" ht="18.75" customHeight="1">
      <c r="A497" s="29">
        <f t="shared" si="9"/>
        <v>479</v>
      </c>
      <c r="B497" s="30"/>
      <c r="C497" s="30" t="s">
        <v>130</v>
      </c>
      <c r="D497" s="30" t="s">
        <v>910</v>
      </c>
      <c r="E497" s="31">
        <v>42949</v>
      </c>
      <c r="F497" s="30" t="s">
        <v>333</v>
      </c>
      <c r="G497" s="30" t="s">
        <v>334</v>
      </c>
      <c r="H497" s="30" t="s">
        <v>134</v>
      </c>
      <c r="I497" s="29">
        <v>1742000</v>
      </c>
      <c r="J497" s="29">
        <v>10</v>
      </c>
      <c r="K497" s="29">
        <v>174200</v>
      </c>
      <c r="L497" s="38"/>
      <c r="M497" s="39"/>
      <c r="N497" s="40"/>
      <c r="O497" s="35"/>
      <c r="P497" s="36"/>
      <c r="Q497" s="36"/>
      <c r="T497" s="36"/>
    </row>
    <row r="498" spans="1:20" s="37" customFormat="1" ht="18.75" customHeight="1">
      <c r="A498" s="29">
        <f t="shared" si="9"/>
        <v>480</v>
      </c>
      <c r="B498" s="30"/>
      <c r="C498" s="30" t="s">
        <v>502</v>
      </c>
      <c r="D498" s="30" t="s">
        <v>911</v>
      </c>
      <c r="E498" s="31">
        <v>42949</v>
      </c>
      <c r="F498" s="30" t="s">
        <v>362</v>
      </c>
      <c r="G498" s="30" t="s">
        <v>363</v>
      </c>
      <c r="H498" s="30" t="s">
        <v>129</v>
      </c>
      <c r="I498" s="29">
        <v>454545</v>
      </c>
      <c r="J498" s="29">
        <v>10</v>
      </c>
      <c r="K498" s="29">
        <v>45455</v>
      </c>
      <c r="L498" s="38"/>
      <c r="M498" s="39"/>
      <c r="N498" s="40"/>
      <c r="O498" s="35"/>
      <c r="P498" s="36"/>
      <c r="Q498" s="36"/>
      <c r="T498" s="36"/>
    </row>
    <row r="499" spans="1:20" s="37" customFormat="1" ht="18.75" customHeight="1">
      <c r="A499" s="29">
        <f t="shared" si="9"/>
        <v>481</v>
      </c>
      <c r="B499" s="30"/>
      <c r="C499" s="30" t="s">
        <v>204</v>
      </c>
      <c r="D499" s="30" t="s">
        <v>709</v>
      </c>
      <c r="E499" s="31">
        <v>42950</v>
      </c>
      <c r="F499" s="30" t="s">
        <v>206</v>
      </c>
      <c r="G499" s="30" t="s">
        <v>207</v>
      </c>
      <c r="H499" s="30" t="s">
        <v>479</v>
      </c>
      <c r="I499" s="29">
        <v>274536225</v>
      </c>
      <c r="J499" s="29">
        <v>10</v>
      </c>
      <c r="K499" s="29">
        <v>27453622</v>
      </c>
      <c r="L499" s="38" t="s">
        <v>52</v>
      </c>
      <c r="M499" s="39">
        <v>42962</v>
      </c>
      <c r="N499" s="40" t="s">
        <v>865</v>
      </c>
      <c r="O499" s="35"/>
      <c r="P499" s="36"/>
      <c r="Q499" s="36"/>
      <c r="T499" s="36"/>
    </row>
    <row r="500" spans="1:20" s="37" customFormat="1" ht="18.75" customHeight="1">
      <c r="A500" s="29">
        <f t="shared" si="9"/>
        <v>482</v>
      </c>
      <c r="B500" s="30"/>
      <c r="C500" s="30" t="s">
        <v>74</v>
      </c>
      <c r="D500" s="30" t="s">
        <v>912</v>
      </c>
      <c r="E500" s="31">
        <v>42951</v>
      </c>
      <c r="F500" s="30" t="s">
        <v>76</v>
      </c>
      <c r="G500" s="30" t="s">
        <v>77</v>
      </c>
      <c r="H500" s="30" t="s">
        <v>809</v>
      </c>
      <c r="I500" s="29">
        <v>790800</v>
      </c>
      <c r="J500" s="29">
        <v>10</v>
      </c>
      <c r="K500" s="29">
        <v>79080</v>
      </c>
      <c r="L500" s="38"/>
      <c r="M500" s="39"/>
      <c r="N500" s="40"/>
      <c r="O500" s="35"/>
      <c r="P500" s="36"/>
      <c r="Q500" s="36"/>
      <c r="T500" s="36"/>
    </row>
    <row r="501" spans="1:20" s="37" customFormat="1" ht="18.75" customHeight="1">
      <c r="A501" s="29">
        <f t="shared" si="9"/>
        <v>483</v>
      </c>
      <c r="B501" s="30"/>
      <c r="C501" s="30" t="s">
        <v>93</v>
      </c>
      <c r="D501" s="30" t="s">
        <v>913</v>
      </c>
      <c r="E501" s="31">
        <v>42952</v>
      </c>
      <c r="F501" s="30" t="s">
        <v>49</v>
      </c>
      <c r="G501" s="30" t="s">
        <v>50</v>
      </c>
      <c r="H501" s="30" t="s">
        <v>51</v>
      </c>
      <c r="I501" s="29">
        <v>151600000</v>
      </c>
      <c r="J501" s="29">
        <v>10</v>
      </c>
      <c r="K501" s="29">
        <v>15160000</v>
      </c>
      <c r="L501" s="38" t="s">
        <v>52</v>
      </c>
      <c r="M501" s="39">
        <v>42990</v>
      </c>
      <c r="N501" s="40" t="s">
        <v>865</v>
      </c>
      <c r="O501" s="35"/>
      <c r="P501" s="36"/>
      <c r="Q501" s="36"/>
      <c r="T501" s="36"/>
    </row>
    <row r="502" spans="1:20" s="37" customFormat="1" ht="18.75" customHeight="1">
      <c r="A502" s="29">
        <f t="shared" si="9"/>
        <v>484</v>
      </c>
      <c r="B502" s="30"/>
      <c r="C502" s="30" t="s">
        <v>502</v>
      </c>
      <c r="D502" s="30" t="s">
        <v>914</v>
      </c>
      <c r="E502" s="31">
        <v>42952</v>
      </c>
      <c r="F502" s="30" t="s">
        <v>362</v>
      </c>
      <c r="G502" s="30" t="s">
        <v>363</v>
      </c>
      <c r="H502" s="30" t="s">
        <v>129</v>
      </c>
      <c r="I502" s="29">
        <v>454545</v>
      </c>
      <c r="J502" s="29">
        <v>10</v>
      </c>
      <c r="K502" s="29">
        <v>45455</v>
      </c>
      <c r="L502" s="38"/>
      <c r="M502" s="39"/>
      <c r="N502" s="40"/>
      <c r="O502" s="35"/>
      <c r="P502" s="36"/>
      <c r="Q502" s="36"/>
      <c r="T502" s="36"/>
    </row>
    <row r="503" spans="1:20" s="37" customFormat="1" ht="18.75" customHeight="1">
      <c r="A503" s="29">
        <f t="shared" si="9"/>
        <v>485</v>
      </c>
      <c r="B503" s="30"/>
      <c r="C503" s="30" t="s">
        <v>93</v>
      </c>
      <c r="D503" s="30" t="s">
        <v>915</v>
      </c>
      <c r="E503" s="31">
        <v>42956</v>
      </c>
      <c r="F503" s="30" t="s">
        <v>49</v>
      </c>
      <c r="G503" s="30" t="s">
        <v>50</v>
      </c>
      <c r="H503" s="30" t="s">
        <v>864</v>
      </c>
      <c r="I503" s="29">
        <v>157760000</v>
      </c>
      <c r="J503" s="29">
        <v>10</v>
      </c>
      <c r="K503" s="29">
        <v>15776000</v>
      </c>
      <c r="L503" s="38" t="s">
        <v>52</v>
      </c>
      <c r="M503" s="39">
        <v>43028</v>
      </c>
      <c r="N503" s="40" t="s">
        <v>865</v>
      </c>
      <c r="O503" s="35"/>
      <c r="P503" s="36"/>
      <c r="Q503" s="36"/>
      <c r="T503" s="36"/>
    </row>
    <row r="504" spans="1:20" s="37" customFormat="1" ht="18.75" customHeight="1">
      <c r="A504" s="29">
        <f t="shared" si="9"/>
        <v>486</v>
      </c>
      <c r="B504" s="30"/>
      <c r="C504" s="30" t="s">
        <v>167</v>
      </c>
      <c r="D504" s="30" t="s">
        <v>916</v>
      </c>
      <c r="E504" s="31">
        <v>42956</v>
      </c>
      <c r="F504" s="30" t="s">
        <v>917</v>
      </c>
      <c r="G504" s="30" t="s">
        <v>918</v>
      </c>
      <c r="H504" s="30" t="s">
        <v>919</v>
      </c>
      <c r="I504" s="29">
        <v>13118990</v>
      </c>
      <c r="J504" s="29">
        <v>10</v>
      </c>
      <c r="K504" s="29">
        <v>1311899</v>
      </c>
      <c r="L504" s="38"/>
      <c r="M504" s="39"/>
      <c r="N504" s="40"/>
      <c r="O504" s="35"/>
      <c r="P504" s="36"/>
      <c r="Q504" s="36"/>
      <c r="T504" s="36"/>
    </row>
    <row r="505" spans="1:20" s="37" customFormat="1" ht="18.75" customHeight="1">
      <c r="A505" s="29">
        <f t="shared" si="9"/>
        <v>487</v>
      </c>
      <c r="B505" s="30"/>
      <c r="C505" s="30" t="s">
        <v>833</v>
      </c>
      <c r="D505" s="30" t="s">
        <v>920</v>
      </c>
      <c r="E505" s="31">
        <v>42956</v>
      </c>
      <c r="F505" s="30" t="s">
        <v>835</v>
      </c>
      <c r="G505" s="30" t="s">
        <v>836</v>
      </c>
      <c r="H505" s="30" t="s">
        <v>921</v>
      </c>
      <c r="I505" s="29">
        <v>689079</v>
      </c>
      <c r="J505" s="29">
        <v>10</v>
      </c>
      <c r="K505" s="29">
        <v>68908</v>
      </c>
      <c r="L505" s="38"/>
      <c r="M505" s="39"/>
      <c r="N505" s="40"/>
      <c r="O505" s="35"/>
      <c r="P505" s="36"/>
      <c r="Q505" s="36"/>
      <c r="T505" s="36"/>
    </row>
    <row r="506" spans="1:20" s="37" customFormat="1" ht="18.75" customHeight="1">
      <c r="A506" s="29">
        <f t="shared" si="9"/>
        <v>488</v>
      </c>
      <c r="B506" s="30"/>
      <c r="C506" s="30" t="s">
        <v>419</v>
      </c>
      <c r="D506" s="30" t="s">
        <v>922</v>
      </c>
      <c r="E506" s="31">
        <v>42957</v>
      </c>
      <c r="F506" s="30" t="s">
        <v>421</v>
      </c>
      <c r="G506" s="30" t="s">
        <v>422</v>
      </c>
      <c r="H506" s="30" t="s">
        <v>134</v>
      </c>
      <c r="I506" s="29">
        <v>901000</v>
      </c>
      <c r="J506" s="29">
        <v>10</v>
      </c>
      <c r="K506" s="29">
        <v>90100</v>
      </c>
      <c r="L506" s="38"/>
      <c r="M506" s="39"/>
      <c r="N506" s="40"/>
      <c r="O506" s="35"/>
      <c r="P506" s="36"/>
      <c r="Q506" s="36"/>
      <c r="T506" s="36"/>
    </row>
    <row r="507" spans="1:20" s="37" customFormat="1" ht="18.75" customHeight="1">
      <c r="A507" s="29">
        <f t="shared" si="9"/>
        <v>489</v>
      </c>
      <c r="B507" s="30"/>
      <c r="C507" s="30" t="s">
        <v>833</v>
      </c>
      <c r="D507" s="30" t="s">
        <v>923</v>
      </c>
      <c r="E507" s="31">
        <v>42957</v>
      </c>
      <c r="F507" s="30" t="s">
        <v>835</v>
      </c>
      <c r="G507" s="30" t="s">
        <v>836</v>
      </c>
      <c r="H507" s="30" t="s">
        <v>858</v>
      </c>
      <c r="I507" s="29">
        <v>273243</v>
      </c>
      <c r="J507" s="29">
        <v>10</v>
      </c>
      <c r="K507" s="29">
        <v>27326</v>
      </c>
      <c r="L507" s="38"/>
      <c r="M507" s="39"/>
      <c r="N507" s="40"/>
      <c r="O507" s="35"/>
      <c r="P507" s="36"/>
      <c r="Q507" s="36"/>
      <c r="T507" s="36"/>
    </row>
    <row r="508" spans="1:20" s="37" customFormat="1" ht="18.75" customHeight="1">
      <c r="A508" s="29">
        <f t="shared" si="9"/>
        <v>490</v>
      </c>
      <c r="B508" s="30"/>
      <c r="C508" s="30" t="s">
        <v>833</v>
      </c>
      <c r="D508" s="30" t="s">
        <v>924</v>
      </c>
      <c r="E508" s="31">
        <v>42957</v>
      </c>
      <c r="F508" s="30" t="s">
        <v>835</v>
      </c>
      <c r="G508" s="30" t="s">
        <v>836</v>
      </c>
      <c r="H508" s="30" t="s">
        <v>858</v>
      </c>
      <c r="I508" s="29">
        <v>341915</v>
      </c>
      <c r="J508" s="29">
        <v>10</v>
      </c>
      <c r="K508" s="29">
        <v>34192</v>
      </c>
      <c r="L508" s="38"/>
      <c r="M508" s="39"/>
      <c r="N508" s="40"/>
      <c r="O508" s="35"/>
      <c r="P508" s="36"/>
      <c r="Q508" s="36"/>
      <c r="T508" s="36"/>
    </row>
    <row r="509" spans="1:20" s="37" customFormat="1" ht="18.75" customHeight="1">
      <c r="A509" s="29">
        <f t="shared" si="9"/>
        <v>491</v>
      </c>
      <c r="B509" s="30"/>
      <c r="C509" s="30" t="s">
        <v>112</v>
      </c>
      <c r="D509" s="30" t="s">
        <v>925</v>
      </c>
      <c r="E509" s="31">
        <v>42957</v>
      </c>
      <c r="F509" s="30" t="s">
        <v>114</v>
      </c>
      <c r="G509" s="30" t="s">
        <v>115</v>
      </c>
      <c r="H509" s="30" t="s">
        <v>116</v>
      </c>
      <c r="I509" s="29">
        <v>10000</v>
      </c>
      <c r="J509" s="29">
        <v>10</v>
      </c>
      <c r="K509" s="29">
        <v>1000</v>
      </c>
      <c r="L509" s="38"/>
      <c r="M509" s="39"/>
      <c r="N509" s="40"/>
      <c r="O509" s="35"/>
      <c r="P509" s="36"/>
      <c r="Q509" s="36"/>
      <c r="T509" s="36"/>
    </row>
    <row r="510" spans="1:20" s="37" customFormat="1" ht="18.75" customHeight="1">
      <c r="A510" s="29">
        <f t="shared" si="9"/>
        <v>492</v>
      </c>
      <c r="B510" s="30"/>
      <c r="C510" s="30" t="s">
        <v>112</v>
      </c>
      <c r="D510" s="30" t="s">
        <v>926</v>
      </c>
      <c r="E510" s="31">
        <v>42957</v>
      </c>
      <c r="F510" s="30" t="s">
        <v>114</v>
      </c>
      <c r="G510" s="30" t="s">
        <v>115</v>
      </c>
      <c r="H510" s="30" t="s">
        <v>116</v>
      </c>
      <c r="I510" s="29">
        <v>10000</v>
      </c>
      <c r="J510" s="29">
        <v>10</v>
      </c>
      <c r="K510" s="29">
        <v>1000</v>
      </c>
      <c r="L510" s="38"/>
      <c r="M510" s="39"/>
      <c r="N510" s="40"/>
      <c r="O510" s="35"/>
      <c r="P510" s="36"/>
      <c r="Q510" s="36"/>
      <c r="T510" s="36"/>
    </row>
    <row r="511" spans="1:20" s="37" customFormat="1" ht="18.75" customHeight="1">
      <c r="A511" s="29">
        <f t="shared" si="9"/>
        <v>493</v>
      </c>
      <c r="B511" s="30"/>
      <c r="C511" s="30" t="s">
        <v>204</v>
      </c>
      <c r="D511" s="30" t="s">
        <v>927</v>
      </c>
      <c r="E511" s="31">
        <v>42958</v>
      </c>
      <c r="F511" s="30" t="s">
        <v>206</v>
      </c>
      <c r="G511" s="30" t="s">
        <v>207</v>
      </c>
      <c r="H511" s="30" t="s">
        <v>928</v>
      </c>
      <c r="I511" s="29">
        <v>344773649</v>
      </c>
      <c r="J511" s="29">
        <v>10</v>
      </c>
      <c r="K511" s="29">
        <v>34477365</v>
      </c>
      <c r="L511" s="38" t="s">
        <v>52</v>
      </c>
      <c r="M511" s="39">
        <v>42990</v>
      </c>
      <c r="N511" s="40" t="s">
        <v>865</v>
      </c>
      <c r="O511" s="35"/>
      <c r="P511" s="36"/>
      <c r="Q511" s="36"/>
      <c r="T511" s="36"/>
    </row>
    <row r="512" spans="1:20" s="37" customFormat="1" ht="18.75" customHeight="1">
      <c r="A512" s="29">
        <f t="shared" si="9"/>
        <v>494</v>
      </c>
      <c r="B512" s="30"/>
      <c r="C512" s="30" t="s">
        <v>892</v>
      </c>
      <c r="D512" s="30" t="s">
        <v>929</v>
      </c>
      <c r="E512" s="31">
        <v>42959</v>
      </c>
      <c r="F512" s="30" t="s">
        <v>930</v>
      </c>
      <c r="G512" s="30" t="s">
        <v>931</v>
      </c>
      <c r="H512" s="30" t="s">
        <v>932</v>
      </c>
      <c r="I512" s="29">
        <v>1087000</v>
      </c>
      <c r="J512" s="29">
        <v>10</v>
      </c>
      <c r="K512" s="29">
        <v>108700</v>
      </c>
      <c r="L512" s="38"/>
      <c r="M512" s="39"/>
      <c r="N512" s="40"/>
      <c r="O512" s="35"/>
      <c r="P512" s="36"/>
      <c r="Q512" s="36"/>
      <c r="T512" s="36"/>
    </row>
    <row r="513" spans="1:20" s="37" customFormat="1" ht="18.75" customHeight="1">
      <c r="A513" s="29">
        <f t="shared" si="9"/>
        <v>495</v>
      </c>
      <c r="B513" s="30"/>
      <c r="C513" s="30" t="s">
        <v>261</v>
      </c>
      <c r="D513" s="30" t="s">
        <v>933</v>
      </c>
      <c r="E513" s="31">
        <v>42961</v>
      </c>
      <c r="F513" s="30" t="s">
        <v>139</v>
      </c>
      <c r="G513" s="30" t="s">
        <v>140</v>
      </c>
      <c r="H513" s="30" t="s">
        <v>934</v>
      </c>
      <c r="I513" s="29">
        <v>560788</v>
      </c>
      <c r="J513" s="29">
        <v>10</v>
      </c>
      <c r="K513" s="29">
        <v>56079</v>
      </c>
      <c r="L513" s="38"/>
      <c r="M513" s="39"/>
      <c r="N513" s="40"/>
      <c r="O513" s="35"/>
      <c r="P513" s="36"/>
      <c r="Q513" s="36"/>
      <c r="T513" s="36"/>
    </row>
    <row r="514" spans="1:20" s="37" customFormat="1" ht="18.75" customHeight="1">
      <c r="A514" s="29">
        <f t="shared" si="9"/>
        <v>496</v>
      </c>
      <c r="B514" s="30"/>
      <c r="C514" s="30" t="s">
        <v>261</v>
      </c>
      <c r="D514" s="30" t="s">
        <v>935</v>
      </c>
      <c r="E514" s="31">
        <v>42961</v>
      </c>
      <c r="F514" s="30" t="s">
        <v>139</v>
      </c>
      <c r="G514" s="30" t="s">
        <v>140</v>
      </c>
      <c r="H514" s="30" t="s">
        <v>934</v>
      </c>
      <c r="I514" s="29">
        <v>735202</v>
      </c>
      <c r="J514" s="29">
        <v>10</v>
      </c>
      <c r="K514" s="29">
        <v>73520</v>
      </c>
      <c r="L514" s="38"/>
      <c r="M514" s="39"/>
      <c r="N514" s="40"/>
      <c r="O514" s="35"/>
      <c r="P514" s="36"/>
      <c r="Q514" s="36"/>
      <c r="T514" s="36"/>
    </row>
    <row r="515" spans="1:20" s="37" customFormat="1" ht="18.75" customHeight="1">
      <c r="A515" s="29">
        <f t="shared" si="9"/>
        <v>497</v>
      </c>
      <c r="B515" s="30"/>
      <c r="C515" s="30" t="s">
        <v>261</v>
      </c>
      <c r="D515" s="30" t="s">
        <v>936</v>
      </c>
      <c r="E515" s="31">
        <v>42961</v>
      </c>
      <c r="F515" s="30" t="s">
        <v>139</v>
      </c>
      <c r="G515" s="30" t="s">
        <v>140</v>
      </c>
      <c r="H515" s="30" t="s">
        <v>934</v>
      </c>
      <c r="I515" s="29">
        <v>379945</v>
      </c>
      <c r="J515" s="29">
        <v>10</v>
      </c>
      <c r="K515" s="29">
        <v>37995</v>
      </c>
      <c r="L515" s="38"/>
      <c r="M515" s="39"/>
      <c r="N515" s="40"/>
      <c r="O515" s="35"/>
      <c r="P515" s="36"/>
      <c r="Q515" s="36"/>
      <c r="T515" s="36"/>
    </row>
    <row r="516" spans="1:20" s="37" customFormat="1" ht="18.75" customHeight="1">
      <c r="A516" s="29">
        <f t="shared" si="9"/>
        <v>498</v>
      </c>
      <c r="B516" s="30"/>
      <c r="C516" s="30" t="s">
        <v>261</v>
      </c>
      <c r="D516" s="30" t="s">
        <v>937</v>
      </c>
      <c r="E516" s="31">
        <v>42961</v>
      </c>
      <c r="F516" s="30" t="s">
        <v>139</v>
      </c>
      <c r="G516" s="30" t="s">
        <v>140</v>
      </c>
      <c r="H516" s="30" t="s">
        <v>934</v>
      </c>
      <c r="I516" s="29">
        <v>534259</v>
      </c>
      <c r="J516" s="29">
        <v>10</v>
      </c>
      <c r="K516" s="29">
        <v>53426</v>
      </c>
      <c r="L516" s="38"/>
      <c r="M516" s="39"/>
      <c r="N516" s="40"/>
      <c r="O516" s="35"/>
      <c r="P516" s="36"/>
      <c r="Q516" s="36"/>
      <c r="T516" s="36"/>
    </row>
    <row r="517" spans="1:20" s="37" customFormat="1" ht="18.75" customHeight="1">
      <c r="A517" s="29">
        <f t="shared" ref="A517:A572" si="10">+A516+1</f>
        <v>499</v>
      </c>
      <c r="B517" s="30"/>
      <c r="C517" s="30" t="s">
        <v>444</v>
      </c>
      <c r="D517" s="30" t="s">
        <v>938</v>
      </c>
      <c r="E517" s="31">
        <v>42962</v>
      </c>
      <c r="F517" s="30" t="s">
        <v>638</v>
      </c>
      <c r="G517" s="30" t="s">
        <v>447</v>
      </c>
      <c r="H517" s="30" t="s">
        <v>939</v>
      </c>
      <c r="I517" s="29">
        <f>17750000+1775000/2</f>
        <v>18637500</v>
      </c>
      <c r="J517" s="29">
        <v>10</v>
      </c>
      <c r="K517" s="29">
        <f>1775000/2</f>
        <v>887500</v>
      </c>
      <c r="L517" s="38"/>
      <c r="M517" s="39"/>
      <c r="N517" s="40"/>
      <c r="O517" s="35"/>
      <c r="P517" s="36"/>
      <c r="Q517" s="36"/>
      <c r="T517" s="36"/>
    </row>
    <row r="518" spans="1:20" s="37" customFormat="1" ht="18.75" customHeight="1">
      <c r="A518" s="29">
        <f t="shared" si="10"/>
        <v>500</v>
      </c>
      <c r="B518" s="30"/>
      <c r="C518" s="30" t="s">
        <v>93</v>
      </c>
      <c r="D518" s="30" t="s">
        <v>940</v>
      </c>
      <c r="E518" s="31">
        <v>42962</v>
      </c>
      <c r="F518" s="30" t="s">
        <v>258</v>
      </c>
      <c r="G518" s="30" t="s">
        <v>259</v>
      </c>
      <c r="H518" s="30" t="s">
        <v>941</v>
      </c>
      <c r="I518" s="29">
        <v>61913700</v>
      </c>
      <c r="J518" s="29">
        <v>10</v>
      </c>
      <c r="K518" s="29">
        <v>6191370</v>
      </c>
      <c r="L518" s="38" t="s">
        <v>52</v>
      </c>
      <c r="M518" s="39">
        <v>42972</v>
      </c>
      <c r="N518" s="40" t="s">
        <v>865</v>
      </c>
      <c r="O518" s="35"/>
      <c r="P518" s="36"/>
      <c r="Q518" s="36"/>
      <c r="T518" s="36"/>
    </row>
    <row r="519" spans="1:20" s="37" customFormat="1" ht="18.75" customHeight="1">
      <c r="A519" s="29">
        <f t="shared" si="10"/>
        <v>501</v>
      </c>
      <c r="B519" s="30"/>
      <c r="C519" s="30" t="s">
        <v>130</v>
      </c>
      <c r="D519" s="30" t="s">
        <v>942</v>
      </c>
      <c r="E519" s="31">
        <v>42962</v>
      </c>
      <c r="F519" s="30" t="s">
        <v>333</v>
      </c>
      <c r="G519" s="30" t="s">
        <v>334</v>
      </c>
      <c r="H519" s="30" t="s">
        <v>134</v>
      </c>
      <c r="I519" s="29">
        <v>2825000</v>
      </c>
      <c r="J519" s="29">
        <v>10</v>
      </c>
      <c r="K519" s="29">
        <v>282500</v>
      </c>
      <c r="L519" s="38"/>
      <c r="M519" s="39"/>
      <c r="N519" s="40"/>
      <c r="O519" s="35"/>
      <c r="P519" s="36"/>
      <c r="Q519" s="36"/>
      <c r="T519" s="36"/>
    </row>
    <row r="520" spans="1:20" s="37" customFormat="1" ht="18.75" customHeight="1">
      <c r="A520" s="29">
        <f t="shared" si="10"/>
        <v>502</v>
      </c>
      <c r="B520" s="30"/>
      <c r="C520" s="30" t="s">
        <v>112</v>
      </c>
      <c r="D520" s="30" t="s">
        <v>943</v>
      </c>
      <c r="E520" s="31">
        <v>42962</v>
      </c>
      <c r="F520" s="30" t="s">
        <v>114</v>
      </c>
      <c r="G520" s="30" t="s">
        <v>115</v>
      </c>
      <c r="H520" s="30" t="s">
        <v>116</v>
      </c>
      <c r="I520" s="29">
        <v>10000</v>
      </c>
      <c r="J520" s="29">
        <v>10</v>
      </c>
      <c r="K520" s="29">
        <v>1000</v>
      </c>
      <c r="L520" s="38"/>
      <c r="M520" s="39"/>
      <c r="N520" s="40"/>
      <c r="O520" s="35"/>
      <c r="P520" s="36"/>
      <c r="Q520" s="36"/>
      <c r="T520" s="36"/>
    </row>
    <row r="521" spans="1:20" s="37" customFormat="1" ht="18.75" customHeight="1">
      <c r="A521" s="29">
        <f t="shared" si="10"/>
        <v>503</v>
      </c>
      <c r="B521" s="30"/>
      <c r="C521" s="30" t="s">
        <v>112</v>
      </c>
      <c r="D521" s="30" t="s">
        <v>944</v>
      </c>
      <c r="E521" s="31">
        <v>42962</v>
      </c>
      <c r="F521" s="30" t="s">
        <v>114</v>
      </c>
      <c r="G521" s="30" t="s">
        <v>115</v>
      </c>
      <c r="H521" s="30" t="s">
        <v>116</v>
      </c>
      <c r="I521" s="29">
        <v>10000</v>
      </c>
      <c r="J521" s="29">
        <v>10</v>
      </c>
      <c r="K521" s="29">
        <v>1000</v>
      </c>
      <c r="L521" s="38"/>
      <c r="M521" s="39"/>
      <c r="N521" s="40"/>
      <c r="O521" s="35"/>
      <c r="P521" s="36"/>
      <c r="Q521" s="36"/>
      <c r="T521" s="36"/>
    </row>
    <row r="522" spans="1:20" s="37" customFormat="1" ht="18.75" customHeight="1">
      <c r="A522" s="29">
        <f t="shared" si="10"/>
        <v>504</v>
      </c>
      <c r="B522" s="30"/>
      <c r="C522" s="30" t="s">
        <v>112</v>
      </c>
      <c r="D522" s="30" t="s">
        <v>945</v>
      </c>
      <c r="E522" s="31">
        <v>42962</v>
      </c>
      <c r="F522" s="30" t="s">
        <v>114</v>
      </c>
      <c r="G522" s="30" t="s">
        <v>115</v>
      </c>
      <c r="H522" s="30" t="s">
        <v>116</v>
      </c>
      <c r="I522" s="29">
        <v>10000</v>
      </c>
      <c r="J522" s="29">
        <v>10</v>
      </c>
      <c r="K522" s="29">
        <v>1000</v>
      </c>
      <c r="L522" s="38"/>
      <c r="M522" s="39"/>
      <c r="N522" s="40"/>
      <c r="O522" s="35"/>
      <c r="P522" s="36"/>
      <c r="Q522" s="36"/>
      <c r="T522" s="36"/>
    </row>
    <row r="523" spans="1:20" s="37" customFormat="1" ht="18.75" customHeight="1">
      <c r="A523" s="29">
        <f t="shared" si="10"/>
        <v>505</v>
      </c>
      <c r="B523" s="30"/>
      <c r="C523" s="30" t="s">
        <v>112</v>
      </c>
      <c r="D523" s="30" t="s">
        <v>946</v>
      </c>
      <c r="E523" s="31">
        <v>42962</v>
      </c>
      <c r="F523" s="30" t="s">
        <v>114</v>
      </c>
      <c r="G523" s="30" t="s">
        <v>115</v>
      </c>
      <c r="H523" s="30" t="s">
        <v>116</v>
      </c>
      <c r="I523" s="29">
        <v>10000</v>
      </c>
      <c r="J523" s="29">
        <v>10</v>
      </c>
      <c r="K523" s="29">
        <v>1000</v>
      </c>
      <c r="L523" s="38"/>
      <c r="M523" s="39"/>
      <c r="N523" s="40"/>
      <c r="O523" s="35"/>
      <c r="P523" s="36"/>
      <c r="Q523" s="36"/>
      <c r="T523" s="36"/>
    </row>
    <row r="524" spans="1:20" s="37" customFormat="1" ht="18.75" customHeight="1">
      <c r="A524" s="29">
        <f t="shared" si="10"/>
        <v>506</v>
      </c>
      <c r="B524" s="30"/>
      <c r="C524" s="30" t="s">
        <v>112</v>
      </c>
      <c r="D524" s="30" t="s">
        <v>947</v>
      </c>
      <c r="E524" s="31">
        <v>42962</v>
      </c>
      <c r="F524" s="30" t="s">
        <v>114</v>
      </c>
      <c r="G524" s="30" t="s">
        <v>115</v>
      </c>
      <c r="H524" s="30" t="s">
        <v>116</v>
      </c>
      <c r="I524" s="29">
        <v>10000</v>
      </c>
      <c r="J524" s="29">
        <v>10</v>
      </c>
      <c r="K524" s="29">
        <v>1000</v>
      </c>
      <c r="L524" s="38"/>
      <c r="M524" s="39"/>
      <c r="N524" s="40"/>
      <c r="O524" s="35"/>
      <c r="P524" s="36"/>
      <c r="Q524" s="36"/>
      <c r="T524" s="36"/>
    </row>
    <row r="525" spans="1:20" s="37" customFormat="1" ht="18.75" customHeight="1">
      <c r="A525" s="29">
        <f t="shared" si="10"/>
        <v>507</v>
      </c>
      <c r="B525" s="30"/>
      <c r="C525" s="30" t="s">
        <v>112</v>
      </c>
      <c r="D525" s="30" t="s">
        <v>948</v>
      </c>
      <c r="E525" s="31">
        <v>42962</v>
      </c>
      <c r="F525" s="30" t="s">
        <v>114</v>
      </c>
      <c r="G525" s="30" t="s">
        <v>115</v>
      </c>
      <c r="H525" s="30" t="s">
        <v>116</v>
      </c>
      <c r="I525" s="29">
        <v>20000</v>
      </c>
      <c r="J525" s="29">
        <v>10</v>
      </c>
      <c r="K525" s="29">
        <v>2000</v>
      </c>
      <c r="L525" s="38"/>
      <c r="M525" s="39"/>
      <c r="N525" s="40"/>
      <c r="O525" s="35"/>
      <c r="P525" s="36"/>
      <c r="Q525" s="36"/>
      <c r="T525" s="36"/>
    </row>
    <row r="526" spans="1:20" s="37" customFormat="1" ht="18.75" customHeight="1">
      <c r="A526" s="29">
        <f t="shared" si="10"/>
        <v>508</v>
      </c>
      <c r="B526" s="30"/>
      <c r="C526" s="30" t="s">
        <v>112</v>
      </c>
      <c r="D526" s="30" t="s">
        <v>949</v>
      </c>
      <c r="E526" s="31">
        <v>42962</v>
      </c>
      <c r="F526" s="30" t="s">
        <v>114</v>
      </c>
      <c r="G526" s="30" t="s">
        <v>115</v>
      </c>
      <c r="H526" s="30" t="s">
        <v>116</v>
      </c>
      <c r="I526" s="29">
        <v>20000</v>
      </c>
      <c r="J526" s="29">
        <v>10</v>
      </c>
      <c r="K526" s="29">
        <v>2000</v>
      </c>
      <c r="L526" s="38"/>
      <c r="M526" s="39"/>
      <c r="N526" s="40"/>
      <c r="O526" s="35"/>
      <c r="P526" s="36"/>
      <c r="Q526" s="36"/>
      <c r="T526" s="36"/>
    </row>
    <row r="527" spans="1:20" s="37" customFormat="1" ht="18.75" customHeight="1">
      <c r="A527" s="29">
        <f t="shared" si="10"/>
        <v>509</v>
      </c>
      <c r="B527" s="30"/>
      <c r="C527" s="30" t="s">
        <v>112</v>
      </c>
      <c r="D527" s="30" t="s">
        <v>950</v>
      </c>
      <c r="E527" s="31">
        <v>42962</v>
      </c>
      <c r="F527" s="30" t="s">
        <v>114</v>
      </c>
      <c r="G527" s="30" t="s">
        <v>115</v>
      </c>
      <c r="H527" s="30" t="s">
        <v>116</v>
      </c>
      <c r="I527" s="29">
        <v>20000</v>
      </c>
      <c r="J527" s="29">
        <v>10</v>
      </c>
      <c r="K527" s="29">
        <v>2000</v>
      </c>
      <c r="L527" s="38"/>
      <c r="M527" s="39"/>
      <c r="N527" s="40"/>
      <c r="O527" s="35"/>
      <c r="P527" s="36"/>
      <c r="Q527" s="36"/>
      <c r="T527" s="36"/>
    </row>
    <row r="528" spans="1:20" s="37" customFormat="1" ht="18.75" customHeight="1">
      <c r="A528" s="29">
        <f t="shared" si="10"/>
        <v>510</v>
      </c>
      <c r="B528" s="30"/>
      <c r="C528" s="30" t="s">
        <v>112</v>
      </c>
      <c r="D528" s="30" t="s">
        <v>951</v>
      </c>
      <c r="E528" s="31">
        <v>42962</v>
      </c>
      <c r="F528" s="30" t="s">
        <v>114</v>
      </c>
      <c r="G528" s="30" t="s">
        <v>115</v>
      </c>
      <c r="H528" s="30" t="s">
        <v>116</v>
      </c>
      <c r="I528" s="29">
        <v>20000</v>
      </c>
      <c r="J528" s="29">
        <v>10</v>
      </c>
      <c r="K528" s="29">
        <v>2000</v>
      </c>
      <c r="L528" s="38"/>
      <c r="M528" s="39"/>
      <c r="N528" s="40"/>
      <c r="O528" s="35"/>
      <c r="P528" s="36"/>
      <c r="Q528" s="36"/>
      <c r="T528" s="36"/>
    </row>
    <row r="529" spans="1:20" s="37" customFormat="1" ht="18.75" customHeight="1">
      <c r="A529" s="29">
        <f t="shared" si="10"/>
        <v>511</v>
      </c>
      <c r="B529" s="30"/>
      <c r="C529" s="30" t="s">
        <v>112</v>
      </c>
      <c r="D529" s="30" t="s">
        <v>952</v>
      </c>
      <c r="E529" s="31">
        <v>42962</v>
      </c>
      <c r="F529" s="30" t="s">
        <v>114</v>
      </c>
      <c r="G529" s="30" t="s">
        <v>115</v>
      </c>
      <c r="H529" s="30" t="s">
        <v>116</v>
      </c>
      <c r="I529" s="29">
        <v>20000</v>
      </c>
      <c r="J529" s="29">
        <v>10</v>
      </c>
      <c r="K529" s="29">
        <v>2000</v>
      </c>
      <c r="L529" s="38"/>
      <c r="M529" s="39"/>
      <c r="N529" s="40"/>
      <c r="O529" s="35"/>
      <c r="P529" s="36"/>
      <c r="Q529" s="36"/>
      <c r="T529" s="36"/>
    </row>
    <row r="530" spans="1:20" s="37" customFormat="1" ht="18.75" customHeight="1">
      <c r="A530" s="29">
        <f t="shared" si="10"/>
        <v>512</v>
      </c>
      <c r="B530" s="30"/>
      <c r="C530" s="30" t="s">
        <v>112</v>
      </c>
      <c r="D530" s="30" t="s">
        <v>953</v>
      </c>
      <c r="E530" s="31">
        <v>42962</v>
      </c>
      <c r="F530" s="30" t="s">
        <v>114</v>
      </c>
      <c r="G530" s="30" t="s">
        <v>115</v>
      </c>
      <c r="H530" s="30" t="s">
        <v>116</v>
      </c>
      <c r="I530" s="29">
        <v>20000</v>
      </c>
      <c r="J530" s="29">
        <v>10</v>
      </c>
      <c r="K530" s="29">
        <v>2000</v>
      </c>
      <c r="L530" s="38"/>
      <c r="M530" s="39"/>
      <c r="N530" s="40"/>
      <c r="O530" s="35"/>
      <c r="P530" s="36"/>
      <c r="Q530" s="36"/>
      <c r="T530" s="36"/>
    </row>
    <row r="531" spans="1:20" s="37" customFormat="1" ht="18.75" customHeight="1">
      <c r="A531" s="29">
        <f t="shared" si="10"/>
        <v>513</v>
      </c>
      <c r="B531" s="30"/>
      <c r="C531" s="30" t="s">
        <v>112</v>
      </c>
      <c r="D531" s="30" t="s">
        <v>954</v>
      </c>
      <c r="E531" s="31">
        <v>42962</v>
      </c>
      <c r="F531" s="30" t="s">
        <v>114</v>
      </c>
      <c r="G531" s="30" t="s">
        <v>115</v>
      </c>
      <c r="H531" s="30" t="s">
        <v>116</v>
      </c>
      <c r="I531" s="29">
        <v>20000</v>
      </c>
      <c r="J531" s="29">
        <v>10</v>
      </c>
      <c r="K531" s="29">
        <v>2000</v>
      </c>
      <c r="L531" s="38"/>
      <c r="M531" s="39"/>
      <c r="N531" s="40"/>
      <c r="O531" s="35"/>
      <c r="P531" s="36"/>
      <c r="Q531" s="36"/>
      <c r="T531" s="36"/>
    </row>
    <row r="532" spans="1:20" s="37" customFormat="1" ht="18.75" customHeight="1">
      <c r="A532" s="29">
        <f t="shared" si="10"/>
        <v>514</v>
      </c>
      <c r="B532" s="30"/>
      <c r="C532" s="30" t="s">
        <v>112</v>
      </c>
      <c r="D532" s="30" t="s">
        <v>955</v>
      </c>
      <c r="E532" s="31">
        <v>42962</v>
      </c>
      <c r="F532" s="30" t="s">
        <v>114</v>
      </c>
      <c r="G532" s="30" t="s">
        <v>115</v>
      </c>
      <c r="H532" s="30" t="s">
        <v>116</v>
      </c>
      <c r="I532" s="29">
        <v>20000</v>
      </c>
      <c r="J532" s="29">
        <v>10</v>
      </c>
      <c r="K532" s="29">
        <v>2000</v>
      </c>
      <c r="L532" s="38"/>
      <c r="M532" s="39"/>
      <c r="N532" s="40"/>
      <c r="O532" s="35"/>
      <c r="P532" s="36"/>
      <c r="Q532" s="36"/>
      <c r="T532" s="36"/>
    </row>
    <row r="533" spans="1:20" s="37" customFormat="1" ht="18.75" customHeight="1">
      <c r="A533" s="29">
        <f t="shared" si="10"/>
        <v>515</v>
      </c>
      <c r="B533" s="30"/>
      <c r="C533" s="30" t="s">
        <v>112</v>
      </c>
      <c r="D533" s="30" t="s">
        <v>956</v>
      </c>
      <c r="E533" s="31">
        <v>42962</v>
      </c>
      <c r="F533" s="30" t="s">
        <v>114</v>
      </c>
      <c r="G533" s="30" t="s">
        <v>115</v>
      </c>
      <c r="H533" s="30" t="s">
        <v>116</v>
      </c>
      <c r="I533" s="29">
        <v>20000</v>
      </c>
      <c r="J533" s="29">
        <v>10</v>
      </c>
      <c r="K533" s="29">
        <v>2000</v>
      </c>
      <c r="L533" s="38"/>
      <c r="M533" s="39"/>
      <c r="N533" s="40"/>
      <c r="O533" s="35"/>
      <c r="P533" s="36"/>
      <c r="Q533" s="36"/>
      <c r="T533" s="36"/>
    </row>
    <row r="534" spans="1:20" s="37" customFormat="1" ht="18.75" customHeight="1">
      <c r="A534" s="29">
        <f t="shared" si="10"/>
        <v>516</v>
      </c>
      <c r="B534" s="30"/>
      <c r="C534" s="30" t="s">
        <v>112</v>
      </c>
      <c r="D534" s="30" t="s">
        <v>957</v>
      </c>
      <c r="E534" s="31">
        <v>42962</v>
      </c>
      <c r="F534" s="30" t="s">
        <v>114</v>
      </c>
      <c r="G534" s="30" t="s">
        <v>115</v>
      </c>
      <c r="H534" s="30" t="s">
        <v>116</v>
      </c>
      <c r="I534" s="29">
        <v>10000</v>
      </c>
      <c r="J534" s="29">
        <v>10</v>
      </c>
      <c r="K534" s="29">
        <v>1000</v>
      </c>
      <c r="L534" s="38"/>
      <c r="M534" s="39"/>
      <c r="N534" s="40"/>
      <c r="O534" s="35"/>
      <c r="P534" s="36"/>
      <c r="Q534" s="36"/>
      <c r="T534" s="36"/>
    </row>
    <row r="535" spans="1:20" s="37" customFormat="1" ht="18.75" customHeight="1">
      <c r="A535" s="29">
        <f t="shared" si="10"/>
        <v>517</v>
      </c>
      <c r="B535" s="30"/>
      <c r="C535" s="30" t="s">
        <v>468</v>
      </c>
      <c r="D535" s="30" t="s">
        <v>958</v>
      </c>
      <c r="E535" s="31">
        <v>42963</v>
      </c>
      <c r="F535" s="30" t="s">
        <v>159</v>
      </c>
      <c r="G535" s="30" t="s">
        <v>160</v>
      </c>
      <c r="H535" s="30" t="s">
        <v>959</v>
      </c>
      <c r="I535" s="29">
        <v>9000000</v>
      </c>
      <c r="J535" s="29">
        <v>10</v>
      </c>
      <c r="K535" s="29">
        <v>900000</v>
      </c>
      <c r="L535" s="38"/>
      <c r="M535" s="39"/>
      <c r="N535" s="40"/>
      <c r="O535" s="35"/>
      <c r="P535" s="36"/>
      <c r="Q535" s="36"/>
      <c r="T535" s="36"/>
    </row>
    <row r="536" spans="1:20" s="37" customFormat="1" ht="18.75" customHeight="1">
      <c r="A536" s="29">
        <f t="shared" si="10"/>
        <v>518</v>
      </c>
      <c r="B536" s="30"/>
      <c r="C536" s="30" t="s">
        <v>960</v>
      </c>
      <c r="D536" s="30" t="s">
        <v>961</v>
      </c>
      <c r="E536" s="31">
        <v>42963</v>
      </c>
      <c r="F536" s="30" t="s">
        <v>305</v>
      </c>
      <c r="G536" s="30" t="s">
        <v>306</v>
      </c>
      <c r="H536" s="30" t="s">
        <v>307</v>
      </c>
      <c r="I536" s="29">
        <v>206954</v>
      </c>
      <c r="J536" s="29">
        <v>10</v>
      </c>
      <c r="K536" s="29">
        <v>20696</v>
      </c>
      <c r="L536" s="38"/>
      <c r="M536" s="39"/>
      <c r="N536" s="40"/>
      <c r="O536" s="35"/>
      <c r="P536" s="36"/>
      <c r="Q536" s="36"/>
      <c r="T536" s="36"/>
    </row>
    <row r="537" spans="1:20" s="37" customFormat="1" ht="18.75" customHeight="1">
      <c r="A537" s="29">
        <f t="shared" si="10"/>
        <v>519</v>
      </c>
      <c r="B537" s="30"/>
      <c r="C537" s="30" t="s">
        <v>119</v>
      </c>
      <c r="D537" s="30" t="s">
        <v>962</v>
      </c>
      <c r="E537" s="31">
        <v>42964</v>
      </c>
      <c r="F537" s="30" t="s">
        <v>121</v>
      </c>
      <c r="G537" s="30" t="s">
        <v>122</v>
      </c>
      <c r="H537" s="30" t="s">
        <v>963</v>
      </c>
      <c r="I537" s="29">
        <v>304811821</v>
      </c>
      <c r="J537" s="29">
        <v>10</v>
      </c>
      <c r="K537" s="29">
        <v>30481182</v>
      </c>
      <c r="L537" s="38" t="s">
        <v>52</v>
      </c>
      <c r="M537" s="39">
        <v>42990</v>
      </c>
      <c r="N537" s="40" t="s">
        <v>865</v>
      </c>
      <c r="O537" s="35"/>
      <c r="P537" s="36"/>
      <c r="Q537" s="36"/>
      <c r="T537" s="36"/>
    </row>
    <row r="538" spans="1:20" s="37" customFormat="1" ht="18.75" customHeight="1">
      <c r="A538" s="29">
        <f t="shared" si="10"/>
        <v>520</v>
      </c>
      <c r="B538" s="30"/>
      <c r="C538" s="30" t="s">
        <v>93</v>
      </c>
      <c r="D538" s="30" t="s">
        <v>964</v>
      </c>
      <c r="E538" s="31">
        <v>42964</v>
      </c>
      <c r="F538" s="30" t="s">
        <v>336</v>
      </c>
      <c r="G538" s="30" t="s">
        <v>337</v>
      </c>
      <c r="H538" s="30" t="s">
        <v>338</v>
      </c>
      <c r="I538" s="29">
        <v>92147330</v>
      </c>
      <c r="J538" s="29">
        <v>10</v>
      </c>
      <c r="K538" s="29">
        <v>9214733</v>
      </c>
      <c r="L538" s="38" t="s">
        <v>52</v>
      </c>
      <c r="M538" s="39">
        <v>42990</v>
      </c>
      <c r="N538" s="40" t="s">
        <v>865</v>
      </c>
      <c r="O538" s="35"/>
      <c r="P538" s="36"/>
      <c r="Q538" s="36"/>
      <c r="T538" s="36"/>
    </row>
    <row r="539" spans="1:20" s="37" customFormat="1" ht="18.75" customHeight="1">
      <c r="A539" s="29">
        <f t="shared" si="10"/>
        <v>521</v>
      </c>
      <c r="B539" s="30"/>
      <c r="C539" s="30" t="s">
        <v>965</v>
      </c>
      <c r="D539" s="30" t="s">
        <v>966</v>
      </c>
      <c r="E539" s="31">
        <v>42964</v>
      </c>
      <c r="F539" s="30" t="s">
        <v>967</v>
      </c>
      <c r="G539" s="30" t="s">
        <v>968</v>
      </c>
      <c r="H539" s="30" t="s">
        <v>134</v>
      </c>
      <c r="I539" s="29">
        <v>11048182</v>
      </c>
      <c r="J539" s="29">
        <v>10</v>
      </c>
      <c r="K539" s="29">
        <v>1104818</v>
      </c>
      <c r="L539" s="38"/>
      <c r="M539" s="39"/>
      <c r="N539" s="40"/>
      <c r="O539" s="35"/>
      <c r="P539" s="36"/>
      <c r="Q539" s="36"/>
      <c r="T539" s="36"/>
    </row>
    <row r="540" spans="1:20" s="37" customFormat="1" ht="18.75" customHeight="1">
      <c r="A540" s="29">
        <f t="shared" si="10"/>
        <v>522</v>
      </c>
      <c r="B540" s="30"/>
      <c r="C540" s="30" t="s">
        <v>502</v>
      </c>
      <c r="D540" s="30" t="s">
        <v>969</v>
      </c>
      <c r="E540" s="31">
        <v>42964</v>
      </c>
      <c r="F540" s="30" t="s">
        <v>362</v>
      </c>
      <c r="G540" s="30" t="s">
        <v>363</v>
      </c>
      <c r="H540" s="30" t="s">
        <v>129</v>
      </c>
      <c r="I540" s="29">
        <v>454545</v>
      </c>
      <c r="J540" s="29">
        <v>10</v>
      </c>
      <c r="K540" s="29">
        <v>45455</v>
      </c>
      <c r="L540" s="38"/>
      <c r="M540" s="39"/>
      <c r="N540" s="40"/>
      <c r="O540" s="35"/>
      <c r="P540" s="36"/>
      <c r="Q540" s="36"/>
      <c r="T540" s="36"/>
    </row>
    <row r="541" spans="1:20" s="37" customFormat="1" ht="18.75" customHeight="1">
      <c r="A541" s="29">
        <f t="shared" si="10"/>
        <v>523</v>
      </c>
      <c r="B541" s="30"/>
      <c r="C541" s="30" t="s">
        <v>93</v>
      </c>
      <c r="D541" s="30" t="s">
        <v>236</v>
      </c>
      <c r="E541" s="31">
        <v>42965</v>
      </c>
      <c r="F541" s="30" t="s">
        <v>49</v>
      </c>
      <c r="G541" s="30" t="s">
        <v>50</v>
      </c>
      <c r="H541" s="30" t="s">
        <v>864</v>
      </c>
      <c r="I541" s="29">
        <v>126600000</v>
      </c>
      <c r="J541" s="29">
        <v>10</v>
      </c>
      <c r="K541" s="29">
        <v>12660000</v>
      </c>
      <c r="L541" s="38" t="s">
        <v>52</v>
      </c>
      <c r="M541" s="39">
        <v>43028</v>
      </c>
      <c r="N541" s="40" t="s">
        <v>865</v>
      </c>
      <c r="O541" s="35"/>
      <c r="P541" s="36"/>
      <c r="Q541" s="36"/>
      <c r="T541" s="36"/>
    </row>
    <row r="542" spans="1:20" s="37" customFormat="1" ht="18.75" customHeight="1">
      <c r="A542" s="29">
        <f t="shared" si="10"/>
        <v>524</v>
      </c>
      <c r="B542" s="30"/>
      <c r="C542" s="30" t="s">
        <v>965</v>
      </c>
      <c r="D542" s="30" t="s">
        <v>970</v>
      </c>
      <c r="E542" s="31">
        <v>42965</v>
      </c>
      <c r="F542" s="30" t="s">
        <v>967</v>
      </c>
      <c r="G542" s="30" t="s">
        <v>968</v>
      </c>
      <c r="H542" s="30" t="s">
        <v>134</v>
      </c>
      <c r="I542" s="29">
        <v>10004545</v>
      </c>
      <c r="J542" s="29">
        <v>10</v>
      </c>
      <c r="K542" s="29">
        <v>1000455</v>
      </c>
      <c r="L542" s="38"/>
      <c r="M542" s="39"/>
      <c r="N542" s="40"/>
      <c r="O542" s="35"/>
      <c r="P542" s="36"/>
      <c r="Q542" s="36"/>
      <c r="T542" s="36"/>
    </row>
    <row r="543" spans="1:20" s="37" customFormat="1" ht="18.75" customHeight="1">
      <c r="A543" s="29">
        <f t="shared" si="10"/>
        <v>525</v>
      </c>
      <c r="B543" s="30"/>
      <c r="C543" s="30" t="s">
        <v>95</v>
      </c>
      <c r="D543" s="30" t="s">
        <v>971</v>
      </c>
      <c r="E543" s="31">
        <v>42966</v>
      </c>
      <c r="F543" s="30" t="s">
        <v>97</v>
      </c>
      <c r="G543" s="30" t="s">
        <v>98</v>
      </c>
      <c r="H543" s="30" t="s">
        <v>99</v>
      </c>
      <c r="I543" s="29">
        <v>43200000</v>
      </c>
      <c r="J543" s="29">
        <v>10</v>
      </c>
      <c r="K543" s="29">
        <v>4320000</v>
      </c>
      <c r="L543" s="38" t="s">
        <v>52</v>
      </c>
      <c r="M543" s="39">
        <v>42972</v>
      </c>
      <c r="N543" s="40" t="s">
        <v>865</v>
      </c>
      <c r="O543" s="35"/>
      <c r="P543" s="36"/>
      <c r="Q543" s="36"/>
      <c r="T543" s="36"/>
    </row>
    <row r="544" spans="1:20" s="37" customFormat="1" ht="18.75" customHeight="1">
      <c r="A544" s="29">
        <f t="shared" si="10"/>
        <v>526</v>
      </c>
      <c r="B544" s="30"/>
      <c r="C544" s="30" t="s">
        <v>502</v>
      </c>
      <c r="D544" s="30" t="s">
        <v>972</v>
      </c>
      <c r="E544" s="31">
        <v>42967</v>
      </c>
      <c r="F544" s="30" t="s">
        <v>666</v>
      </c>
      <c r="G544" s="30" t="s">
        <v>363</v>
      </c>
      <c r="H544" s="30" t="s">
        <v>129</v>
      </c>
      <c r="I544" s="29">
        <v>2507273</v>
      </c>
      <c r="J544" s="29">
        <v>10</v>
      </c>
      <c r="K544" s="29">
        <v>250727</v>
      </c>
      <c r="L544" s="38"/>
      <c r="M544" s="39"/>
      <c r="N544" s="40"/>
      <c r="O544" s="35"/>
      <c r="P544" s="36"/>
      <c r="Q544" s="36"/>
      <c r="T544" s="36"/>
    </row>
    <row r="545" spans="1:20" s="37" customFormat="1" ht="18.75" customHeight="1">
      <c r="A545" s="29">
        <f t="shared" si="10"/>
        <v>527</v>
      </c>
      <c r="B545" s="30"/>
      <c r="C545" s="30" t="s">
        <v>93</v>
      </c>
      <c r="D545" s="30" t="s">
        <v>973</v>
      </c>
      <c r="E545" s="31">
        <v>42969</v>
      </c>
      <c r="F545" s="30" t="s">
        <v>49</v>
      </c>
      <c r="G545" s="30" t="s">
        <v>50</v>
      </c>
      <c r="H545" s="30" t="s">
        <v>864</v>
      </c>
      <c r="I545" s="29">
        <v>188480000</v>
      </c>
      <c r="J545" s="29">
        <v>10</v>
      </c>
      <c r="K545" s="29">
        <v>18848000</v>
      </c>
      <c r="L545" s="38" t="s">
        <v>52</v>
      </c>
      <c r="M545" s="39">
        <v>42990</v>
      </c>
      <c r="N545" s="40" t="s">
        <v>865</v>
      </c>
      <c r="O545" s="35"/>
      <c r="P545" s="36"/>
      <c r="Q545" s="36"/>
      <c r="T545" s="36"/>
    </row>
    <row r="546" spans="1:20" s="37" customFormat="1" ht="18.75" customHeight="1">
      <c r="A546" s="29">
        <f t="shared" si="10"/>
        <v>528</v>
      </c>
      <c r="B546" s="30"/>
      <c r="C546" s="30" t="s">
        <v>100</v>
      </c>
      <c r="D546" s="30" t="s">
        <v>974</v>
      </c>
      <c r="E546" s="31">
        <v>42970</v>
      </c>
      <c r="F546" s="30" t="s">
        <v>102</v>
      </c>
      <c r="G546" s="30" t="s">
        <v>103</v>
      </c>
      <c r="H546" s="30" t="s">
        <v>377</v>
      </c>
      <c r="I546" s="29">
        <v>27940000</v>
      </c>
      <c r="J546" s="29">
        <v>10</v>
      </c>
      <c r="K546" s="29">
        <v>2794000</v>
      </c>
      <c r="L546" s="38" t="s">
        <v>52</v>
      </c>
      <c r="M546" s="39">
        <v>42998</v>
      </c>
      <c r="N546" s="40" t="s">
        <v>865</v>
      </c>
      <c r="O546" s="35"/>
      <c r="P546" s="36"/>
      <c r="Q546" s="36"/>
      <c r="T546" s="36"/>
    </row>
    <row r="547" spans="1:20" s="37" customFormat="1" ht="18.75" customHeight="1">
      <c r="A547" s="29">
        <f t="shared" si="10"/>
        <v>529</v>
      </c>
      <c r="B547" s="30"/>
      <c r="C547" s="30" t="s">
        <v>502</v>
      </c>
      <c r="D547" s="30" t="s">
        <v>975</v>
      </c>
      <c r="E547" s="31">
        <v>42970</v>
      </c>
      <c r="F547" s="30" t="s">
        <v>362</v>
      </c>
      <c r="G547" s="30" t="s">
        <v>363</v>
      </c>
      <c r="H547" s="30" t="s">
        <v>129</v>
      </c>
      <c r="I547" s="29">
        <v>454545</v>
      </c>
      <c r="J547" s="29">
        <v>10</v>
      </c>
      <c r="K547" s="29">
        <v>45455</v>
      </c>
      <c r="L547" s="38"/>
      <c r="M547" s="39"/>
      <c r="N547" s="40"/>
      <c r="O547" s="35"/>
      <c r="P547" s="36"/>
      <c r="Q547" s="36"/>
      <c r="T547" s="36"/>
    </row>
    <row r="548" spans="1:20" s="37" customFormat="1" ht="18.75" customHeight="1">
      <c r="A548" s="29">
        <f t="shared" si="10"/>
        <v>530</v>
      </c>
      <c r="B548" s="30"/>
      <c r="C548" s="30" t="s">
        <v>226</v>
      </c>
      <c r="D548" s="30" t="s">
        <v>976</v>
      </c>
      <c r="E548" s="31">
        <v>42972</v>
      </c>
      <c r="F548" s="30" t="s">
        <v>228</v>
      </c>
      <c r="G548" s="30" t="s">
        <v>229</v>
      </c>
      <c r="H548" s="30" t="s">
        <v>977</v>
      </c>
      <c r="I548" s="29">
        <v>11770000</v>
      </c>
      <c r="J548" s="29">
        <v>10</v>
      </c>
      <c r="K548" s="29">
        <v>1177000</v>
      </c>
      <c r="L548" s="38"/>
      <c r="M548" s="39"/>
      <c r="N548" s="40"/>
      <c r="O548" s="35"/>
      <c r="P548" s="36"/>
      <c r="Q548" s="36"/>
      <c r="T548" s="36"/>
    </row>
    <row r="549" spans="1:20" s="37" customFormat="1" ht="18.75" customHeight="1">
      <c r="A549" s="29">
        <f t="shared" si="10"/>
        <v>531</v>
      </c>
      <c r="B549" s="30"/>
      <c r="C549" s="30" t="s">
        <v>112</v>
      </c>
      <c r="D549" s="30" t="s">
        <v>978</v>
      </c>
      <c r="E549" s="31">
        <v>42972</v>
      </c>
      <c r="F549" s="30" t="s">
        <v>114</v>
      </c>
      <c r="G549" s="30" t="s">
        <v>115</v>
      </c>
      <c r="H549" s="30" t="s">
        <v>116</v>
      </c>
      <c r="I549" s="29">
        <v>20000</v>
      </c>
      <c r="J549" s="29">
        <v>10</v>
      </c>
      <c r="K549" s="29">
        <v>2000</v>
      </c>
      <c r="L549" s="38"/>
      <c r="M549" s="39"/>
      <c r="N549" s="40"/>
      <c r="O549" s="35"/>
      <c r="P549" s="36"/>
      <c r="Q549" s="36"/>
      <c r="T549" s="36"/>
    </row>
    <row r="550" spans="1:20" s="37" customFormat="1" ht="18.75" customHeight="1">
      <c r="A550" s="29">
        <f t="shared" si="10"/>
        <v>532</v>
      </c>
      <c r="B550" s="30"/>
      <c r="C550" s="30" t="s">
        <v>112</v>
      </c>
      <c r="D550" s="30" t="s">
        <v>979</v>
      </c>
      <c r="E550" s="31">
        <v>42972</v>
      </c>
      <c r="F550" s="30" t="s">
        <v>114</v>
      </c>
      <c r="G550" s="30" t="s">
        <v>115</v>
      </c>
      <c r="H550" s="30" t="s">
        <v>116</v>
      </c>
      <c r="I550" s="29">
        <v>20000</v>
      </c>
      <c r="J550" s="29">
        <v>10</v>
      </c>
      <c r="K550" s="29">
        <v>2000</v>
      </c>
      <c r="L550" s="38"/>
      <c r="M550" s="39"/>
      <c r="N550" s="40"/>
      <c r="O550" s="35"/>
      <c r="P550" s="36"/>
      <c r="Q550" s="36"/>
      <c r="T550" s="36"/>
    </row>
    <row r="551" spans="1:20" s="37" customFormat="1" ht="18.75" customHeight="1">
      <c r="A551" s="29">
        <f t="shared" si="10"/>
        <v>533</v>
      </c>
      <c r="B551" s="30"/>
      <c r="C551" s="30" t="s">
        <v>112</v>
      </c>
      <c r="D551" s="30" t="s">
        <v>980</v>
      </c>
      <c r="E551" s="31">
        <v>42972</v>
      </c>
      <c r="F551" s="30" t="s">
        <v>114</v>
      </c>
      <c r="G551" s="30" t="s">
        <v>115</v>
      </c>
      <c r="H551" s="30" t="s">
        <v>116</v>
      </c>
      <c r="I551" s="29">
        <v>20000</v>
      </c>
      <c r="J551" s="29">
        <v>10</v>
      </c>
      <c r="K551" s="29">
        <v>2000</v>
      </c>
      <c r="L551" s="38"/>
      <c r="M551" s="39"/>
      <c r="N551" s="40"/>
      <c r="O551" s="35"/>
      <c r="P551" s="36"/>
      <c r="Q551" s="36"/>
      <c r="T551" s="36"/>
    </row>
    <row r="552" spans="1:20" s="37" customFormat="1" ht="18.75" customHeight="1">
      <c r="A552" s="29">
        <f t="shared" si="10"/>
        <v>534</v>
      </c>
      <c r="B552" s="30"/>
      <c r="C552" s="30" t="s">
        <v>112</v>
      </c>
      <c r="D552" s="30" t="s">
        <v>981</v>
      </c>
      <c r="E552" s="31">
        <v>42972</v>
      </c>
      <c r="F552" s="30" t="s">
        <v>114</v>
      </c>
      <c r="G552" s="30" t="s">
        <v>115</v>
      </c>
      <c r="H552" s="30" t="s">
        <v>116</v>
      </c>
      <c r="I552" s="29">
        <v>20000</v>
      </c>
      <c r="J552" s="29">
        <v>10</v>
      </c>
      <c r="K552" s="29">
        <v>2000</v>
      </c>
      <c r="L552" s="38"/>
      <c r="M552" s="39"/>
      <c r="N552" s="40"/>
      <c r="O552" s="35"/>
      <c r="P552" s="36"/>
      <c r="Q552" s="36"/>
      <c r="T552" s="36"/>
    </row>
    <row r="553" spans="1:20" s="37" customFormat="1" ht="18.75" customHeight="1">
      <c r="A553" s="29">
        <f t="shared" si="10"/>
        <v>535</v>
      </c>
      <c r="B553" s="30"/>
      <c r="C553" s="30" t="s">
        <v>112</v>
      </c>
      <c r="D553" s="30" t="s">
        <v>982</v>
      </c>
      <c r="E553" s="31">
        <v>42972</v>
      </c>
      <c r="F553" s="30" t="s">
        <v>114</v>
      </c>
      <c r="G553" s="30" t="s">
        <v>115</v>
      </c>
      <c r="H553" s="30" t="s">
        <v>116</v>
      </c>
      <c r="I553" s="29">
        <v>20000</v>
      </c>
      <c r="J553" s="29">
        <v>10</v>
      </c>
      <c r="K553" s="29">
        <v>2000</v>
      </c>
      <c r="L553" s="38"/>
      <c r="M553" s="39"/>
      <c r="N553" s="40"/>
      <c r="O553" s="35"/>
      <c r="P553" s="36"/>
      <c r="Q553" s="36"/>
      <c r="T553" s="36"/>
    </row>
    <row r="554" spans="1:20" s="37" customFormat="1" ht="18.75" customHeight="1">
      <c r="A554" s="29">
        <f t="shared" si="10"/>
        <v>536</v>
      </c>
      <c r="B554" s="30"/>
      <c r="C554" s="30" t="s">
        <v>226</v>
      </c>
      <c r="D554" s="30" t="s">
        <v>983</v>
      </c>
      <c r="E554" s="31">
        <v>42973</v>
      </c>
      <c r="F554" s="30" t="s">
        <v>228</v>
      </c>
      <c r="G554" s="30" t="s">
        <v>229</v>
      </c>
      <c r="H554" s="30" t="s">
        <v>984</v>
      </c>
      <c r="I554" s="29">
        <v>5200000</v>
      </c>
      <c r="J554" s="29">
        <v>10</v>
      </c>
      <c r="K554" s="29">
        <v>520000</v>
      </c>
      <c r="L554" s="38"/>
      <c r="M554" s="39"/>
      <c r="N554" s="40"/>
      <c r="O554" s="35"/>
      <c r="P554" s="36"/>
      <c r="Q554" s="36"/>
      <c r="T554" s="36"/>
    </row>
    <row r="555" spans="1:20" s="37" customFormat="1" ht="18.75" customHeight="1">
      <c r="A555" s="29">
        <f t="shared" si="10"/>
        <v>537</v>
      </c>
      <c r="B555" s="30"/>
      <c r="C555" s="30" t="s">
        <v>93</v>
      </c>
      <c r="D555" s="30" t="s">
        <v>985</v>
      </c>
      <c r="E555" s="31">
        <v>42973</v>
      </c>
      <c r="F555" s="30" t="s">
        <v>49</v>
      </c>
      <c r="G555" s="30" t="s">
        <v>50</v>
      </c>
      <c r="H555" s="30" t="s">
        <v>864</v>
      </c>
      <c r="I555" s="29">
        <v>131120000</v>
      </c>
      <c r="J555" s="29">
        <v>10</v>
      </c>
      <c r="K555" s="29">
        <v>13112000</v>
      </c>
      <c r="L555" s="38" t="s">
        <v>52</v>
      </c>
      <c r="M555" s="39">
        <v>43028</v>
      </c>
      <c r="N555" s="40" t="s">
        <v>865</v>
      </c>
      <c r="O555" s="35"/>
      <c r="P555" s="36"/>
      <c r="Q555" s="36"/>
      <c r="T555" s="36"/>
    </row>
    <row r="556" spans="1:20" s="37" customFormat="1" ht="18.75" customHeight="1">
      <c r="A556" s="29">
        <f t="shared" si="10"/>
        <v>538</v>
      </c>
      <c r="B556" s="30"/>
      <c r="C556" s="30" t="s">
        <v>502</v>
      </c>
      <c r="D556" s="30" t="s">
        <v>986</v>
      </c>
      <c r="E556" s="31">
        <v>42973</v>
      </c>
      <c r="F556" s="30" t="s">
        <v>362</v>
      </c>
      <c r="G556" s="30" t="s">
        <v>363</v>
      </c>
      <c r="H556" s="30" t="s">
        <v>129</v>
      </c>
      <c r="I556" s="29">
        <v>454545</v>
      </c>
      <c r="J556" s="29">
        <v>10</v>
      </c>
      <c r="K556" s="29">
        <v>45455</v>
      </c>
      <c r="L556" s="38"/>
      <c r="M556" s="39"/>
      <c r="N556" s="40"/>
      <c r="O556" s="35"/>
      <c r="P556" s="36"/>
      <c r="Q556" s="36"/>
      <c r="T556" s="36"/>
    </row>
    <row r="557" spans="1:20" s="37" customFormat="1" ht="18.75" customHeight="1">
      <c r="A557" s="29">
        <f t="shared" si="10"/>
        <v>539</v>
      </c>
      <c r="B557" s="30"/>
      <c r="C557" s="30" t="s">
        <v>162</v>
      </c>
      <c r="D557" s="30" t="s">
        <v>987</v>
      </c>
      <c r="E557" s="31">
        <v>42975</v>
      </c>
      <c r="F557" s="30" t="s">
        <v>164</v>
      </c>
      <c r="G557" s="30" t="s">
        <v>165</v>
      </c>
      <c r="H557" s="30" t="s">
        <v>166</v>
      </c>
      <c r="I557" s="29">
        <v>20573859</v>
      </c>
      <c r="J557" s="29">
        <v>10</v>
      </c>
      <c r="K557" s="29">
        <v>2057386</v>
      </c>
      <c r="L557" s="38" t="s">
        <v>52</v>
      </c>
      <c r="M557" s="39">
        <v>42998</v>
      </c>
      <c r="N557" s="40" t="s">
        <v>865</v>
      </c>
      <c r="O557" s="35"/>
      <c r="P557" s="36"/>
      <c r="Q557" s="36"/>
      <c r="T557" s="36"/>
    </row>
    <row r="558" spans="1:20" s="37" customFormat="1" ht="18.75" customHeight="1">
      <c r="A558" s="29">
        <f t="shared" si="10"/>
        <v>540</v>
      </c>
      <c r="B558" s="30"/>
      <c r="C558" s="30" t="s">
        <v>988</v>
      </c>
      <c r="D558" s="30" t="s">
        <v>989</v>
      </c>
      <c r="E558" s="31">
        <v>42976</v>
      </c>
      <c r="F558" s="30" t="s">
        <v>990</v>
      </c>
      <c r="G558" s="30" t="s">
        <v>991</v>
      </c>
      <c r="H558" s="30" t="s">
        <v>992</v>
      </c>
      <c r="I558" s="29">
        <v>11665000</v>
      </c>
      <c r="J558" s="29">
        <v>10</v>
      </c>
      <c r="K558" s="29">
        <v>1166500</v>
      </c>
      <c r="L558" s="38"/>
      <c r="M558" s="39"/>
      <c r="N558" s="40"/>
      <c r="O558" s="35"/>
      <c r="P558" s="36"/>
      <c r="Q558" s="36"/>
      <c r="T558" s="36"/>
    </row>
    <row r="559" spans="1:20" s="37" customFormat="1" ht="18.75" customHeight="1">
      <c r="A559" s="29">
        <f t="shared" si="10"/>
        <v>541</v>
      </c>
      <c r="B559" s="30"/>
      <c r="C559" s="30" t="s">
        <v>231</v>
      </c>
      <c r="D559" s="30" t="s">
        <v>993</v>
      </c>
      <c r="E559" s="31">
        <v>42977</v>
      </c>
      <c r="F559" s="30" t="s">
        <v>233</v>
      </c>
      <c r="G559" s="30" t="s">
        <v>234</v>
      </c>
      <c r="H559" s="30" t="s">
        <v>235</v>
      </c>
      <c r="I559" s="29">
        <v>72703700</v>
      </c>
      <c r="J559" s="29">
        <v>10</v>
      </c>
      <c r="K559" s="29">
        <v>7270370</v>
      </c>
      <c r="L559" s="38" t="s">
        <v>52</v>
      </c>
      <c r="M559" s="39">
        <v>43012</v>
      </c>
      <c r="N559" s="40" t="s">
        <v>865</v>
      </c>
      <c r="O559" s="35"/>
      <c r="P559" s="36"/>
      <c r="Q559" s="36"/>
      <c r="T559" s="36"/>
    </row>
    <row r="560" spans="1:20" s="37" customFormat="1" ht="18.75" customHeight="1">
      <c r="A560" s="29">
        <f t="shared" si="10"/>
        <v>542</v>
      </c>
      <c r="B560" s="30"/>
      <c r="C560" s="30" t="s">
        <v>231</v>
      </c>
      <c r="D560" s="30" t="s">
        <v>994</v>
      </c>
      <c r="E560" s="31">
        <v>42977</v>
      </c>
      <c r="F560" s="30" t="s">
        <v>233</v>
      </c>
      <c r="G560" s="30" t="s">
        <v>234</v>
      </c>
      <c r="H560" s="30" t="s">
        <v>235</v>
      </c>
      <c r="I560" s="29">
        <v>67134200</v>
      </c>
      <c r="J560" s="29">
        <v>10</v>
      </c>
      <c r="K560" s="29">
        <v>6713420</v>
      </c>
      <c r="L560" s="38" t="s">
        <v>52</v>
      </c>
      <c r="M560" s="39">
        <v>43012</v>
      </c>
      <c r="N560" s="40" t="s">
        <v>865</v>
      </c>
      <c r="O560" s="35"/>
      <c r="P560" s="36"/>
      <c r="Q560" s="36"/>
      <c r="T560" s="36"/>
    </row>
    <row r="561" spans="1:255" s="37" customFormat="1" ht="18.75" customHeight="1">
      <c r="A561" s="29">
        <f t="shared" si="10"/>
        <v>543</v>
      </c>
      <c r="B561" s="30"/>
      <c r="C561" s="30" t="s">
        <v>231</v>
      </c>
      <c r="D561" s="30" t="s">
        <v>995</v>
      </c>
      <c r="E561" s="31">
        <v>42977</v>
      </c>
      <c r="F561" s="30" t="s">
        <v>233</v>
      </c>
      <c r="G561" s="30" t="s">
        <v>234</v>
      </c>
      <c r="H561" s="30" t="s">
        <v>235</v>
      </c>
      <c r="I561" s="29">
        <v>59698200</v>
      </c>
      <c r="J561" s="29">
        <v>10</v>
      </c>
      <c r="K561" s="29">
        <v>5969820</v>
      </c>
      <c r="L561" s="38" t="s">
        <v>52</v>
      </c>
      <c r="M561" s="39">
        <v>43012</v>
      </c>
      <c r="N561" s="40" t="s">
        <v>865</v>
      </c>
      <c r="O561" s="35"/>
      <c r="P561" s="36"/>
      <c r="Q561" s="36"/>
      <c r="T561" s="36"/>
    </row>
    <row r="562" spans="1:255" s="37" customFormat="1" ht="18.75" customHeight="1">
      <c r="A562" s="29">
        <f t="shared" si="10"/>
        <v>544</v>
      </c>
      <c r="B562" s="30"/>
      <c r="C562" s="30" t="s">
        <v>231</v>
      </c>
      <c r="D562" s="30" t="s">
        <v>996</v>
      </c>
      <c r="E562" s="31">
        <v>42977</v>
      </c>
      <c r="F562" s="30" t="s">
        <v>239</v>
      </c>
      <c r="G562" s="30" t="s">
        <v>240</v>
      </c>
      <c r="H562" s="30" t="s">
        <v>997</v>
      </c>
      <c r="I562" s="29">
        <v>30672300</v>
      </c>
      <c r="J562" s="29">
        <v>10</v>
      </c>
      <c r="K562" s="29">
        <v>3067230</v>
      </c>
      <c r="L562" s="38" t="s">
        <v>52</v>
      </c>
      <c r="M562" s="39">
        <v>42998</v>
      </c>
      <c r="N562" s="40" t="s">
        <v>865</v>
      </c>
      <c r="O562" s="35"/>
      <c r="P562" s="36"/>
      <c r="Q562" s="36"/>
      <c r="T562" s="36"/>
    </row>
    <row r="563" spans="1:255" s="37" customFormat="1" ht="18.75" customHeight="1">
      <c r="A563" s="29">
        <f t="shared" si="10"/>
        <v>545</v>
      </c>
      <c r="B563" s="30"/>
      <c r="C563" s="30" t="s">
        <v>231</v>
      </c>
      <c r="D563" s="30" t="s">
        <v>998</v>
      </c>
      <c r="E563" s="31">
        <v>42977</v>
      </c>
      <c r="F563" s="30" t="s">
        <v>239</v>
      </c>
      <c r="G563" s="30" t="s">
        <v>240</v>
      </c>
      <c r="H563" s="30" t="s">
        <v>999</v>
      </c>
      <c r="I563" s="29">
        <v>74380000</v>
      </c>
      <c r="J563" s="29">
        <v>10</v>
      </c>
      <c r="K563" s="29">
        <v>7438000</v>
      </c>
      <c r="L563" s="38" t="s">
        <v>52</v>
      </c>
      <c r="M563" s="39">
        <v>42998</v>
      </c>
      <c r="N563" s="40" t="s">
        <v>865</v>
      </c>
      <c r="O563" s="35"/>
      <c r="P563" s="36"/>
      <c r="Q563" s="36"/>
      <c r="T563" s="36"/>
    </row>
    <row r="564" spans="1:255" s="37" customFormat="1" ht="18.75" customHeight="1">
      <c r="A564" s="29">
        <f t="shared" si="10"/>
        <v>546</v>
      </c>
      <c r="B564" s="30"/>
      <c r="C564" s="30" t="s">
        <v>119</v>
      </c>
      <c r="D564" s="30" t="s">
        <v>1000</v>
      </c>
      <c r="E564" s="31">
        <v>42978</v>
      </c>
      <c r="F564" s="30" t="s">
        <v>121</v>
      </c>
      <c r="G564" s="30" t="s">
        <v>122</v>
      </c>
      <c r="H564" s="30" t="s">
        <v>1001</v>
      </c>
      <c r="I564" s="29">
        <v>545759004</v>
      </c>
      <c r="J564" s="29">
        <v>10</v>
      </c>
      <c r="K564" s="29">
        <v>54575900</v>
      </c>
      <c r="L564" s="38" t="s">
        <v>52</v>
      </c>
      <c r="M564" s="39">
        <v>42990</v>
      </c>
      <c r="N564" s="40" t="s">
        <v>865</v>
      </c>
      <c r="O564" s="35"/>
      <c r="P564" s="36"/>
      <c r="Q564" s="36"/>
      <c r="T564" s="36"/>
    </row>
    <row r="565" spans="1:255" s="37" customFormat="1" ht="18.75" customHeight="1">
      <c r="A565" s="29">
        <f t="shared" si="10"/>
        <v>547</v>
      </c>
      <c r="B565" s="30"/>
      <c r="C565" s="30" t="s">
        <v>100</v>
      </c>
      <c r="D565" s="30" t="s">
        <v>1002</v>
      </c>
      <c r="E565" s="31">
        <v>42978</v>
      </c>
      <c r="F565" s="30" t="s">
        <v>102</v>
      </c>
      <c r="G565" s="30" t="s">
        <v>103</v>
      </c>
      <c r="H565" s="30" t="s">
        <v>377</v>
      </c>
      <c r="I565" s="29">
        <v>7000000</v>
      </c>
      <c r="J565" s="29">
        <v>10</v>
      </c>
      <c r="K565" s="29">
        <v>700000</v>
      </c>
      <c r="L565" s="38"/>
      <c r="M565" s="39"/>
      <c r="N565" s="40"/>
      <c r="O565" s="35"/>
      <c r="P565" s="36"/>
      <c r="Q565" s="36"/>
      <c r="T565" s="36"/>
    </row>
    <row r="566" spans="1:255" s="37" customFormat="1" ht="18.75" customHeight="1">
      <c r="A566" s="29">
        <f t="shared" si="10"/>
        <v>548</v>
      </c>
      <c r="B566" s="30"/>
      <c r="C566" s="30" t="s">
        <v>726</v>
      </c>
      <c r="D566" s="30" t="s">
        <v>1003</v>
      </c>
      <c r="E566" s="31">
        <v>42970</v>
      </c>
      <c r="F566" s="30" t="s">
        <v>63</v>
      </c>
      <c r="G566" s="30" t="s">
        <v>64</v>
      </c>
      <c r="H566" s="30" t="s">
        <v>1004</v>
      </c>
      <c r="I566" s="29">
        <v>11909091</v>
      </c>
      <c r="J566" s="29">
        <v>10</v>
      </c>
      <c r="K566" s="29">
        <v>1190909</v>
      </c>
      <c r="L566" s="38"/>
      <c r="M566" s="39"/>
      <c r="N566" s="40"/>
      <c r="O566" s="35"/>
      <c r="P566" s="36"/>
      <c r="Q566" s="36"/>
      <c r="T566" s="36"/>
    </row>
    <row r="567" spans="1:255" s="37" customFormat="1" ht="18.75" customHeight="1">
      <c r="A567" s="29">
        <f t="shared" si="10"/>
        <v>549</v>
      </c>
      <c r="B567" s="30"/>
      <c r="C567" s="30" t="s">
        <v>726</v>
      </c>
      <c r="D567" s="30" t="s">
        <v>1005</v>
      </c>
      <c r="E567" s="31">
        <v>42975</v>
      </c>
      <c r="F567" s="30" t="s">
        <v>63</v>
      </c>
      <c r="G567" s="30" t="s">
        <v>64</v>
      </c>
      <c r="H567" s="30" t="s">
        <v>1004</v>
      </c>
      <c r="I567" s="29">
        <v>12227273</v>
      </c>
      <c r="J567" s="29">
        <v>10</v>
      </c>
      <c r="K567" s="29">
        <v>1222727</v>
      </c>
      <c r="L567" s="38"/>
      <c r="M567" s="39"/>
      <c r="N567" s="40"/>
      <c r="O567" s="35"/>
      <c r="P567" s="36"/>
      <c r="Q567" s="36"/>
      <c r="T567" s="36"/>
    </row>
    <row r="568" spans="1:255" s="37" customFormat="1" ht="18.75" customHeight="1">
      <c r="A568" s="29">
        <f t="shared" si="10"/>
        <v>550</v>
      </c>
      <c r="B568" s="30"/>
      <c r="C568" s="30" t="s">
        <v>726</v>
      </c>
      <c r="D568" s="30" t="s">
        <v>1006</v>
      </c>
      <c r="E568" s="31">
        <v>42978</v>
      </c>
      <c r="F568" s="30" t="s">
        <v>63</v>
      </c>
      <c r="G568" s="30" t="s">
        <v>64</v>
      </c>
      <c r="H568" s="30" t="s">
        <v>1007</v>
      </c>
      <c r="I568" s="29">
        <v>28654545</v>
      </c>
      <c r="J568" s="29">
        <v>10</v>
      </c>
      <c r="K568" s="29">
        <v>2865455</v>
      </c>
      <c r="L568" s="38" t="s">
        <v>52</v>
      </c>
      <c r="M568" s="39">
        <v>42998</v>
      </c>
      <c r="N568" s="40" t="s">
        <v>865</v>
      </c>
      <c r="O568" s="35"/>
      <c r="P568" s="36"/>
      <c r="Q568" s="36"/>
      <c r="T568" s="36"/>
    </row>
    <row r="569" spans="1:255" s="37" customFormat="1" ht="18.75" customHeight="1">
      <c r="A569" s="29">
        <f t="shared" si="10"/>
        <v>551</v>
      </c>
      <c r="B569" s="30"/>
      <c r="C569" s="30" t="s">
        <v>248</v>
      </c>
      <c r="D569" s="30" t="s">
        <v>1008</v>
      </c>
      <c r="E569" s="31">
        <v>42978</v>
      </c>
      <c r="F569" s="30" t="s">
        <v>250</v>
      </c>
      <c r="G569" s="30" t="s">
        <v>251</v>
      </c>
      <c r="H569" s="30" t="s">
        <v>1009</v>
      </c>
      <c r="I569" s="29">
        <v>255553182</v>
      </c>
      <c r="J569" s="29">
        <v>10</v>
      </c>
      <c r="K569" s="29">
        <v>25555318</v>
      </c>
      <c r="L569" s="38" t="s">
        <v>52</v>
      </c>
      <c r="M569" s="39">
        <v>42998</v>
      </c>
      <c r="N569" s="40" t="s">
        <v>865</v>
      </c>
      <c r="O569" s="35"/>
      <c r="P569" s="36"/>
      <c r="Q569" s="36"/>
      <c r="T569" s="36"/>
    </row>
    <row r="570" spans="1:255" s="37" customFormat="1" ht="18.75" customHeight="1">
      <c r="A570" s="29">
        <f t="shared" si="10"/>
        <v>552</v>
      </c>
      <c r="B570" s="30"/>
      <c r="C570" s="30" t="s">
        <v>248</v>
      </c>
      <c r="D570" s="30" t="s">
        <v>1010</v>
      </c>
      <c r="E570" s="31">
        <v>42978</v>
      </c>
      <c r="F570" s="30" t="s">
        <v>250</v>
      </c>
      <c r="G570" s="30" t="s">
        <v>251</v>
      </c>
      <c r="H570" s="30" t="s">
        <v>1011</v>
      </c>
      <c r="I570" s="29">
        <v>1600000</v>
      </c>
      <c r="J570" s="29">
        <v>10</v>
      </c>
      <c r="K570" s="29">
        <v>160000</v>
      </c>
      <c r="L570" s="38" t="s">
        <v>52</v>
      </c>
      <c r="M570" s="39">
        <v>42998</v>
      </c>
      <c r="N570" s="40" t="s">
        <v>865</v>
      </c>
      <c r="O570" s="35"/>
      <c r="P570" s="36"/>
      <c r="Q570" s="36"/>
      <c r="T570" s="36"/>
    </row>
    <row r="571" spans="1:255" s="37" customFormat="1" ht="18.75" customHeight="1">
      <c r="A571" s="29">
        <f t="shared" si="10"/>
        <v>553</v>
      </c>
      <c r="B571" s="30"/>
      <c r="C571" s="30" t="s">
        <v>248</v>
      </c>
      <c r="D571" s="30" t="s">
        <v>1012</v>
      </c>
      <c r="E571" s="31">
        <v>42978</v>
      </c>
      <c r="F571" s="30" t="s">
        <v>250</v>
      </c>
      <c r="G571" s="30" t="s">
        <v>251</v>
      </c>
      <c r="H571" s="30" t="s">
        <v>1013</v>
      </c>
      <c r="I571" s="29">
        <v>1080000</v>
      </c>
      <c r="J571" s="29">
        <v>10</v>
      </c>
      <c r="K571" s="29">
        <v>108000</v>
      </c>
      <c r="L571" s="38" t="s">
        <v>52</v>
      </c>
      <c r="M571" s="39">
        <v>42998</v>
      </c>
      <c r="N571" s="40" t="s">
        <v>865</v>
      </c>
      <c r="O571" s="35"/>
      <c r="P571" s="36"/>
      <c r="Q571" s="36"/>
      <c r="T571" s="36"/>
    </row>
    <row r="572" spans="1:255" s="37" customFormat="1" ht="18.75" customHeight="1">
      <c r="A572" s="29">
        <f t="shared" si="10"/>
        <v>554</v>
      </c>
      <c r="B572" s="30"/>
      <c r="C572" s="30" t="s">
        <v>93</v>
      </c>
      <c r="D572" s="30" t="s">
        <v>1014</v>
      </c>
      <c r="E572" s="31">
        <v>42978</v>
      </c>
      <c r="F572" s="30" t="s">
        <v>258</v>
      </c>
      <c r="G572" s="30" t="s">
        <v>259</v>
      </c>
      <c r="H572" s="30" t="s">
        <v>1015</v>
      </c>
      <c r="I572" s="29">
        <v>10112120</v>
      </c>
      <c r="J572" s="29">
        <v>10</v>
      </c>
      <c r="K572" s="29">
        <v>1011212</v>
      </c>
      <c r="L572" s="41"/>
      <c r="M572" s="42"/>
      <c r="N572" s="40"/>
      <c r="O572" s="35"/>
      <c r="P572" s="36"/>
      <c r="Q572" s="36"/>
      <c r="T572" s="36"/>
    </row>
    <row r="573" spans="1:255" s="37" customFormat="1" ht="18.75" customHeight="1">
      <c r="A573" s="205" t="s">
        <v>264</v>
      </c>
      <c r="B573" s="205"/>
      <c r="C573" s="205"/>
      <c r="D573" s="205"/>
      <c r="E573" s="205"/>
      <c r="F573" s="205"/>
      <c r="G573" s="205"/>
      <c r="H573" s="205"/>
      <c r="I573" s="43">
        <f>SUM(I451:I572)</f>
        <v>5682041050</v>
      </c>
      <c r="J573" s="43"/>
      <c r="K573" s="43">
        <f>SUM(K451:K572)</f>
        <v>528327864</v>
      </c>
      <c r="L573" s="44"/>
      <c r="M573" s="45"/>
      <c r="N573" s="46"/>
      <c r="O573" s="35"/>
      <c r="P573" s="49"/>
      <c r="Q573" s="36"/>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c r="BI573" s="10"/>
      <c r="BJ573" s="10"/>
      <c r="BK573" s="10"/>
      <c r="BL573" s="10"/>
      <c r="BM573" s="10"/>
      <c r="BN573" s="10"/>
      <c r="BO573" s="10"/>
      <c r="BP573" s="10"/>
      <c r="BQ573" s="10"/>
      <c r="BR573" s="10"/>
      <c r="BS573" s="10"/>
      <c r="BT573" s="10"/>
      <c r="BU573" s="10"/>
      <c r="BV573" s="10"/>
      <c r="BW573" s="10"/>
      <c r="BX573" s="10"/>
      <c r="BY573" s="10"/>
      <c r="BZ573" s="10"/>
      <c r="CA573" s="10"/>
      <c r="CB573" s="10"/>
      <c r="CC573" s="10"/>
      <c r="CD573" s="10"/>
      <c r="CE573" s="10"/>
      <c r="CF573" s="10"/>
      <c r="CG573" s="10"/>
      <c r="CH573" s="10"/>
      <c r="CI573" s="10"/>
      <c r="CJ573" s="10"/>
      <c r="CK573" s="10"/>
      <c r="CL573" s="10"/>
      <c r="CM573" s="10"/>
      <c r="CN573" s="10"/>
      <c r="CO573" s="10"/>
      <c r="CP573" s="10"/>
      <c r="CQ573" s="10"/>
      <c r="CR573" s="10"/>
      <c r="CS573" s="10"/>
      <c r="CT573" s="10"/>
      <c r="CU573" s="10"/>
      <c r="CV573" s="10"/>
      <c r="CW573" s="10"/>
      <c r="CX573" s="10"/>
      <c r="CY573" s="10"/>
      <c r="CZ573" s="10"/>
      <c r="DA573" s="10"/>
      <c r="DB573" s="10"/>
      <c r="DC573" s="10"/>
      <c r="DD573" s="10"/>
      <c r="DE573" s="10"/>
      <c r="DF573" s="10"/>
      <c r="DG573" s="10"/>
      <c r="DH573" s="10"/>
      <c r="DI573" s="10"/>
      <c r="DJ573" s="10"/>
      <c r="DK573" s="10"/>
      <c r="DL573" s="10"/>
      <c r="DM573" s="10"/>
      <c r="DN573" s="10"/>
      <c r="DO573" s="10"/>
      <c r="DP573" s="10"/>
      <c r="DQ573" s="10"/>
      <c r="DR573" s="10"/>
      <c r="DS573" s="10"/>
      <c r="DT573" s="10"/>
      <c r="DU573" s="10"/>
      <c r="DV573" s="10"/>
      <c r="DW573" s="10"/>
      <c r="DX573" s="10"/>
      <c r="DY573" s="10"/>
      <c r="DZ573" s="10"/>
      <c r="EA573" s="10"/>
      <c r="EB573" s="10"/>
      <c r="EC573" s="10"/>
      <c r="ED573" s="10"/>
      <c r="EE573" s="10"/>
      <c r="EF573" s="10"/>
      <c r="EG573" s="10"/>
      <c r="EH573" s="10"/>
      <c r="EI573" s="10"/>
      <c r="EJ573" s="10"/>
      <c r="EK573" s="10"/>
      <c r="EL573" s="10"/>
      <c r="EM573" s="10"/>
      <c r="EN573" s="10"/>
      <c r="EO573" s="10"/>
      <c r="EP573" s="10"/>
      <c r="EQ573" s="10"/>
      <c r="ER573" s="10"/>
      <c r="ES573" s="10"/>
      <c r="ET573" s="10"/>
      <c r="EU573" s="10"/>
      <c r="EV573" s="10"/>
      <c r="EW573" s="10"/>
      <c r="EX573" s="10"/>
      <c r="EY573" s="10"/>
      <c r="EZ573" s="10"/>
      <c r="FA573" s="10"/>
      <c r="FB573" s="10"/>
      <c r="FC573" s="10"/>
      <c r="FD573" s="10"/>
      <c r="FE573" s="10"/>
      <c r="FF573" s="10"/>
      <c r="FG573" s="10"/>
      <c r="FH573" s="10"/>
      <c r="FI573" s="10"/>
      <c r="FJ573" s="10"/>
      <c r="FK573" s="10"/>
      <c r="FL573" s="10"/>
      <c r="FM573" s="10"/>
      <c r="FN573" s="10"/>
      <c r="FO573" s="10"/>
      <c r="FP573" s="10"/>
      <c r="FQ573" s="10"/>
      <c r="FR573" s="10"/>
      <c r="FS573" s="10"/>
      <c r="FT573" s="10"/>
      <c r="FU573" s="10"/>
      <c r="FV573" s="10"/>
      <c r="FW573" s="10"/>
      <c r="FX573" s="10"/>
      <c r="FY573" s="10"/>
      <c r="FZ573" s="10"/>
      <c r="GA573" s="10"/>
      <c r="GB573" s="10"/>
      <c r="GC573" s="10"/>
      <c r="GD573" s="10"/>
      <c r="GE573" s="10"/>
      <c r="GF573" s="10"/>
      <c r="GG573" s="10"/>
      <c r="GH573" s="10"/>
      <c r="GI573" s="10"/>
      <c r="GJ573" s="10"/>
      <c r="GK573" s="10"/>
      <c r="GL573" s="10"/>
      <c r="GM573" s="10"/>
      <c r="GN573" s="10"/>
      <c r="GO573" s="10"/>
      <c r="GP573" s="10"/>
      <c r="GQ573" s="10"/>
      <c r="GR573" s="10"/>
      <c r="GS573" s="10"/>
      <c r="GT573" s="10"/>
      <c r="GU573" s="10"/>
      <c r="GV573" s="10"/>
      <c r="GW573" s="10"/>
      <c r="GX573" s="10"/>
      <c r="GY573" s="10"/>
      <c r="GZ573" s="10"/>
      <c r="HA573" s="10"/>
      <c r="HB573" s="10"/>
      <c r="HC573" s="10"/>
      <c r="HD573" s="10"/>
      <c r="HE573" s="10"/>
      <c r="HF573" s="10"/>
      <c r="HG573" s="10"/>
      <c r="HH573" s="10"/>
      <c r="HI573" s="10"/>
      <c r="HJ573" s="10"/>
      <c r="HK573" s="10"/>
      <c r="HL573" s="10"/>
      <c r="HM573" s="10"/>
      <c r="HN573" s="10"/>
      <c r="HO573" s="10"/>
      <c r="HP573" s="10"/>
      <c r="HQ573" s="10"/>
      <c r="HR573" s="10"/>
      <c r="HS573" s="10"/>
      <c r="HT573" s="10"/>
      <c r="HU573" s="10"/>
      <c r="HV573" s="10"/>
      <c r="HW573" s="10"/>
      <c r="HX573" s="10"/>
      <c r="HY573" s="10"/>
      <c r="HZ573" s="10"/>
      <c r="IA573" s="10"/>
      <c r="IB573" s="10"/>
      <c r="IC573" s="10"/>
      <c r="ID573" s="10"/>
      <c r="IE573" s="10"/>
      <c r="IF573" s="10"/>
      <c r="IG573" s="10"/>
      <c r="IH573" s="10"/>
      <c r="II573" s="10"/>
      <c r="IJ573" s="10"/>
      <c r="IK573" s="10"/>
      <c r="IL573" s="10"/>
      <c r="IM573" s="10"/>
      <c r="IN573" s="10"/>
      <c r="IO573" s="10"/>
      <c r="IP573" s="10"/>
      <c r="IQ573" s="10"/>
      <c r="IR573" s="10"/>
      <c r="IS573" s="10"/>
      <c r="IT573" s="10"/>
      <c r="IU573" s="10"/>
    </row>
    <row r="574" spans="1:255" s="37" customFormat="1" ht="18.75" customHeight="1">
      <c r="A574" s="29">
        <f>A572+1</f>
        <v>555</v>
      </c>
      <c r="B574" s="30"/>
      <c r="C574" s="30" t="s">
        <v>278</v>
      </c>
      <c r="D574" s="30" t="s">
        <v>1016</v>
      </c>
      <c r="E574" s="31">
        <v>42926</v>
      </c>
      <c r="F574" s="30" t="s">
        <v>280</v>
      </c>
      <c r="G574" s="30" t="s">
        <v>281</v>
      </c>
      <c r="H574" s="30" t="s">
        <v>1017</v>
      </c>
      <c r="I574" s="29">
        <v>4944000</v>
      </c>
      <c r="J574" s="29">
        <v>10</v>
      </c>
      <c r="K574" s="29">
        <v>494400</v>
      </c>
      <c r="L574" s="47"/>
      <c r="M574" s="48"/>
      <c r="N574" s="40"/>
      <c r="O574" s="35"/>
      <c r="P574" s="36"/>
      <c r="Q574" s="36"/>
      <c r="T574" s="36"/>
    </row>
    <row r="575" spans="1:255" s="37" customFormat="1" ht="18.75" customHeight="1">
      <c r="A575" s="29">
        <f>+A574+1</f>
        <v>556</v>
      </c>
      <c r="B575" s="30"/>
      <c r="C575" s="30" t="s">
        <v>278</v>
      </c>
      <c r="D575" s="30" t="s">
        <v>1018</v>
      </c>
      <c r="E575" s="31">
        <v>42926</v>
      </c>
      <c r="F575" s="30" t="s">
        <v>280</v>
      </c>
      <c r="G575" s="30" t="s">
        <v>281</v>
      </c>
      <c r="H575" s="30" t="s">
        <v>1019</v>
      </c>
      <c r="I575" s="29">
        <v>400000</v>
      </c>
      <c r="J575" s="29">
        <v>10</v>
      </c>
      <c r="K575" s="29">
        <v>40000</v>
      </c>
      <c r="L575" s="38"/>
      <c r="M575" s="39"/>
      <c r="N575" s="40"/>
      <c r="O575" s="35"/>
      <c r="P575" s="36"/>
      <c r="Q575" s="36"/>
      <c r="T575" s="36"/>
    </row>
    <row r="576" spans="1:255" s="37" customFormat="1" ht="18.75" customHeight="1">
      <c r="A576" s="29">
        <f t="shared" ref="A576:A639" si="11">+A575+1</f>
        <v>557</v>
      </c>
      <c r="B576" s="30"/>
      <c r="C576" s="30" t="s">
        <v>848</v>
      </c>
      <c r="D576" s="30" t="s">
        <v>1020</v>
      </c>
      <c r="E576" s="31">
        <v>42933</v>
      </c>
      <c r="F576" s="30" t="s">
        <v>850</v>
      </c>
      <c r="G576" s="30" t="s">
        <v>851</v>
      </c>
      <c r="H576" s="30" t="s">
        <v>1021</v>
      </c>
      <c r="I576" s="29">
        <v>3705818</v>
      </c>
      <c r="J576" s="29">
        <v>10</v>
      </c>
      <c r="K576" s="29">
        <v>370582</v>
      </c>
      <c r="L576" s="38"/>
      <c r="M576" s="39"/>
      <c r="N576" s="40"/>
      <c r="O576" s="35"/>
      <c r="P576" s="36"/>
      <c r="Q576" s="36"/>
      <c r="T576" s="36"/>
    </row>
    <row r="577" spans="1:20" s="37" customFormat="1" ht="18.75" customHeight="1">
      <c r="A577" s="29">
        <f t="shared" si="11"/>
        <v>558</v>
      </c>
      <c r="B577" s="30"/>
      <c r="C577" s="30" t="s">
        <v>278</v>
      </c>
      <c r="D577" s="30" t="s">
        <v>1022</v>
      </c>
      <c r="E577" s="31">
        <v>42940</v>
      </c>
      <c r="F577" s="30" t="s">
        <v>280</v>
      </c>
      <c r="G577" s="30" t="s">
        <v>281</v>
      </c>
      <c r="H577" s="30" t="s">
        <v>1017</v>
      </c>
      <c r="I577" s="29">
        <v>5373100</v>
      </c>
      <c r="J577" s="29">
        <v>10</v>
      </c>
      <c r="K577" s="29">
        <v>537310</v>
      </c>
      <c r="L577" s="38"/>
      <c r="M577" s="39"/>
      <c r="N577" s="40"/>
      <c r="O577" s="35"/>
      <c r="P577" s="36"/>
      <c r="Q577" s="36"/>
      <c r="T577" s="36"/>
    </row>
    <row r="578" spans="1:20" s="37" customFormat="1" ht="18.75" customHeight="1">
      <c r="A578" s="29">
        <f t="shared" si="11"/>
        <v>559</v>
      </c>
      <c r="B578" s="30"/>
      <c r="C578" s="30" t="s">
        <v>69</v>
      </c>
      <c r="D578" s="30" t="s">
        <v>1023</v>
      </c>
      <c r="E578" s="31">
        <v>42943</v>
      </c>
      <c r="F578" s="30" t="s">
        <v>71</v>
      </c>
      <c r="G578" s="30" t="s">
        <v>72</v>
      </c>
      <c r="H578" s="30" t="s">
        <v>40</v>
      </c>
      <c r="I578" s="29">
        <v>280000</v>
      </c>
      <c r="J578" s="29">
        <v>10</v>
      </c>
      <c r="K578" s="29">
        <v>28000</v>
      </c>
      <c r="L578" s="38"/>
      <c r="M578" s="39"/>
      <c r="N578" s="40"/>
      <c r="O578" s="35"/>
      <c r="P578" s="36"/>
      <c r="Q578" s="36"/>
      <c r="T578" s="36"/>
    </row>
    <row r="579" spans="1:20" s="37" customFormat="1" ht="18.75" customHeight="1">
      <c r="A579" s="29">
        <f t="shared" si="11"/>
        <v>560</v>
      </c>
      <c r="B579" s="30"/>
      <c r="C579" s="30" t="s">
        <v>167</v>
      </c>
      <c r="D579" s="30" t="s">
        <v>1024</v>
      </c>
      <c r="E579" s="31">
        <v>42943</v>
      </c>
      <c r="F579" s="30" t="s">
        <v>266</v>
      </c>
      <c r="G579" s="30" t="s">
        <v>267</v>
      </c>
      <c r="H579" s="30" t="s">
        <v>1021</v>
      </c>
      <c r="I579" s="29">
        <v>10704812</v>
      </c>
      <c r="J579" s="29">
        <v>10</v>
      </c>
      <c r="K579" s="29">
        <v>1070481</v>
      </c>
      <c r="L579" s="38"/>
      <c r="M579" s="39"/>
      <c r="N579" s="40"/>
      <c r="O579" s="35"/>
      <c r="P579" s="36"/>
      <c r="Q579" s="36"/>
      <c r="T579" s="36"/>
    </row>
    <row r="580" spans="1:20" s="37" customFormat="1" ht="18.75" customHeight="1">
      <c r="A580" s="29">
        <f t="shared" si="11"/>
        <v>561</v>
      </c>
      <c r="B580" s="30"/>
      <c r="C580" s="30" t="s">
        <v>278</v>
      </c>
      <c r="D580" s="30" t="s">
        <v>1025</v>
      </c>
      <c r="E580" s="31">
        <v>42947</v>
      </c>
      <c r="F580" s="30" t="s">
        <v>280</v>
      </c>
      <c r="G580" s="30" t="s">
        <v>281</v>
      </c>
      <c r="H580" s="30" t="s">
        <v>1017</v>
      </c>
      <c r="I580" s="29">
        <v>8863100</v>
      </c>
      <c r="J580" s="29">
        <v>10</v>
      </c>
      <c r="K580" s="29">
        <v>886310</v>
      </c>
      <c r="L580" s="38"/>
      <c r="M580" s="39"/>
      <c r="N580" s="40"/>
      <c r="O580" s="35"/>
      <c r="P580" s="36"/>
      <c r="Q580" s="36"/>
      <c r="T580" s="36"/>
    </row>
    <row r="581" spans="1:20" s="37" customFormat="1" ht="18.75" customHeight="1">
      <c r="A581" s="29">
        <f t="shared" si="11"/>
        <v>562</v>
      </c>
      <c r="B581" s="30"/>
      <c r="C581" s="30" t="s">
        <v>54</v>
      </c>
      <c r="D581" s="30" t="s">
        <v>1026</v>
      </c>
      <c r="E581" s="31">
        <v>42949</v>
      </c>
      <c r="F581" s="30" t="s">
        <v>56</v>
      </c>
      <c r="G581" s="30" t="s">
        <v>57</v>
      </c>
      <c r="H581" s="30" t="s">
        <v>1021</v>
      </c>
      <c r="I581" s="29">
        <v>6902912</v>
      </c>
      <c r="J581" s="29">
        <v>10</v>
      </c>
      <c r="K581" s="29">
        <v>690291</v>
      </c>
      <c r="L581" s="38"/>
      <c r="M581" s="39"/>
      <c r="N581" s="40"/>
      <c r="O581" s="35"/>
      <c r="P581" s="36"/>
      <c r="Q581" s="36"/>
      <c r="T581" s="36"/>
    </row>
    <row r="582" spans="1:20" s="37" customFormat="1" ht="18.75" customHeight="1">
      <c r="A582" s="29">
        <f t="shared" si="11"/>
        <v>563</v>
      </c>
      <c r="B582" s="30"/>
      <c r="C582" s="30" t="s">
        <v>69</v>
      </c>
      <c r="D582" s="30" t="s">
        <v>1027</v>
      </c>
      <c r="E582" s="31">
        <v>42950</v>
      </c>
      <c r="F582" s="30" t="s">
        <v>71</v>
      </c>
      <c r="G582" s="30" t="s">
        <v>72</v>
      </c>
      <c r="H582" s="30" t="s">
        <v>40</v>
      </c>
      <c r="I582" s="29">
        <v>2680000</v>
      </c>
      <c r="J582" s="29">
        <v>10</v>
      </c>
      <c r="K582" s="29">
        <v>268000</v>
      </c>
      <c r="L582" s="38"/>
      <c r="M582" s="39"/>
      <c r="N582" s="40"/>
      <c r="O582" s="35"/>
      <c r="P582" s="36"/>
      <c r="Q582" s="36"/>
      <c r="T582" s="36"/>
    </row>
    <row r="583" spans="1:20" s="37" customFormat="1" ht="18.75" customHeight="1">
      <c r="A583" s="29">
        <f t="shared" si="11"/>
        <v>564</v>
      </c>
      <c r="B583" s="30"/>
      <c r="C583" s="30" t="s">
        <v>130</v>
      </c>
      <c r="D583" s="30" t="s">
        <v>1028</v>
      </c>
      <c r="E583" s="31">
        <v>42950</v>
      </c>
      <c r="F583" s="30" t="s">
        <v>333</v>
      </c>
      <c r="G583" s="30" t="s">
        <v>334</v>
      </c>
      <c r="H583" s="30" t="s">
        <v>134</v>
      </c>
      <c r="I583" s="29">
        <v>1449000</v>
      </c>
      <c r="J583" s="29">
        <v>10</v>
      </c>
      <c r="K583" s="29">
        <v>144900</v>
      </c>
      <c r="L583" s="38"/>
      <c r="M583" s="39"/>
      <c r="N583" s="40"/>
      <c r="O583" s="35"/>
      <c r="P583" s="36"/>
      <c r="Q583" s="36"/>
      <c r="T583" s="36"/>
    </row>
    <row r="584" spans="1:20" s="37" customFormat="1" ht="18.75" customHeight="1">
      <c r="A584" s="29">
        <f t="shared" si="11"/>
        <v>565</v>
      </c>
      <c r="B584" s="30"/>
      <c r="C584" s="30" t="s">
        <v>544</v>
      </c>
      <c r="D584" s="30" t="s">
        <v>1029</v>
      </c>
      <c r="E584" s="31">
        <v>42953</v>
      </c>
      <c r="F584" s="30" t="s">
        <v>546</v>
      </c>
      <c r="G584" s="30" t="s">
        <v>547</v>
      </c>
      <c r="H584" s="30" t="s">
        <v>134</v>
      </c>
      <c r="I584" s="29">
        <v>1728000</v>
      </c>
      <c r="J584" s="29">
        <v>10</v>
      </c>
      <c r="K584" s="29">
        <v>172800</v>
      </c>
      <c r="L584" s="38"/>
      <c r="M584" s="39"/>
      <c r="N584" s="40"/>
      <c r="O584" s="35"/>
      <c r="P584" s="36"/>
      <c r="Q584" s="36"/>
      <c r="T584" s="36"/>
    </row>
    <row r="585" spans="1:20" s="37" customFormat="1" ht="18.75" customHeight="1">
      <c r="A585" s="29">
        <f t="shared" si="11"/>
        <v>566</v>
      </c>
      <c r="B585" s="30"/>
      <c r="C585" s="30" t="s">
        <v>1030</v>
      </c>
      <c r="D585" s="30" t="s">
        <v>961</v>
      </c>
      <c r="E585" s="31">
        <v>42958</v>
      </c>
      <c r="F585" s="30" t="s">
        <v>1031</v>
      </c>
      <c r="G585" s="30" t="s">
        <v>1032</v>
      </c>
      <c r="H585" s="30" t="s">
        <v>134</v>
      </c>
      <c r="I585" s="29">
        <v>2805780</v>
      </c>
      <c r="J585" s="29">
        <v>10</v>
      </c>
      <c r="K585" s="29">
        <v>280578</v>
      </c>
      <c r="L585" s="38"/>
      <c r="M585" s="39"/>
      <c r="N585" s="40"/>
      <c r="O585" s="35"/>
      <c r="P585" s="36"/>
      <c r="Q585" s="36"/>
      <c r="T585" s="36"/>
    </row>
    <row r="586" spans="1:20" s="37" customFormat="1" ht="18.75" customHeight="1">
      <c r="A586" s="29">
        <f t="shared" si="11"/>
        <v>567</v>
      </c>
      <c r="B586" s="30"/>
      <c r="C586" s="30" t="s">
        <v>1033</v>
      </c>
      <c r="D586" s="30" t="s">
        <v>1034</v>
      </c>
      <c r="E586" s="31">
        <v>42961</v>
      </c>
      <c r="F586" s="30" t="s">
        <v>1035</v>
      </c>
      <c r="G586" s="30" t="s">
        <v>1036</v>
      </c>
      <c r="H586" s="30" t="s">
        <v>316</v>
      </c>
      <c r="I586" s="29">
        <v>373000</v>
      </c>
      <c r="J586" s="29">
        <v>10</v>
      </c>
      <c r="K586" s="29">
        <v>37300</v>
      </c>
      <c r="L586" s="38"/>
      <c r="M586" s="39"/>
      <c r="N586" s="40"/>
      <c r="O586" s="35"/>
      <c r="P586" s="36"/>
      <c r="Q586" s="36"/>
      <c r="T586" s="36"/>
    </row>
    <row r="587" spans="1:20" s="37" customFormat="1" ht="18.75" customHeight="1">
      <c r="A587" s="29">
        <f t="shared" si="11"/>
        <v>568</v>
      </c>
      <c r="B587" s="30"/>
      <c r="C587" s="30" t="s">
        <v>54</v>
      </c>
      <c r="D587" s="30" t="s">
        <v>1037</v>
      </c>
      <c r="E587" s="31">
        <v>42962</v>
      </c>
      <c r="F587" s="30" t="s">
        <v>56</v>
      </c>
      <c r="G587" s="30" t="s">
        <v>57</v>
      </c>
      <c r="H587" s="30" t="s">
        <v>1038</v>
      </c>
      <c r="I587" s="29">
        <v>6902912</v>
      </c>
      <c r="J587" s="29">
        <v>10</v>
      </c>
      <c r="K587" s="29">
        <v>690291</v>
      </c>
      <c r="L587" s="38"/>
      <c r="M587" s="39"/>
      <c r="N587" s="40"/>
      <c r="O587" s="35"/>
      <c r="P587" s="36"/>
      <c r="Q587" s="36"/>
      <c r="T587" s="36"/>
    </row>
    <row r="588" spans="1:20" s="37" customFormat="1" ht="18.75" customHeight="1">
      <c r="A588" s="29">
        <f t="shared" si="11"/>
        <v>569</v>
      </c>
      <c r="B588" s="30"/>
      <c r="C588" s="30" t="s">
        <v>167</v>
      </c>
      <c r="D588" s="30" t="s">
        <v>1039</v>
      </c>
      <c r="E588" s="31">
        <v>42962</v>
      </c>
      <c r="F588" s="30" t="s">
        <v>266</v>
      </c>
      <c r="G588" s="30" t="s">
        <v>267</v>
      </c>
      <c r="H588" s="30" t="s">
        <v>1038</v>
      </c>
      <c r="I588" s="29">
        <v>7069805</v>
      </c>
      <c r="J588" s="29">
        <v>10</v>
      </c>
      <c r="K588" s="29">
        <v>706981</v>
      </c>
      <c r="L588" s="38"/>
      <c r="M588" s="39"/>
      <c r="N588" s="40"/>
      <c r="O588" s="35"/>
      <c r="P588" s="36"/>
      <c r="Q588" s="36"/>
      <c r="T588" s="36"/>
    </row>
    <row r="589" spans="1:20" s="37" customFormat="1" ht="18.75" customHeight="1">
      <c r="A589" s="29">
        <f t="shared" si="11"/>
        <v>570</v>
      </c>
      <c r="B589" s="30"/>
      <c r="C589" s="30" t="s">
        <v>291</v>
      </c>
      <c r="D589" s="30" t="s">
        <v>1040</v>
      </c>
      <c r="E589" s="31">
        <v>42963</v>
      </c>
      <c r="F589" s="30" t="s">
        <v>293</v>
      </c>
      <c r="G589" s="30" t="s">
        <v>294</v>
      </c>
      <c r="H589" s="30" t="s">
        <v>134</v>
      </c>
      <c r="I589" s="29">
        <v>1903636</v>
      </c>
      <c r="J589" s="29">
        <v>10</v>
      </c>
      <c r="K589" s="29">
        <v>190364</v>
      </c>
      <c r="L589" s="38"/>
      <c r="M589" s="39"/>
      <c r="N589" s="40"/>
      <c r="O589" s="35"/>
      <c r="P589" s="36"/>
      <c r="Q589" s="36"/>
      <c r="T589" s="36"/>
    </row>
    <row r="590" spans="1:20" s="37" customFormat="1" ht="18.75" customHeight="1">
      <c r="A590" s="29">
        <f t="shared" si="11"/>
        <v>571</v>
      </c>
      <c r="B590" s="30"/>
      <c r="C590" s="30" t="s">
        <v>152</v>
      </c>
      <c r="D590" s="30" t="s">
        <v>1041</v>
      </c>
      <c r="E590" s="31">
        <v>42963</v>
      </c>
      <c r="F590" s="30" t="s">
        <v>844</v>
      </c>
      <c r="G590" s="30" t="s">
        <v>845</v>
      </c>
      <c r="H590" s="30" t="s">
        <v>846</v>
      </c>
      <c r="I590" s="29">
        <v>1610909</v>
      </c>
      <c r="J590" s="29">
        <v>10</v>
      </c>
      <c r="K590" s="29">
        <v>161091</v>
      </c>
      <c r="L590" s="38"/>
      <c r="M590" s="39"/>
      <c r="N590" s="40"/>
      <c r="O590" s="35"/>
      <c r="P590" s="36"/>
      <c r="Q590" s="36"/>
      <c r="T590" s="36"/>
    </row>
    <row r="591" spans="1:20" s="37" customFormat="1" ht="18.75" customHeight="1">
      <c r="A591" s="29">
        <f t="shared" si="11"/>
        <v>572</v>
      </c>
      <c r="B591" s="30"/>
      <c r="C591" s="30" t="s">
        <v>54</v>
      </c>
      <c r="D591" s="30" t="s">
        <v>1042</v>
      </c>
      <c r="E591" s="31">
        <v>42965</v>
      </c>
      <c r="F591" s="30" t="s">
        <v>56</v>
      </c>
      <c r="G591" s="30" t="s">
        <v>57</v>
      </c>
      <c r="H591" s="30" t="s">
        <v>1038</v>
      </c>
      <c r="I591" s="29">
        <v>6902912</v>
      </c>
      <c r="J591" s="29">
        <v>10</v>
      </c>
      <c r="K591" s="29">
        <v>690291</v>
      </c>
      <c r="L591" s="38"/>
      <c r="M591" s="39"/>
      <c r="N591" s="40"/>
      <c r="O591" s="35"/>
      <c r="P591" s="36"/>
      <c r="Q591" s="36"/>
      <c r="T591" s="36"/>
    </row>
    <row r="592" spans="1:20" s="37" customFormat="1" ht="18.75" customHeight="1">
      <c r="A592" s="29">
        <f t="shared" si="11"/>
        <v>573</v>
      </c>
      <c r="B592" s="30"/>
      <c r="C592" s="30" t="s">
        <v>1043</v>
      </c>
      <c r="D592" s="30" t="s">
        <v>227</v>
      </c>
      <c r="E592" s="31">
        <v>42968</v>
      </c>
      <c r="F592" s="30" t="s">
        <v>1044</v>
      </c>
      <c r="G592" s="30" t="s">
        <v>1045</v>
      </c>
      <c r="H592" s="30" t="s">
        <v>134</v>
      </c>
      <c r="I592" s="29">
        <v>5931818</v>
      </c>
      <c r="J592" s="29">
        <v>10</v>
      </c>
      <c r="K592" s="29">
        <v>593182</v>
      </c>
      <c r="L592" s="38"/>
      <c r="M592" s="39"/>
      <c r="N592" s="40"/>
      <c r="O592" s="35"/>
      <c r="P592" s="36"/>
      <c r="Q592" s="36"/>
      <c r="T592" s="36"/>
    </row>
    <row r="593" spans="1:20" s="37" customFormat="1" ht="18.75" customHeight="1">
      <c r="A593" s="29">
        <f t="shared" si="11"/>
        <v>574</v>
      </c>
      <c r="B593" s="30"/>
      <c r="C593" s="30" t="s">
        <v>69</v>
      </c>
      <c r="D593" s="30" t="s">
        <v>1046</v>
      </c>
      <c r="E593" s="31">
        <v>42968</v>
      </c>
      <c r="F593" s="30" t="s">
        <v>71</v>
      </c>
      <c r="G593" s="30" t="s">
        <v>72</v>
      </c>
      <c r="H593" s="30" t="s">
        <v>40</v>
      </c>
      <c r="I593" s="29">
        <v>1200000</v>
      </c>
      <c r="J593" s="29">
        <v>10</v>
      </c>
      <c r="K593" s="29">
        <v>120000</v>
      </c>
      <c r="L593" s="38"/>
      <c r="M593" s="39"/>
      <c r="N593" s="40"/>
      <c r="O593" s="35"/>
      <c r="P593" s="36"/>
      <c r="Q593" s="36"/>
      <c r="T593" s="36"/>
    </row>
    <row r="594" spans="1:20" s="37" customFormat="1" ht="18.75" customHeight="1">
      <c r="A594" s="29">
        <f t="shared" si="11"/>
        <v>575</v>
      </c>
      <c r="B594" s="30"/>
      <c r="C594" s="30" t="s">
        <v>152</v>
      </c>
      <c r="D594" s="30" t="s">
        <v>1047</v>
      </c>
      <c r="E594" s="31">
        <v>42969</v>
      </c>
      <c r="F594" s="30" t="s">
        <v>844</v>
      </c>
      <c r="G594" s="30" t="s">
        <v>845</v>
      </c>
      <c r="H594" s="30" t="s">
        <v>846</v>
      </c>
      <c r="I594" s="29">
        <v>826364</v>
      </c>
      <c r="J594" s="29">
        <v>10</v>
      </c>
      <c r="K594" s="29">
        <v>82636</v>
      </c>
      <c r="L594" s="38"/>
      <c r="M594" s="39"/>
      <c r="N594" s="40"/>
      <c r="O594" s="35"/>
      <c r="P594" s="36"/>
      <c r="Q594" s="36"/>
      <c r="T594" s="36"/>
    </row>
    <row r="595" spans="1:20" s="37" customFormat="1" ht="18.75" customHeight="1">
      <c r="A595" s="29">
        <f t="shared" si="11"/>
        <v>576</v>
      </c>
      <c r="B595" s="30"/>
      <c r="C595" s="30" t="s">
        <v>54</v>
      </c>
      <c r="D595" s="30" t="s">
        <v>1048</v>
      </c>
      <c r="E595" s="31">
        <v>42972</v>
      </c>
      <c r="F595" s="30" t="s">
        <v>56</v>
      </c>
      <c r="G595" s="30" t="s">
        <v>57</v>
      </c>
      <c r="H595" s="30" t="s">
        <v>1038</v>
      </c>
      <c r="I595" s="29">
        <v>6904132</v>
      </c>
      <c r="J595" s="29">
        <v>10</v>
      </c>
      <c r="K595" s="29">
        <v>690413</v>
      </c>
      <c r="L595" s="38"/>
      <c r="M595" s="39"/>
      <c r="N595" s="40"/>
      <c r="O595" s="35"/>
      <c r="P595" s="36"/>
      <c r="Q595" s="36"/>
      <c r="T595" s="36"/>
    </row>
    <row r="596" spans="1:20" s="37" customFormat="1" ht="18.75" customHeight="1">
      <c r="A596" s="29">
        <f t="shared" si="11"/>
        <v>577</v>
      </c>
      <c r="B596" s="30"/>
      <c r="C596" s="30" t="s">
        <v>1049</v>
      </c>
      <c r="D596" s="30" t="s">
        <v>1050</v>
      </c>
      <c r="E596" s="31">
        <v>42973</v>
      </c>
      <c r="F596" s="30" t="s">
        <v>596</v>
      </c>
      <c r="G596" s="30" t="s">
        <v>597</v>
      </c>
      <c r="H596" s="30" t="s">
        <v>134</v>
      </c>
      <c r="I596" s="29">
        <v>565000</v>
      </c>
      <c r="J596" s="29">
        <v>10</v>
      </c>
      <c r="K596" s="29">
        <v>56500</v>
      </c>
      <c r="L596" s="38"/>
      <c r="M596" s="39"/>
      <c r="N596" s="40"/>
      <c r="O596" s="35"/>
      <c r="P596" s="36"/>
      <c r="Q596" s="36"/>
      <c r="T596" s="36"/>
    </row>
    <row r="597" spans="1:20" s="37" customFormat="1" ht="18.75" customHeight="1">
      <c r="A597" s="29">
        <f t="shared" si="11"/>
        <v>578</v>
      </c>
      <c r="B597" s="30"/>
      <c r="C597" s="30" t="s">
        <v>502</v>
      </c>
      <c r="D597" s="30" t="s">
        <v>1051</v>
      </c>
      <c r="E597" s="31">
        <v>42976</v>
      </c>
      <c r="F597" s="30" t="s">
        <v>362</v>
      </c>
      <c r="G597" s="30" t="s">
        <v>363</v>
      </c>
      <c r="H597" s="30" t="s">
        <v>129</v>
      </c>
      <c r="I597" s="29">
        <v>454545</v>
      </c>
      <c r="J597" s="29">
        <v>10</v>
      </c>
      <c r="K597" s="29">
        <v>45455</v>
      </c>
      <c r="L597" s="38"/>
      <c r="M597" s="39"/>
      <c r="N597" s="40"/>
      <c r="O597" s="35"/>
      <c r="P597" s="36"/>
      <c r="Q597" s="36"/>
      <c r="T597" s="36"/>
    </row>
    <row r="598" spans="1:20" s="37" customFormat="1" ht="18.75" customHeight="1">
      <c r="A598" s="29">
        <f t="shared" si="11"/>
        <v>579</v>
      </c>
      <c r="B598" s="30"/>
      <c r="C598" s="30" t="s">
        <v>167</v>
      </c>
      <c r="D598" s="30" t="s">
        <v>1052</v>
      </c>
      <c r="E598" s="31">
        <v>42977</v>
      </c>
      <c r="F598" s="30" t="s">
        <v>266</v>
      </c>
      <c r="G598" s="30" t="s">
        <v>267</v>
      </c>
      <c r="H598" s="30" t="s">
        <v>1038</v>
      </c>
      <c r="I598" s="29">
        <v>7069805</v>
      </c>
      <c r="J598" s="29">
        <v>10</v>
      </c>
      <c r="K598" s="29">
        <v>706981</v>
      </c>
      <c r="L598" s="38"/>
      <c r="M598" s="39"/>
      <c r="N598" s="40"/>
      <c r="O598" s="35"/>
      <c r="P598" s="36"/>
      <c r="Q598" s="36"/>
      <c r="T598" s="36"/>
    </row>
    <row r="599" spans="1:20" s="37" customFormat="1" ht="18.75" customHeight="1">
      <c r="A599" s="29">
        <f t="shared" si="11"/>
        <v>580</v>
      </c>
      <c r="B599" s="30"/>
      <c r="C599" s="30" t="s">
        <v>54</v>
      </c>
      <c r="D599" s="30" t="s">
        <v>1053</v>
      </c>
      <c r="E599" s="31">
        <v>42978</v>
      </c>
      <c r="F599" s="30" t="s">
        <v>56</v>
      </c>
      <c r="G599" s="30" t="s">
        <v>57</v>
      </c>
      <c r="H599" s="30" t="s">
        <v>1038</v>
      </c>
      <c r="I599" s="29">
        <v>6531250</v>
      </c>
      <c r="J599" s="29">
        <v>10</v>
      </c>
      <c r="K599" s="29">
        <v>653125</v>
      </c>
      <c r="L599" s="38"/>
      <c r="M599" s="39"/>
      <c r="N599" s="40"/>
      <c r="O599" s="35"/>
      <c r="P599" s="36"/>
      <c r="Q599" s="36"/>
      <c r="T599" s="36"/>
    </row>
    <row r="600" spans="1:20" s="37" customFormat="1" ht="18.75" customHeight="1">
      <c r="A600" s="29">
        <f t="shared" si="11"/>
        <v>581</v>
      </c>
      <c r="B600" s="30"/>
      <c r="C600" s="30" t="s">
        <v>202</v>
      </c>
      <c r="D600" s="30" t="s">
        <v>1054</v>
      </c>
      <c r="E600" s="31">
        <v>42978</v>
      </c>
      <c r="F600" s="30" t="s">
        <v>84</v>
      </c>
      <c r="G600" s="30" t="s">
        <v>85</v>
      </c>
      <c r="H600" s="30" t="s">
        <v>1055</v>
      </c>
      <c r="I600" s="29">
        <v>827636</v>
      </c>
      <c r="J600" s="29">
        <v>10</v>
      </c>
      <c r="K600" s="29">
        <v>82764</v>
      </c>
      <c r="L600" s="38"/>
      <c r="M600" s="39"/>
      <c r="N600" s="40"/>
      <c r="O600" s="35"/>
      <c r="P600" s="36"/>
      <c r="Q600" s="36"/>
      <c r="T600" s="36"/>
    </row>
    <row r="601" spans="1:20" s="37" customFormat="1" ht="18.75" customHeight="1">
      <c r="A601" s="29">
        <f t="shared" si="11"/>
        <v>582</v>
      </c>
      <c r="B601" s="30"/>
      <c r="C601" s="30" t="s">
        <v>152</v>
      </c>
      <c r="D601" s="30" t="s">
        <v>1056</v>
      </c>
      <c r="E601" s="31">
        <v>42978</v>
      </c>
      <c r="F601" s="30" t="s">
        <v>844</v>
      </c>
      <c r="G601" s="30" t="s">
        <v>845</v>
      </c>
      <c r="H601" s="30" t="s">
        <v>846</v>
      </c>
      <c r="I601" s="29">
        <v>991636</v>
      </c>
      <c r="J601" s="29">
        <v>10</v>
      </c>
      <c r="K601" s="29">
        <v>99164</v>
      </c>
      <c r="L601" s="38"/>
      <c r="M601" s="39"/>
      <c r="N601" s="40"/>
      <c r="O601" s="35"/>
      <c r="P601" s="36"/>
      <c r="Q601" s="36"/>
      <c r="T601" s="36"/>
    </row>
    <row r="602" spans="1:20" s="37" customFormat="1" ht="18.75" customHeight="1">
      <c r="A602" s="29">
        <f t="shared" si="11"/>
        <v>583</v>
      </c>
      <c r="B602" s="30"/>
      <c r="C602" s="30" t="s">
        <v>69</v>
      </c>
      <c r="D602" s="30" t="s">
        <v>1057</v>
      </c>
      <c r="E602" s="31">
        <v>42979</v>
      </c>
      <c r="F602" s="30" t="s">
        <v>71</v>
      </c>
      <c r="G602" s="30" t="s">
        <v>72</v>
      </c>
      <c r="H602" s="30" t="s">
        <v>40</v>
      </c>
      <c r="I602" s="29">
        <v>1600000</v>
      </c>
      <c r="J602" s="29">
        <v>10</v>
      </c>
      <c r="K602" s="29">
        <v>160000</v>
      </c>
      <c r="L602" s="38"/>
      <c r="M602" s="39"/>
      <c r="N602" s="40"/>
      <c r="O602" s="35"/>
      <c r="P602" s="36"/>
      <c r="Q602" s="36"/>
      <c r="T602" s="36"/>
    </row>
    <row r="603" spans="1:20" s="37" customFormat="1" ht="18.75" customHeight="1">
      <c r="A603" s="29">
        <f t="shared" si="11"/>
        <v>584</v>
      </c>
      <c r="B603" s="30"/>
      <c r="C603" s="30" t="s">
        <v>1058</v>
      </c>
      <c r="D603" s="30" t="s">
        <v>1059</v>
      </c>
      <c r="E603" s="31">
        <v>42979</v>
      </c>
      <c r="F603" s="30" t="s">
        <v>89</v>
      </c>
      <c r="G603" s="30" t="s">
        <v>90</v>
      </c>
      <c r="H603" s="30" t="s">
        <v>858</v>
      </c>
      <c r="I603" s="29">
        <v>202648</v>
      </c>
      <c r="J603" s="29">
        <v>10</v>
      </c>
      <c r="K603" s="29">
        <v>20265</v>
      </c>
      <c r="L603" s="38"/>
      <c r="M603" s="39"/>
      <c r="N603" s="40"/>
      <c r="O603" s="35"/>
      <c r="P603" s="36"/>
      <c r="Q603" s="36"/>
      <c r="T603" s="36"/>
    </row>
    <row r="604" spans="1:20" s="37" customFormat="1" ht="18.75" customHeight="1">
      <c r="A604" s="29">
        <f t="shared" si="11"/>
        <v>585</v>
      </c>
      <c r="B604" s="30"/>
      <c r="C604" s="30" t="s">
        <v>1058</v>
      </c>
      <c r="D604" s="30" t="s">
        <v>1060</v>
      </c>
      <c r="E604" s="31">
        <v>42979</v>
      </c>
      <c r="F604" s="30" t="s">
        <v>89</v>
      </c>
      <c r="G604" s="30" t="s">
        <v>90</v>
      </c>
      <c r="H604" s="30" t="s">
        <v>858</v>
      </c>
      <c r="I604" s="29">
        <v>610010</v>
      </c>
      <c r="J604" s="29">
        <v>10</v>
      </c>
      <c r="K604" s="29">
        <v>61001</v>
      </c>
      <c r="L604" s="38"/>
      <c r="M604" s="39"/>
      <c r="N604" s="40"/>
      <c r="O604" s="35"/>
      <c r="P604" s="36"/>
      <c r="Q604" s="36"/>
      <c r="T604" s="36"/>
    </row>
    <row r="605" spans="1:20" s="37" customFormat="1" ht="18.75" customHeight="1">
      <c r="A605" s="29">
        <f t="shared" si="11"/>
        <v>586</v>
      </c>
      <c r="B605" s="30"/>
      <c r="C605" s="30" t="s">
        <v>112</v>
      </c>
      <c r="D605" s="30" t="s">
        <v>1061</v>
      </c>
      <c r="E605" s="31">
        <v>42979</v>
      </c>
      <c r="F605" s="30" t="s">
        <v>114</v>
      </c>
      <c r="G605" s="30" t="s">
        <v>115</v>
      </c>
      <c r="H605" s="30" t="s">
        <v>116</v>
      </c>
      <c r="I605" s="29">
        <v>226950</v>
      </c>
      <c r="J605" s="29">
        <v>10</v>
      </c>
      <c r="K605" s="29">
        <v>22695</v>
      </c>
      <c r="L605" s="38"/>
      <c r="M605" s="39"/>
      <c r="N605" s="40"/>
      <c r="O605" s="35"/>
      <c r="P605" s="36"/>
      <c r="Q605" s="36"/>
      <c r="T605" s="36"/>
    </row>
    <row r="606" spans="1:20" s="37" customFormat="1" ht="18.75" customHeight="1">
      <c r="A606" s="29">
        <f t="shared" si="11"/>
        <v>587</v>
      </c>
      <c r="B606" s="30"/>
      <c r="C606" s="30" t="s">
        <v>1062</v>
      </c>
      <c r="D606" s="30" t="s">
        <v>1063</v>
      </c>
      <c r="E606" s="31">
        <v>42980</v>
      </c>
      <c r="F606" s="30" t="s">
        <v>1064</v>
      </c>
      <c r="G606" s="30" t="s">
        <v>1065</v>
      </c>
      <c r="H606" s="30" t="s">
        <v>134</v>
      </c>
      <c r="I606" s="29">
        <v>805455</v>
      </c>
      <c r="J606" s="29">
        <v>10</v>
      </c>
      <c r="K606" s="29">
        <v>80545</v>
      </c>
      <c r="L606" s="38"/>
      <c r="M606" s="39"/>
      <c r="N606" s="40"/>
      <c r="O606" s="35"/>
      <c r="P606" s="36"/>
      <c r="Q606" s="36"/>
      <c r="T606" s="36"/>
    </row>
    <row r="607" spans="1:20" s="37" customFormat="1" ht="18.75" customHeight="1">
      <c r="A607" s="29">
        <f t="shared" si="11"/>
        <v>588</v>
      </c>
      <c r="B607" s="30"/>
      <c r="C607" s="30" t="s">
        <v>162</v>
      </c>
      <c r="D607" s="30" t="s">
        <v>1066</v>
      </c>
      <c r="E607" s="31">
        <v>42982</v>
      </c>
      <c r="F607" s="30" t="s">
        <v>164</v>
      </c>
      <c r="G607" s="30" t="s">
        <v>165</v>
      </c>
      <c r="H607" s="30" t="s">
        <v>166</v>
      </c>
      <c r="I607" s="29">
        <v>33361005</v>
      </c>
      <c r="J607" s="29">
        <v>10</v>
      </c>
      <c r="K607" s="29">
        <v>3336101</v>
      </c>
      <c r="L607" s="38" t="s">
        <v>52</v>
      </c>
      <c r="M607" s="39">
        <v>43028</v>
      </c>
      <c r="N607" s="40" t="s">
        <v>1067</v>
      </c>
      <c r="O607" s="35"/>
      <c r="P607" s="36"/>
      <c r="Q607" s="36"/>
      <c r="T607" s="36"/>
    </row>
    <row r="608" spans="1:20" s="37" customFormat="1" ht="18.75" customHeight="1">
      <c r="A608" s="29">
        <f t="shared" si="11"/>
        <v>589</v>
      </c>
      <c r="B608" s="30"/>
      <c r="C608" s="30" t="s">
        <v>162</v>
      </c>
      <c r="D608" s="30" t="s">
        <v>1068</v>
      </c>
      <c r="E608" s="31">
        <v>42982</v>
      </c>
      <c r="F608" s="30" t="s">
        <v>164</v>
      </c>
      <c r="G608" s="30" t="s">
        <v>165</v>
      </c>
      <c r="H608" s="30" t="s">
        <v>166</v>
      </c>
      <c r="I608" s="29">
        <v>9093275</v>
      </c>
      <c r="J608" s="29">
        <v>10</v>
      </c>
      <c r="K608" s="29">
        <v>909328</v>
      </c>
      <c r="L608" s="38" t="s">
        <v>52</v>
      </c>
      <c r="M608" s="39">
        <v>43028</v>
      </c>
      <c r="N608" s="40" t="s">
        <v>1067</v>
      </c>
      <c r="O608" s="35"/>
      <c r="P608" s="36"/>
      <c r="Q608" s="36"/>
      <c r="T608" s="36"/>
    </row>
    <row r="609" spans="1:20" s="37" customFormat="1" ht="18.75" customHeight="1">
      <c r="A609" s="29">
        <f t="shared" si="11"/>
        <v>590</v>
      </c>
      <c r="B609" s="30"/>
      <c r="C609" s="30" t="s">
        <v>502</v>
      </c>
      <c r="D609" s="30" t="s">
        <v>1069</v>
      </c>
      <c r="E609" s="31">
        <v>42982</v>
      </c>
      <c r="F609" s="30" t="s">
        <v>362</v>
      </c>
      <c r="G609" s="30" t="s">
        <v>363</v>
      </c>
      <c r="H609" s="30" t="s">
        <v>129</v>
      </c>
      <c r="I609" s="29">
        <v>454545</v>
      </c>
      <c r="J609" s="29">
        <v>10</v>
      </c>
      <c r="K609" s="29">
        <v>45455</v>
      </c>
      <c r="L609" s="38"/>
      <c r="M609" s="39"/>
      <c r="N609" s="40"/>
      <c r="O609" s="35"/>
      <c r="P609" s="36"/>
      <c r="Q609" s="36"/>
      <c r="T609" s="36"/>
    </row>
    <row r="610" spans="1:20" s="37" customFormat="1" ht="18.75" customHeight="1">
      <c r="A610" s="29">
        <f t="shared" si="11"/>
        <v>591</v>
      </c>
      <c r="B610" s="30"/>
      <c r="C610" s="30" t="s">
        <v>468</v>
      </c>
      <c r="D610" s="30" t="s">
        <v>1070</v>
      </c>
      <c r="E610" s="31">
        <v>42983</v>
      </c>
      <c r="F610" s="30" t="s">
        <v>554</v>
      </c>
      <c r="G610" s="30" t="s">
        <v>555</v>
      </c>
      <c r="H610" s="30" t="s">
        <v>1071</v>
      </c>
      <c r="I610" s="29">
        <v>17050000</v>
      </c>
      <c r="J610" s="29">
        <v>10</v>
      </c>
      <c r="K610" s="29">
        <v>1705000</v>
      </c>
      <c r="L610" s="38"/>
      <c r="M610" s="39"/>
      <c r="N610" s="40"/>
      <c r="O610" s="35"/>
      <c r="P610" s="36"/>
      <c r="Q610" s="36"/>
      <c r="T610" s="36"/>
    </row>
    <row r="611" spans="1:20" s="37" customFormat="1" ht="18.75" customHeight="1">
      <c r="A611" s="29">
        <f t="shared" si="11"/>
        <v>592</v>
      </c>
      <c r="B611" s="30"/>
      <c r="C611" s="30" t="s">
        <v>54</v>
      </c>
      <c r="D611" s="30" t="s">
        <v>1072</v>
      </c>
      <c r="E611" s="31">
        <v>42983</v>
      </c>
      <c r="F611" s="30" t="s">
        <v>56</v>
      </c>
      <c r="G611" s="30" t="s">
        <v>57</v>
      </c>
      <c r="H611" s="30" t="s">
        <v>1038</v>
      </c>
      <c r="I611" s="29">
        <v>6902912</v>
      </c>
      <c r="J611" s="29">
        <v>10</v>
      </c>
      <c r="K611" s="29">
        <v>690291</v>
      </c>
      <c r="L611" s="38"/>
      <c r="M611" s="39"/>
      <c r="N611" s="40"/>
      <c r="O611" s="35"/>
      <c r="P611" s="36"/>
      <c r="Q611" s="36"/>
      <c r="T611" s="36"/>
    </row>
    <row r="612" spans="1:20" s="37" customFormat="1" ht="18.75" customHeight="1">
      <c r="A612" s="29">
        <f t="shared" si="11"/>
        <v>593</v>
      </c>
      <c r="B612" s="30"/>
      <c r="C612" s="30" t="s">
        <v>93</v>
      </c>
      <c r="D612" s="30" t="s">
        <v>1073</v>
      </c>
      <c r="E612" s="31">
        <v>42983</v>
      </c>
      <c r="F612" s="30" t="s">
        <v>258</v>
      </c>
      <c r="G612" s="30" t="s">
        <v>259</v>
      </c>
      <c r="H612" s="30" t="s">
        <v>1074</v>
      </c>
      <c r="I612" s="29">
        <v>455000</v>
      </c>
      <c r="J612" s="29">
        <v>10</v>
      </c>
      <c r="K612" s="29">
        <v>45500</v>
      </c>
      <c r="L612" s="38"/>
      <c r="M612" s="39"/>
      <c r="N612" s="40"/>
      <c r="O612" s="35"/>
      <c r="P612" s="36"/>
      <c r="Q612" s="36"/>
      <c r="T612" s="36"/>
    </row>
    <row r="613" spans="1:20" s="37" customFormat="1" ht="18.75" customHeight="1">
      <c r="A613" s="29">
        <f t="shared" si="11"/>
        <v>594</v>
      </c>
      <c r="B613" s="30"/>
      <c r="C613" s="30" t="s">
        <v>965</v>
      </c>
      <c r="D613" s="30" t="s">
        <v>1075</v>
      </c>
      <c r="E613" s="31">
        <v>42983</v>
      </c>
      <c r="F613" s="30" t="s">
        <v>1076</v>
      </c>
      <c r="G613" s="30" t="s">
        <v>1077</v>
      </c>
      <c r="H613" s="30" t="s">
        <v>1078</v>
      </c>
      <c r="I613" s="29">
        <v>9072727</v>
      </c>
      <c r="J613" s="29">
        <v>10</v>
      </c>
      <c r="K613" s="29">
        <v>907273</v>
      </c>
      <c r="L613" s="38"/>
      <c r="M613" s="39"/>
      <c r="N613" s="40"/>
      <c r="O613" s="35"/>
      <c r="P613" s="36"/>
      <c r="Q613" s="36"/>
      <c r="T613" s="36"/>
    </row>
    <row r="614" spans="1:20" s="37" customFormat="1" ht="18.75" customHeight="1">
      <c r="A614" s="29">
        <f t="shared" si="11"/>
        <v>595</v>
      </c>
      <c r="B614" s="30"/>
      <c r="C614" s="30" t="s">
        <v>468</v>
      </c>
      <c r="D614" s="30" t="s">
        <v>195</v>
      </c>
      <c r="E614" s="31">
        <v>42984</v>
      </c>
      <c r="F614" s="30" t="s">
        <v>554</v>
      </c>
      <c r="G614" s="30" t="s">
        <v>555</v>
      </c>
      <c r="H614" s="30" t="s">
        <v>1079</v>
      </c>
      <c r="I614" s="29">
        <v>16875000</v>
      </c>
      <c r="J614" s="29">
        <v>10</v>
      </c>
      <c r="K614" s="29">
        <v>1687500</v>
      </c>
      <c r="L614" s="38"/>
      <c r="M614" s="39"/>
      <c r="N614" s="40"/>
      <c r="O614" s="35"/>
      <c r="P614" s="36"/>
      <c r="Q614" s="36"/>
      <c r="T614" s="36"/>
    </row>
    <row r="615" spans="1:20" s="37" customFormat="1" ht="18.75" customHeight="1">
      <c r="A615" s="29">
        <f t="shared" si="11"/>
        <v>596</v>
      </c>
      <c r="B615" s="30"/>
      <c r="C615" s="30" t="s">
        <v>1080</v>
      </c>
      <c r="D615" s="30" t="s">
        <v>1081</v>
      </c>
      <c r="E615" s="31">
        <v>42984</v>
      </c>
      <c r="F615" s="30" t="s">
        <v>1082</v>
      </c>
      <c r="G615" s="30" t="s">
        <v>1083</v>
      </c>
      <c r="H615" s="30" t="s">
        <v>1084</v>
      </c>
      <c r="I615" s="29">
        <v>1700000</v>
      </c>
      <c r="J615" s="29">
        <v>10</v>
      </c>
      <c r="K615" s="29">
        <v>170000</v>
      </c>
      <c r="L615" s="38"/>
      <c r="M615" s="39"/>
      <c r="N615" s="40"/>
      <c r="O615" s="35"/>
      <c r="P615" s="36"/>
      <c r="Q615" s="36"/>
      <c r="T615" s="36"/>
    </row>
    <row r="616" spans="1:20" s="37" customFormat="1" ht="18.75" customHeight="1">
      <c r="A616" s="29">
        <f t="shared" si="11"/>
        <v>597</v>
      </c>
      <c r="B616" s="30"/>
      <c r="C616" s="30" t="s">
        <v>93</v>
      </c>
      <c r="D616" s="30" t="s">
        <v>1085</v>
      </c>
      <c r="E616" s="31">
        <v>42984</v>
      </c>
      <c r="F616" s="30" t="s">
        <v>49</v>
      </c>
      <c r="G616" s="30" t="s">
        <v>50</v>
      </c>
      <c r="H616" s="30" t="s">
        <v>864</v>
      </c>
      <c r="I616" s="29">
        <v>132000000</v>
      </c>
      <c r="J616" s="29">
        <v>10</v>
      </c>
      <c r="K616" s="29">
        <v>13200000</v>
      </c>
      <c r="L616" s="38" t="s">
        <v>52</v>
      </c>
      <c r="M616" s="39">
        <v>43028</v>
      </c>
      <c r="N616" s="40" t="s">
        <v>1067</v>
      </c>
      <c r="O616" s="35"/>
      <c r="P616" s="36"/>
      <c r="Q616" s="36"/>
      <c r="T616" s="36"/>
    </row>
    <row r="617" spans="1:20" s="37" customFormat="1" ht="18.75" customHeight="1">
      <c r="A617" s="29">
        <f t="shared" si="11"/>
        <v>598</v>
      </c>
      <c r="B617" s="30"/>
      <c r="C617" s="30" t="s">
        <v>162</v>
      </c>
      <c r="D617" s="30" t="s">
        <v>1086</v>
      </c>
      <c r="E617" s="31">
        <v>42984</v>
      </c>
      <c r="F617" s="30" t="s">
        <v>164</v>
      </c>
      <c r="G617" s="30" t="s">
        <v>165</v>
      </c>
      <c r="H617" s="30" t="s">
        <v>166</v>
      </c>
      <c r="I617" s="29">
        <v>8050264</v>
      </c>
      <c r="J617" s="29">
        <v>10</v>
      </c>
      <c r="K617" s="29">
        <v>805026</v>
      </c>
      <c r="L617" s="38"/>
      <c r="M617" s="39"/>
      <c r="N617" s="40"/>
      <c r="O617" s="35"/>
      <c r="P617" s="36"/>
      <c r="Q617" s="36"/>
      <c r="T617" s="36"/>
    </row>
    <row r="618" spans="1:20" s="37" customFormat="1" ht="18.75" customHeight="1">
      <c r="A618" s="29">
        <f t="shared" si="11"/>
        <v>599</v>
      </c>
      <c r="B618" s="30"/>
      <c r="C618" s="30" t="s">
        <v>167</v>
      </c>
      <c r="D618" s="30" t="s">
        <v>1087</v>
      </c>
      <c r="E618" s="31">
        <v>42984</v>
      </c>
      <c r="F618" s="30" t="s">
        <v>1088</v>
      </c>
      <c r="G618" s="30" t="s">
        <v>1089</v>
      </c>
      <c r="H618" s="30" t="s">
        <v>1090</v>
      </c>
      <c r="I618" s="29">
        <v>174762</v>
      </c>
      <c r="J618" s="29">
        <v>5</v>
      </c>
      <c r="K618" s="29">
        <v>8738</v>
      </c>
      <c r="L618" s="38"/>
      <c r="M618" s="39"/>
      <c r="N618" s="40"/>
      <c r="O618" s="35"/>
      <c r="P618" s="36"/>
      <c r="Q618" s="36"/>
      <c r="T618" s="36"/>
    </row>
    <row r="619" spans="1:20" s="37" customFormat="1" ht="18.75" customHeight="1">
      <c r="A619" s="29">
        <f t="shared" si="11"/>
        <v>600</v>
      </c>
      <c r="B619" s="30"/>
      <c r="C619" s="30" t="s">
        <v>167</v>
      </c>
      <c r="D619" s="30" t="s">
        <v>1091</v>
      </c>
      <c r="E619" s="31">
        <v>42984</v>
      </c>
      <c r="F619" s="30" t="s">
        <v>1088</v>
      </c>
      <c r="G619" s="30" t="s">
        <v>1089</v>
      </c>
      <c r="H619" s="30" t="s">
        <v>1090</v>
      </c>
      <c r="I619" s="29">
        <v>1882636</v>
      </c>
      <c r="J619" s="29">
        <v>10</v>
      </c>
      <c r="K619" s="29">
        <v>188264</v>
      </c>
      <c r="L619" s="38"/>
      <c r="M619" s="39"/>
      <c r="N619" s="40"/>
      <c r="O619" s="35"/>
      <c r="P619" s="36"/>
      <c r="Q619" s="36"/>
      <c r="T619" s="36"/>
    </row>
    <row r="620" spans="1:20" s="37" customFormat="1" ht="18.75" customHeight="1">
      <c r="A620" s="29">
        <f t="shared" si="11"/>
        <v>601</v>
      </c>
      <c r="B620" s="30"/>
      <c r="C620" s="30" t="s">
        <v>833</v>
      </c>
      <c r="D620" s="30" t="s">
        <v>1092</v>
      </c>
      <c r="E620" s="31">
        <v>42984</v>
      </c>
      <c r="F620" s="30" t="s">
        <v>835</v>
      </c>
      <c r="G620" s="30" t="s">
        <v>836</v>
      </c>
      <c r="H620" s="30" t="s">
        <v>858</v>
      </c>
      <c r="I620" s="29">
        <v>650678</v>
      </c>
      <c r="J620" s="29">
        <v>10</v>
      </c>
      <c r="K620" s="29">
        <v>65068</v>
      </c>
      <c r="L620" s="38"/>
      <c r="M620" s="39"/>
      <c r="N620" s="40"/>
      <c r="O620" s="35"/>
      <c r="P620" s="36"/>
      <c r="Q620" s="36"/>
      <c r="T620" s="36"/>
    </row>
    <row r="621" spans="1:20" s="37" customFormat="1" ht="18.75" customHeight="1">
      <c r="A621" s="29">
        <f t="shared" si="11"/>
        <v>602</v>
      </c>
      <c r="B621" s="30"/>
      <c r="C621" s="30" t="s">
        <v>242</v>
      </c>
      <c r="D621" s="30" t="s">
        <v>1093</v>
      </c>
      <c r="E621" s="31">
        <v>42985</v>
      </c>
      <c r="F621" s="30" t="s">
        <v>244</v>
      </c>
      <c r="G621" s="30" t="s">
        <v>245</v>
      </c>
      <c r="H621" s="30" t="s">
        <v>1094</v>
      </c>
      <c r="I621" s="29">
        <v>1890000</v>
      </c>
      <c r="J621" s="29">
        <v>10</v>
      </c>
      <c r="K621" s="29">
        <v>189000</v>
      </c>
      <c r="L621" s="38"/>
      <c r="M621" s="39"/>
      <c r="N621" s="40"/>
      <c r="O621" s="35"/>
      <c r="P621" s="36"/>
      <c r="Q621" s="36"/>
      <c r="T621" s="36"/>
    </row>
    <row r="622" spans="1:20" s="37" customFormat="1" ht="18.75" customHeight="1">
      <c r="A622" s="29">
        <f t="shared" si="11"/>
        <v>603</v>
      </c>
      <c r="B622" s="30"/>
      <c r="C622" s="30" t="s">
        <v>162</v>
      </c>
      <c r="D622" s="30" t="s">
        <v>1095</v>
      </c>
      <c r="E622" s="31">
        <v>42985</v>
      </c>
      <c r="F622" s="30" t="s">
        <v>164</v>
      </c>
      <c r="G622" s="30" t="s">
        <v>165</v>
      </c>
      <c r="H622" s="30" t="s">
        <v>166</v>
      </c>
      <c r="I622" s="29">
        <v>26860628</v>
      </c>
      <c r="J622" s="29">
        <v>10</v>
      </c>
      <c r="K622" s="29">
        <v>2686063</v>
      </c>
      <c r="L622" s="38" t="s">
        <v>52</v>
      </c>
      <c r="M622" s="39">
        <v>43028</v>
      </c>
      <c r="N622" s="40" t="s">
        <v>1067</v>
      </c>
      <c r="O622" s="35"/>
      <c r="P622" s="36"/>
      <c r="Q622" s="36"/>
      <c r="T622" s="36"/>
    </row>
    <row r="623" spans="1:20" s="37" customFormat="1" ht="18.75" customHeight="1">
      <c r="A623" s="29">
        <f t="shared" si="11"/>
        <v>604</v>
      </c>
      <c r="B623" s="30"/>
      <c r="C623" s="30" t="s">
        <v>69</v>
      </c>
      <c r="D623" s="30" t="s">
        <v>1096</v>
      </c>
      <c r="E623" s="31">
        <v>42985</v>
      </c>
      <c r="F623" s="30" t="s">
        <v>71</v>
      </c>
      <c r="G623" s="30" t="s">
        <v>72</v>
      </c>
      <c r="H623" s="30" t="s">
        <v>40</v>
      </c>
      <c r="I623" s="29">
        <v>400000</v>
      </c>
      <c r="J623" s="29">
        <v>10</v>
      </c>
      <c r="K623" s="29">
        <v>40000</v>
      </c>
      <c r="L623" s="38"/>
      <c r="M623" s="39"/>
      <c r="N623" s="40"/>
      <c r="O623" s="35"/>
      <c r="P623" s="36"/>
      <c r="Q623" s="36"/>
      <c r="T623" s="36"/>
    </row>
    <row r="624" spans="1:20" s="37" customFormat="1" ht="18.75" customHeight="1">
      <c r="A624" s="29">
        <f t="shared" si="11"/>
        <v>605</v>
      </c>
      <c r="B624" s="30"/>
      <c r="C624" s="30" t="s">
        <v>833</v>
      </c>
      <c r="D624" s="30" t="s">
        <v>1097</v>
      </c>
      <c r="E624" s="31">
        <v>42985</v>
      </c>
      <c r="F624" s="30" t="s">
        <v>835</v>
      </c>
      <c r="G624" s="30" t="s">
        <v>836</v>
      </c>
      <c r="H624" s="30" t="s">
        <v>858</v>
      </c>
      <c r="I624" s="29">
        <v>315541</v>
      </c>
      <c r="J624" s="29">
        <v>10</v>
      </c>
      <c r="K624" s="29">
        <v>31554</v>
      </c>
      <c r="L624" s="38"/>
      <c r="M624" s="39"/>
      <c r="N624" s="40"/>
      <c r="O624" s="35"/>
      <c r="P624" s="36"/>
      <c r="Q624" s="36"/>
      <c r="T624" s="36"/>
    </row>
    <row r="625" spans="1:20" s="37" customFormat="1" ht="18.75" customHeight="1">
      <c r="A625" s="29">
        <f t="shared" si="11"/>
        <v>606</v>
      </c>
      <c r="B625" s="30"/>
      <c r="C625" s="30" t="s">
        <v>833</v>
      </c>
      <c r="D625" s="30" t="s">
        <v>1098</v>
      </c>
      <c r="E625" s="31">
        <v>42985</v>
      </c>
      <c r="F625" s="30" t="s">
        <v>835</v>
      </c>
      <c r="G625" s="30" t="s">
        <v>836</v>
      </c>
      <c r="H625" s="30" t="s">
        <v>858</v>
      </c>
      <c r="I625" s="29">
        <v>225378</v>
      </c>
      <c r="J625" s="29">
        <v>10</v>
      </c>
      <c r="K625" s="29">
        <v>22538</v>
      </c>
      <c r="L625" s="38"/>
      <c r="M625" s="39"/>
      <c r="N625" s="40"/>
      <c r="O625" s="35"/>
      <c r="P625" s="36"/>
      <c r="Q625" s="36"/>
      <c r="T625" s="36"/>
    </row>
    <row r="626" spans="1:20" s="37" customFormat="1" ht="18.75" customHeight="1">
      <c r="A626" s="29">
        <f t="shared" si="11"/>
        <v>607</v>
      </c>
      <c r="B626" s="30"/>
      <c r="C626" s="30" t="s">
        <v>119</v>
      </c>
      <c r="D626" s="30" t="s">
        <v>1099</v>
      </c>
      <c r="E626" s="31">
        <v>42986</v>
      </c>
      <c r="F626" s="30" t="s">
        <v>121</v>
      </c>
      <c r="G626" s="30" t="s">
        <v>122</v>
      </c>
      <c r="H626" s="30" t="s">
        <v>1100</v>
      </c>
      <c r="I626" s="29">
        <v>286840183</v>
      </c>
      <c r="J626" s="29">
        <v>10</v>
      </c>
      <c r="K626" s="29">
        <v>28684018</v>
      </c>
      <c r="L626" s="38" t="s">
        <v>52</v>
      </c>
      <c r="M626" s="39">
        <v>42990</v>
      </c>
      <c r="N626" s="40" t="s">
        <v>1067</v>
      </c>
      <c r="O626" s="35"/>
      <c r="P626" s="36"/>
      <c r="Q626" s="36"/>
      <c r="T626" s="36"/>
    </row>
    <row r="627" spans="1:20" s="37" customFormat="1" ht="18.75" customHeight="1">
      <c r="A627" s="29">
        <f t="shared" si="11"/>
        <v>608</v>
      </c>
      <c r="B627" s="30"/>
      <c r="C627" s="30" t="s">
        <v>54</v>
      </c>
      <c r="D627" s="30" t="s">
        <v>1101</v>
      </c>
      <c r="E627" s="31">
        <v>42986</v>
      </c>
      <c r="F627" s="30" t="s">
        <v>56</v>
      </c>
      <c r="G627" s="30" t="s">
        <v>57</v>
      </c>
      <c r="H627" s="30" t="s">
        <v>1038</v>
      </c>
      <c r="I627" s="29">
        <v>6530000</v>
      </c>
      <c r="J627" s="29">
        <v>10</v>
      </c>
      <c r="K627" s="29">
        <v>653000</v>
      </c>
      <c r="L627" s="38"/>
      <c r="M627" s="39"/>
      <c r="N627" s="40"/>
      <c r="O627" s="35"/>
      <c r="P627" s="36"/>
      <c r="Q627" s="36"/>
      <c r="T627" s="36"/>
    </row>
    <row r="628" spans="1:20" s="37" customFormat="1" ht="18.75" customHeight="1">
      <c r="A628" s="29">
        <f t="shared" si="11"/>
        <v>609</v>
      </c>
      <c r="B628" s="30"/>
      <c r="C628" s="30" t="s">
        <v>502</v>
      </c>
      <c r="D628" s="30" t="s">
        <v>1102</v>
      </c>
      <c r="E628" s="31">
        <v>42986</v>
      </c>
      <c r="F628" s="30" t="s">
        <v>362</v>
      </c>
      <c r="G628" s="30" t="s">
        <v>363</v>
      </c>
      <c r="H628" s="30" t="s">
        <v>129</v>
      </c>
      <c r="I628" s="29">
        <v>454545</v>
      </c>
      <c r="J628" s="29">
        <v>10</v>
      </c>
      <c r="K628" s="29">
        <v>45455</v>
      </c>
      <c r="L628" s="38"/>
      <c r="M628" s="39"/>
      <c r="N628" s="40"/>
      <c r="O628" s="35"/>
      <c r="P628" s="36"/>
      <c r="Q628" s="36"/>
      <c r="T628" s="36"/>
    </row>
    <row r="629" spans="1:20" s="37" customFormat="1" ht="18.75" customHeight="1">
      <c r="A629" s="29">
        <f t="shared" si="11"/>
        <v>610</v>
      </c>
      <c r="B629" s="30"/>
      <c r="C629" s="30" t="s">
        <v>1103</v>
      </c>
      <c r="D629" s="30" t="s">
        <v>1104</v>
      </c>
      <c r="E629" s="31">
        <v>42987</v>
      </c>
      <c r="F629" s="30" t="s">
        <v>1105</v>
      </c>
      <c r="G629" s="30" t="s">
        <v>1106</v>
      </c>
      <c r="H629" s="30" t="s">
        <v>1107</v>
      </c>
      <c r="I629" s="29">
        <v>1875000</v>
      </c>
      <c r="J629" s="29">
        <v>10</v>
      </c>
      <c r="K629" s="29">
        <v>187500</v>
      </c>
      <c r="L629" s="38"/>
      <c r="M629" s="39"/>
      <c r="N629" s="40"/>
      <c r="O629" s="35"/>
      <c r="P629" s="36"/>
      <c r="Q629" s="36"/>
      <c r="T629" s="36"/>
    </row>
    <row r="630" spans="1:20" s="37" customFormat="1" ht="18.75" customHeight="1">
      <c r="A630" s="29">
        <f t="shared" si="11"/>
        <v>611</v>
      </c>
      <c r="B630" s="30"/>
      <c r="C630" s="30" t="s">
        <v>100</v>
      </c>
      <c r="D630" s="30" t="s">
        <v>1108</v>
      </c>
      <c r="E630" s="31">
        <v>42987</v>
      </c>
      <c r="F630" s="30" t="s">
        <v>102</v>
      </c>
      <c r="G630" s="30" t="s">
        <v>103</v>
      </c>
      <c r="H630" s="30" t="s">
        <v>377</v>
      </c>
      <c r="I630" s="29">
        <v>17560000</v>
      </c>
      <c r="J630" s="29">
        <v>10</v>
      </c>
      <c r="K630" s="29">
        <v>1756000</v>
      </c>
      <c r="L630" s="38"/>
      <c r="M630" s="39"/>
      <c r="N630" s="40"/>
      <c r="O630" s="35"/>
      <c r="P630" s="36"/>
      <c r="Q630" s="36"/>
      <c r="T630" s="36"/>
    </row>
    <row r="631" spans="1:20" s="37" customFormat="1" ht="18.75" customHeight="1">
      <c r="A631" s="29">
        <f t="shared" si="11"/>
        <v>612</v>
      </c>
      <c r="B631" s="30"/>
      <c r="C631" s="30" t="s">
        <v>1109</v>
      </c>
      <c r="D631" s="30" t="s">
        <v>1110</v>
      </c>
      <c r="E631" s="31">
        <v>42987</v>
      </c>
      <c r="F631" s="30" t="s">
        <v>546</v>
      </c>
      <c r="G631" s="30" t="s">
        <v>547</v>
      </c>
      <c r="H631" s="30" t="s">
        <v>134</v>
      </c>
      <c r="I631" s="29">
        <v>557000</v>
      </c>
      <c r="J631" s="29">
        <v>10</v>
      </c>
      <c r="K631" s="29">
        <v>55700</v>
      </c>
      <c r="L631" s="38"/>
      <c r="M631" s="39"/>
      <c r="N631" s="40"/>
      <c r="O631" s="35"/>
      <c r="P631" s="36"/>
      <c r="Q631" s="36"/>
      <c r="T631" s="36"/>
    </row>
    <row r="632" spans="1:20" s="37" customFormat="1" ht="18.75" customHeight="1">
      <c r="A632" s="29">
        <f t="shared" si="11"/>
        <v>613</v>
      </c>
      <c r="B632" s="30"/>
      <c r="C632" s="30" t="s">
        <v>162</v>
      </c>
      <c r="D632" s="30" t="s">
        <v>1111</v>
      </c>
      <c r="E632" s="31">
        <v>42989</v>
      </c>
      <c r="F632" s="30" t="s">
        <v>164</v>
      </c>
      <c r="G632" s="30" t="s">
        <v>165</v>
      </c>
      <c r="H632" s="30" t="s">
        <v>166</v>
      </c>
      <c r="I632" s="29">
        <v>15262630</v>
      </c>
      <c r="J632" s="29">
        <v>10</v>
      </c>
      <c r="K632" s="29">
        <v>1526263</v>
      </c>
      <c r="L632" s="38"/>
      <c r="M632" s="39"/>
      <c r="N632" s="40"/>
      <c r="O632" s="35"/>
      <c r="P632" s="36"/>
      <c r="Q632" s="36"/>
      <c r="T632" s="36"/>
    </row>
    <row r="633" spans="1:20" s="37" customFormat="1" ht="18.75" customHeight="1">
      <c r="A633" s="29">
        <f t="shared" si="11"/>
        <v>614</v>
      </c>
      <c r="B633" s="30"/>
      <c r="C633" s="30" t="s">
        <v>261</v>
      </c>
      <c r="D633" s="30" t="s">
        <v>1112</v>
      </c>
      <c r="E633" s="31">
        <v>42989</v>
      </c>
      <c r="F633" s="30" t="s">
        <v>139</v>
      </c>
      <c r="G633" s="30" t="s">
        <v>140</v>
      </c>
      <c r="H633" s="30" t="s">
        <v>1113</v>
      </c>
      <c r="I633" s="29">
        <v>1295378</v>
      </c>
      <c r="J633" s="29">
        <v>10</v>
      </c>
      <c r="K633" s="29">
        <v>129538</v>
      </c>
      <c r="L633" s="38"/>
      <c r="M633" s="39"/>
      <c r="N633" s="40"/>
      <c r="O633" s="35"/>
      <c r="P633" s="36"/>
      <c r="Q633" s="36"/>
      <c r="T633" s="36"/>
    </row>
    <row r="634" spans="1:20" s="37" customFormat="1" ht="18.75" customHeight="1">
      <c r="A634" s="29">
        <f t="shared" si="11"/>
        <v>615</v>
      </c>
      <c r="B634" s="30"/>
      <c r="C634" s="30" t="s">
        <v>261</v>
      </c>
      <c r="D634" s="30" t="s">
        <v>1114</v>
      </c>
      <c r="E634" s="31">
        <v>42989</v>
      </c>
      <c r="F634" s="30" t="s">
        <v>139</v>
      </c>
      <c r="G634" s="30" t="s">
        <v>140</v>
      </c>
      <c r="H634" s="30" t="s">
        <v>1113</v>
      </c>
      <c r="I634" s="29">
        <v>295531</v>
      </c>
      <c r="J634" s="29">
        <v>10</v>
      </c>
      <c r="K634" s="29">
        <v>29553</v>
      </c>
      <c r="L634" s="38"/>
      <c r="M634" s="39"/>
      <c r="N634" s="40"/>
      <c r="O634" s="35"/>
      <c r="P634" s="36"/>
      <c r="Q634" s="36"/>
      <c r="T634" s="36"/>
    </row>
    <row r="635" spans="1:20" s="37" customFormat="1" ht="18.75" customHeight="1">
      <c r="A635" s="29">
        <f t="shared" si="11"/>
        <v>616</v>
      </c>
      <c r="B635" s="30"/>
      <c r="C635" s="30" t="s">
        <v>261</v>
      </c>
      <c r="D635" s="30" t="s">
        <v>1115</v>
      </c>
      <c r="E635" s="31">
        <v>42989</v>
      </c>
      <c r="F635" s="30" t="s">
        <v>139</v>
      </c>
      <c r="G635" s="30" t="s">
        <v>140</v>
      </c>
      <c r="H635" s="30" t="s">
        <v>1113</v>
      </c>
      <c r="I635" s="29">
        <v>277138</v>
      </c>
      <c r="J635" s="29">
        <v>10</v>
      </c>
      <c r="K635" s="29">
        <v>27714</v>
      </c>
      <c r="L635" s="38"/>
      <c r="M635" s="39"/>
      <c r="N635" s="40"/>
      <c r="O635" s="35"/>
      <c r="P635" s="36"/>
      <c r="Q635" s="36"/>
      <c r="T635" s="36"/>
    </row>
    <row r="636" spans="1:20" s="37" customFormat="1" ht="18.75" customHeight="1">
      <c r="A636" s="29">
        <f t="shared" si="11"/>
        <v>617</v>
      </c>
      <c r="B636" s="30"/>
      <c r="C636" s="30" t="s">
        <v>261</v>
      </c>
      <c r="D636" s="30" t="s">
        <v>1116</v>
      </c>
      <c r="E636" s="31">
        <v>42989</v>
      </c>
      <c r="F636" s="30" t="s">
        <v>139</v>
      </c>
      <c r="G636" s="30" t="s">
        <v>140</v>
      </c>
      <c r="H636" s="30" t="s">
        <v>1113</v>
      </c>
      <c r="I636" s="29">
        <v>626357</v>
      </c>
      <c r="J636" s="29">
        <v>10</v>
      </c>
      <c r="K636" s="29">
        <v>62636</v>
      </c>
      <c r="L636" s="38"/>
      <c r="M636" s="39"/>
      <c r="N636" s="40"/>
      <c r="O636" s="35"/>
      <c r="P636" s="36"/>
      <c r="Q636" s="36"/>
      <c r="T636" s="36"/>
    </row>
    <row r="637" spans="1:20" s="37" customFormat="1" ht="18.75" customHeight="1">
      <c r="A637" s="29">
        <f t="shared" si="11"/>
        <v>618</v>
      </c>
      <c r="B637" s="30"/>
      <c r="C637" s="30" t="s">
        <v>226</v>
      </c>
      <c r="D637" s="30" t="s">
        <v>1117</v>
      </c>
      <c r="E637" s="31">
        <v>42990</v>
      </c>
      <c r="F637" s="30" t="s">
        <v>228</v>
      </c>
      <c r="G637" s="30" t="s">
        <v>229</v>
      </c>
      <c r="H637" s="30" t="s">
        <v>1118</v>
      </c>
      <c r="I637" s="29">
        <v>9720000</v>
      </c>
      <c r="J637" s="29">
        <v>10</v>
      </c>
      <c r="K637" s="29">
        <v>972000</v>
      </c>
      <c r="L637" s="38"/>
      <c r="M637" s="39"/>
      <c r="N637" s="40"/>
      <c r="O637" s="35"/>
      <c r="P637" s="36"/>
      <c r="Q637" s="36"/>
      <c r="T637" s="36"/>
    </row>
    <row r="638" spans="1:20" s="37" customFormat="1" ht="18.75" customHeight="1">
      <c r="A638" s="29">
        <f t="shared" si="11"/>
        <v>619</v>
      </c>
      <c r="B638" s="30"/>
      <c r="C638" s="30" t="s">
        <v>502</v>
      </c>
      <c r="D638" s="30" t="s">
        <v>1119</v>
      </c>
      <c r="E638" s="31">
        <v>42990</v>
      </c>
      <c r="F638" s="30" t="s">
        <v>362</v>
      </c>
      <c r="G638" s="30" t="s">
        <v>363</v>
      </c>
      <c r="H638" s="30" t="s">
        <v>129</v>
      </c>
      <c r="I638" s="29">
        <v>454545</v>
      </c>
      <c r="J638" s="29">
        <v>10</v>
      </c>
      <c r="K638" s="29">
        <v>45455</v>
      </c>
      <c r="L638" s="38"/>
      <c r="M638" s="39"/>
      <c r="N638" s="40"/>
      <c r="O638" s="35"/>
      <c r="P638" s="36"/>
      <c r="Q638" s="36"/>
      <c r="T638" s="36"/>
    </row>
    <row r="639" spans="1:20" s="37" customFormat="1" ht="18.75" customHeight="1">
      <c r="A639" s="29">
        <f t="shared" si="11"/>
        <v>620</v>
      </c>
      <c r="B639" s="30"/>
      <c r="C639" s="30" t="s">
        <v>112</v>
      </c>
      <c r="D639" s="30" t="s">
        <v>1120</v>
      </c>
      <c r="E639" s="31">
        <v>42990</v>
      </c>
      <c r="F639" s="30" t="s">
        <v>114</v>
      </c>
      <c r="G639" s="30" t="s">
        <v>115</v>
      </c>
      <c r="H639" s="30" t="s">
        <v>116</v>
      </c>
      <c r="I639" s="29">
        <v>20000</v>
      </c>
      <c r="J639" s="29">
        <v>10</v>
      </c>
      <c r="K639" s="29">
        <v>2000</v>
      </c>
      <c r="L639" s="38"/>
      <c r="M639" s="39"/>
      <c r="N639" s="40"/>
      <c r="O639" s="35"/>
      <c r="P639" s="36"/>
      <c r="Q639" s="36"/>
      <c r="T639" s="36"/>
    </row>
    <row r="640" spans="1:20" s="37" customFormat="1" ht="18.75" customHeight="1">
      <c r="A640" s="29">
        <f t="shared" ref="A640:A693" si="12">+A639+1</f>
        <v>621</v>
      </c>
      <c r="B640" s="30"/>
      <c r="C640" s="30" t="s">
        <v>112</v>
      </c>
      <c r="D640" s="30" t="s">
        <v>1121</v>
      </c>
      <c r="E640" s="31">
        <v>42990</v>
      </c>
      <c r="F640" s="30" t="s">
        <v>114</v>
      </c>
      <c r="G640" s="30" t="s">
        <v>115</v>
      </c>
      <c r="H640" s="30" t="s">
        <v>116</v>
      </c>
      <c r="I640" s="29">
        <v>40000</v>
      </c>
      <c r="J640" s="29">
        <v>10</v>
      </c>
      <c r="K640" s="29">
        <v>4000</v>
      </c>
      <c r="L640" s="38"/>
      <c r="M640" s="39"/>
      <c r="N640" s="40"/>
      <c r="O640" s="35"/>
      <c r="P640" s="36"/>
      <c r="Q640" s="36"/>
      <c r="T640" s="36"/>
    </row>
    <row r="641" spans="1:20" s="37" customFormat="1" ht="18.75" customHeight="1">
      <c r="A641" s="29">
        <f t="shared" si="12"/>
        <v>622</v>
      </c>
      <c r="B641" s="30"/>
      <c r="C641" s="30" t="s">
        <v>320</v>
      </c>
      <c r="D641" s="30" t="s">
        <v>1122</v>
      </c>
      <c r="E641" s="31">
        <v>42991</v>
      </c>
      <c r="F641" s="30" t="s">
        <v>322</v>
      </c>
      <c r="G641" s="30" t="s">
        <v>323</v>
      </c>
      <c r="H641" s="30" t="s">
        <v>324</v>
      </c>
      <c r="I641" s="29">
        <v>28429400</v>
      </c>
      <c r="J641" s="29">
        <v>10</v>
      </c>
      <c r="K641" s="29">
        <v>2842940</v>
      </c>
      <c r="L641" s="38" t="s">
        <v>52</v>
      </c>
      <c r="M641" s="39">
        <v>42998</v>
      </c>
      <c r="N641" s="40" t="s">
        <v>1067</v>
      </c>
      <c r="O641" s="35"/>
      <c r="P641" s="36"/>
      <c r="Q641" s="36"/>
      <c r="T641" s="36"/>
    </row>
    <row r="642" spans="1:20" s="37" customFormat="1" ht="18.75" customHeight="1">
      <c r="A642" s="29">
        <f t="shared" si="12"/>
        <v>623</v>
      </c>
      <c r="B642" s="30"/>
      <c r="C642" s="30" t="s">
        <v>226</v>
      </c>
      <c r="D642" s="30" t="s">
        <v>1123</v>
      </c>
      <c r="E642" s="31">
        <v>42991</v>
      </c>
      <c r="F642" s="30" t="s">
        <v>228</v>
      </c>
      <c r="G642" s="30" t="s">
        <v>229</v>
      </c>
      <c r="H642" s="30" t="s">
        <v>1124</v>
      </c>
      <c r="I642" s="29">
        <v>4800000</v>
      </c>
      <c r="J642" s="29">
        <v>10</v>
      </c>
      <c r="K642" s="29">
        <v>480000</v>
      </c>
      <c r="L642" s="38"/>
      <c r="M642" s="39"/>
      <c r="N642" s="40"/>
      <c r="O642" s="35"/>
      <c r="P642" s="36"/>
      <c r="Q642" s="36"/>
      <c r="T642" s="36"/>
    </row>
    <row r="643" spans="1:20" s="37" customFormat="1" ht="18.75" customHeight="1">
      <c r="A643" s="29">
        <f t="shared" si="12"/>
        <v>624</v>
      </c>
      <c r="B643" s="30"/>
      <c r="C643" s="30" t="s">
        <v>502</v>
      </c>
      <c r="D643" s="30" t="s">
        <v>1125</v>
      </c>
      <c r="E643" s="31">
        <v>42991</v>
      </c>
      <c r="F643" s="30" t="s">
        <v>362</v>
      </c>
      <c r="G643" s="30" t="s">
        <v>363</v>
      </c>
      <c r="H643" s="30" t="s">
        <v>129</v>
      </c>
      <c r="I643" s="29">
        <v>2536364</v>
      </c>
      <c r="J643" s="29">
        <v>10</v>
      </c>
      <c r="K643" s="29">
        <v>253636</v>
      </c>
      <c r="L643" s="38"/>
      <c r="M643" s="39"/>
      <c r="N643" s="40"/>
      <c r="O643" s="35"/>
      <c r="P643" s="36"/>
      <c r="Q643" s="36"/>
      <c r="T643" s="36"/>
    </row>
    <row r="644" spans="1:20" s="37" customFormat="1" ht="18.75" customHeight="1">
      <c r="A644" s="29">
        <f t="shared" si="12"/>
        <v>625</v>
      </c>
      <c r="B644" s="30"/>
      <c r="C644" s="30" t="s">
        <v>119</v>
      </c>
      <c r="D644" s="30" t="s">
        <v>974</v>
      </c>
      <c r="E644" s="31">
        <v>42992</v>
      </c>
      <c r="F644" s="30" t="s">
        <v>121</v>
      </c>
      <c r="G644" s="30" t="s">
        <v>122</v>
      </c>
      <c r="H644" s="30" t="s">
        <v>1126</v>
      </c>
      <c r="I644" s="29">
        <v>298932116</v>
      </c>
      <c r="J644" s="29">
        <v>10</v>
      </c>
      <c r="K644" s="29">
        <v>29893211</v>
      </c>
      <c r="L644" s="38" t="s">
        <v>52</v>
      </c>
      <c r="M644" s="39">
        <v>43011</v>
      </c>
      <c r="N644" s="40" t="s">
        <v>1067</v>
      </c>
      <c r="O644" s="35"/>
      <c r="P644" s="36"/>
      <c r="Q644" s="36"/>
      <c r="T644" s="36"/>
    </row>
    <row r="645" spans="1:20" s="37" customFormat="1" ht="18.75" customHeight="1">
      <c r="A645" s="29">
        <f t="shared" si="12"/>
        <v>626</v>
      </c>
      <c r="B645" s="30"/>
      <c r="C645" s="30" t="s">
        <v>119</v>
      </c>
      <c r="D645" s="30" t="s">
        <v>1127</v>
      </c>
      <c r="E645" s="31">
        <v>42992</v>
      </c>
      <c r="F645" s="30" t="s">
        <v>121</v>
      </c>
      <c r="G645" s="30" t="s">
        <v>122</v>
      </c>
      <c r="H645" s="30" t="s">
        <v>1128</v>
      </c>
      <c r="I645" s="29">
        <v>536658040</v>
      </c>
      <c r="J645" s="29">
        <v>10</v>
      </c>
      <c r="K645" s="29">
        <v>53665804</v>
      </c>
      <c r="L645" s="38" t="s">
        <v>52</v>
      </c>
      <c r="M645" s="39">
        <v>43011</v>
      </c>
      <c r="N645" s="40" t="s">
        <v>1067</v>
      </c>
      <c r="O645" s="35"/>
      <c r="P645" s="36"/>
      <c r="Q645" s="36"/>
      <c r="T645" s="36"/>
    </row>
    <row r="646" spans="1:20" s="37" customFormat="1" ht="18.75" customHeight="1">
      <c r="A646" s="29">
        <f t="shared" si="12"/>
        <v>627</v>
      </c>
      <c r="B646" s="30"/>
      <c r="C646" s="30" t="s">
        <v>119</v>
      </c>
      <c r="D646" s="30" t="s">
        <v>1129</v>
      </c>
      <c r="E646" s="31">
        <v>42992</v>
      </c>
      <c r="F646" s="30" t="s">
        <v>121</v>
      </c>
      <c r="G646" s="30" t="s">
        <v>122</v>
      </c>
      <c r="H646" s="30" t="s">
        <v>1128</v>
      </c>
      <c r="I646" s="29">
        <v>288223200</v>
      </c>
      <c r="J646" s="29">
        <v>10</v>
      </c>
      <c r="K646" s="29">
        <v>28822320</v>
      </c>
      <c r="L646" s="38" t="s">
        <v>52</v>
      </c>
      <c r="M646" s="39">
        <v>43011</v>
      </c>
      <c r="N646" s="40" t="s">
        <v>1067</v>
      </c>
      <c r="O646" s="35"/>
      <c r="P646" s="36"/>
      <c r="Q646" s="36"/>
      <c r="T646" s="36"/>
    </row>
    <row r="647" spans="1:20" s="37" customFormat="1" ht="18.75" customHeight="1">
      <c r="A647" s="29">
        <f t="shared" si="12"/>
        <v>628</v>
      </c>
      <c r="B647" s="30"/>
      <c r="C647" s="30" t="s">
        <v>74</v>
      </c>
      <c r="D647" s="30" t="s">
        <v>1130</v>
      </c>
      <c r="E647" s="31">
        <v>42993</v>
      </c>
      <c r="F647" s="30" t="s">
        <v>76</v>
      </c>
      <c r="G647" s="30" t="s">
        <v>77</v>
      </c>
      <c r="H647" s="30" t="s">
        <v>1131</v>
      </c>
      <c r="I647" s="29">
        <v>3476400</v>
      </c>
      <c r="J647" s="29">
        <v>10</v>
      </c>
      <c r="K647" s="29">
        <v>347640</v>
      </c>
      <c r="L647" s="38"/>
      <c r="M647" s="39"/>
      <c r="N647" s="40"/>
      <c r="O647" s="35"/>
      <c r="P647" s="36"/>
      <c r="Q647" s="36"/>
      <c r="T647" s="36"/>
    </row>
    <row r="648" spans="1:20" s="37" customFormat="1" ht="18.75" customHeight="1">
      <c r="A648" s="29">
        <f t="shared" si="12"/>
        <v>629</v>
      </c>
      <c r="B648" s="30"/>
      <c r="C648" s="30" t="s">
        <v>74</v>
      </c>
      <c r="D648" s="30" t="s">
        <v>96</v>
      </c>
      <c r="E648" s="31">
        <v>42993</v>
      </c>
      <c r="F648" s="30" t="s">
        <v>76</v>
      </c>
      <c r="G648" s="30" t="s">
        <v>77</v>
      </c>
      <c r="H648" s="30" t="s">
        <v>1132</v>
      </c>
      <c r="I648" s="29">
        <v>1370400</v>
      </c>
      <c r="J648" s="29">
        <v>10</v>
      </c>
      <c r="K648" s="29">
        <v>137040</v>
      </c>
      <c r="L648" s="38"/>
      <c r="M648" s="39"/>
      <c r="N648" s="40"/>
      <c r="O648" s="35"/>
      <c r="P648" s="36"/>
      <c r="Q648" s="36"/>
      <c r="T648" s="36"/>
    </row>
    <row r="649" spans="1:20" s="37" customFormat="1" ht="18.75" customHeight="1">
      <c r="A649" s="29">
        <f t="shared" si="12"/>
        <v>630</v>
      </c>
      <c r="B649" s="30"/>
      <c r="C649" s="30" t="s">
        <v>74</v>
      </c>
      <c r="D649" s="30" t="s">
        <v>1133</v>
      </c>
      <c r="E649" s="31">
        <v>42993</v>
      </c>
      <c r="F649" s="30" t="s">
        <v>76</v>
      </c>
      <c r="G649" s="30" t="s">
        <v>77</v>
      </c>
      <c r="H649" s="30" t="s">
        <v>1134</v>
      </c>
      <c r="I649" s="29">
        <v>946000</v>
      </c>
      <c r="J649" s="29">
        <v>10</v>
      </c>
      <c r="K649" s="29">
        <v>94600</v>
      </c>
      <c r="L649" s="38"/>
      <c r="M649" s="39"/>
      <c r="N649" s="40"/>
      <c r="O649" s="35"/>
      <c r="P649" s="36"/>
      <c r="Q649" s="36"/>
      <c r="T649" s="36"/>
    </row>
    <row r="650" spans="1:20" s="37" customFormat="1" ht="18.75" customHeight="1">
      <c r="A650" s="29">
        <f t="shared" si="12"/>
        <v>631</v>
      </c>
      <c r="B650" s="30"/>
      <c r="C650" s="30" t="s">
        <v>204</v>
      </c>
      <c r="D650" s="30" t="s">
        <v>1135</v>
      </c>
      <c r="E650" s="31">
        <v>42993</v>
      </c>
      <c r="F650" s="30" t="s">
        <v>206</v>
      </c>
      <c r="G650" s="30" t="s">
        <v>207</v>
      </c>
      <c r="H650" s="30" t="s">
        <v>1136</v>
      </c>
      <c r="I650" s="29">
        <v>267328149</v>
      </c>
      <c r="J650" s="29">
        <v>10</v>
      </c>
      <c r="K650" s="29">
        <v>26732815</v>
      </c>
      <c r="L650" s="38" t="s">
        <v>52</v>
      </c>
      <c r="M650" s="39">
        <v>43006</v>
      </c>
      <c r="N650" s="40" t="s">
        <v>1067</v>
      </c>
      <c r="O650" s="35"/>
      <c r="P650" s="36"/>
      <c r="Q650" s="36"/>
      <c r="T650" s="36"/>
    </row>
    <row r="651" spans="1:20" s="37" customFormat="1" ht="18.75" customHeight="1">
      <c r="A651" s="29">
        <f t="shared" si="12"/>
        <v>632</v>
      </c>
      <c r="B651" s="30"/>
      <c r="C651" s="30" t="s">
        <v>93</v>
      </c>
      <c r="D651" s="30" t="s">
        <v>1137</v>
      </c>
      <c r="E651" s="31">
        <v>42994</v>
      </c>
      <c r="F651" s="30" t="s">
        <v>49</v>
      </c>
      <c r="G651" s="30" t="s">
        <v>50</v>
      </c>
      <c r="H651" s="30" t="s">
        <v>864</v>
      </c>
      <c r="I651" s="29">
        <v>168480000</v>
      </c>
      <c r="J651" s="29">
        <v>10</v>
      </c>
      <c r="K651" s="29">
        <v>16848000</v>
      </c>
      <c r="L651" s="38" t="s">
        <v>52</v>
      </c>
      <c r="M651" s="39">
        <v>43028</v>
      </c>
      <c r="N651" s="40" t="s">
        <v>1067</v>
      </c>
      <c r="O651" s="35"/>
      <c r="P651" s="36"/>
      <c r="Q651" s="36"/>
      <c r="T651" s="36"/>
    </row>
    <row r="652" spans="1:20" s="37" customFormat="1" ht="18.75" customHeight="1">
      <c r="A652" s="29">
        <f t="shared" si="12"/>
        <v>633</v>
      </c>
      <c r="B652" s="30"/>
      <c r="C652" s="30" t="s">
        <v>93</v>
      </c>
      <c r="D652" s="30" t="s">
        <v>1138</v>
      </c>
      <c r="E652" s="31">
        <v>42994</v>
      </c>
      <c r="F652" s="30" t="s">
        <v>258</v>
      </c>
      <c r="G652" s="30" t="s">
        <v>259</v>
      </c>
      <c r="H652" s="30" t="s">
        <v>1139</v>
      </c>
      <c r="I652" s="29">
        <v>90111490</v>
      </c>
      <c r="J652" s="29">
        <v>10</v>
      </c>
      <c r="K652" s="29">
        <v>9011149</v>
      </c>
      <c r="L652" s="38" t="s">
        <v>52</v>
      </c>
      <c r="M652" s="39">
        <v>43012</v>
      </c>
      <c r="N652" s="40" t="s">
        <v>1067</v>
      </c>
      <c r="O652" s="35"/>
      <c r="P652" s="36"/>
      <c r="Q652" s="36"/>
      <c r="T652" s="36"/>
    </row>
    <row r="653" spans="1:20" s="37" customFormat="1" ht="18.75" customHeight="1">
      <c r="A653" s="29">
        <f t="shared" si="12"/>
        <v>634</v>
      </c>
      <c r="B653" s="30"/>
      <c r="C653" s="30" t="s">
        <v>502</v>
      </c>
      <c r="D653" s="30" t="s">
        <v>1140</v>
      </c>
      <c r="E653" s="31">
        <v>42994</v>
      </c>
      <c r="F653" s="30" t="s">
        <v>362</v>
      </c>
      <c r="G653" s="30" t="s">
        <v>363</v>
      </c>
      <c r="H653" s="30" t="s">
        <v>129</v>
      </c>
      <c r="I653" s="29">
        <v>454545</v>
      </c>
      <c r="J653" s="29">
        <v>10</v>
      </c>
      <c r="K653" s="29">
        <v>45455</v>
      </c>
      <c r="L653" s="38"/>
      <c r="M653" s="39"/>
      <c r="N653" s="40"/>
      <c r="O653" s="35"/>
      <c r="P653" s="36"/>
      <c r="Q653" s="36"/>
      <c r="T653" s="36"/>
    </row>
    <row r="654" spans="1:20" s="37" customFormat="1" ht="18.75" customHeight="1">
      <c r="A654" s="29">
        <f t="shared" si="12"/>
        <v>635</v>
      </c>
      <c r="B654" s="30"/>
      <c r="C654" s="30" t="s">
        <v>100</v>
      </c>
      <c r="D654" s="30" t="s">
        <v>1141</v>
      </c>
      <c r="E654" s="31">
        <v>42996</v>
      </c>
      <c r="F654" s="30" t="s">
        <v>102</v>
      </c>
      <c r="G654" s="30" t="s">
        <v>103</v>
      </c>
      <c r="H654" s="30" t="s">
        <v>377</v>
      </c>
      <c r="I654" s="29">
        <v>12600000</v>
      </c>
      <c r="J654" s="29">
        <v>10</v>
      </c>
      <c r="K654" s="29">
        <v>1260000</v>
      </c>
      <c r="L654" s="38"/>
      <c r="M654" s="39"/>
      <c r="N654" s="40"/>
      <c r="O654" s="35"/>
      <c r="P654" s="36"/>
      <c r="Q654" s="36"/>
      <c r="T654" s="36"/>
    </row>
    <row r="655" spans="1:20" s="37" customFormat="1" ht="18.75" customHeight="1">
      <c r="A655" s="29">
        <f t="shared" si="12"/>
        <v>636</v>
      </c>
      <c r="B655" s="30"/>
      <c r="C655" s="30" t="s">
        <v>291</v>
      </c>
      <c r="D655" s="30" t="s">
        <v>1142</v>
      </c>
      <c r="E655" s="31">
        <v>42996</v>
      </c>
      <c r="F655" s="30" t="s">
        <v>293</v>
      </c>
      <c r="G655" s="30" t="s">
        <v>294</v>
      </c>
      <c r="H655" s="30" t="s">
        <v>134</v>
      </c>
      <c r="I655" s="29">
        <v>2007273</v>
      </c>
      <c r="J655" s="29">
        <v>10</v>
      </c>
      <c r="K655" s="29">
        <v>200727</v>
      </c>
      <c r="L655" s="38"/>
      <c r="M655" s="39"/>
      <c r="N655" s="40"/>
      <c r="O655" s="35"/>
      <c r="P655" s="36"/>
      <c r="Q655" s="36"/>
      <c r="T655" s="36"/>
    </row>
    <row r="656" spans="1:20" s="37" customFormat="1" ht="18.75" customHeight="1">
      <c r="A656" s="29">
        <f t="shared" si="12"/>
        <v>637</v>
      </c>
      <c r="B656" s="30"/>
      <c r="C656" s="30" t="s">
        <v>468</v>
      </c>
      <c r="D656" s="30" t="s">
        <v>1143</v>
      </c>
      <c r="E656" s="31">
        <v>42996</v>
      </c>
      <c r="F656" s="30" t="s">
        <v>159</v>
      </c>
      <c r="G656" s="30" t="s">
        <v>160</v>
      </c>
      <c r="H656" s="30" t="s">
        <v>161</v>
      </c>
      <c r="I656" s="29">
        <v>9000000</v>
      </c>
      <c r="J656" s="29">
        <v>10</v>
      </c>
      <c r="K656" s="29">
        <v>900000</v>
      </c>
      <c r="L656" s="38"/>
      <c r="M656" s="39"/>
      <c r="N656" s="40"/>
      <c r="O656" s="35"/>
      <c r="P656" s="36"/>
      <c r="Q656" s="36"/>
      <c r="T656" s="36"/>
    </row>
    <row r="657" spans="1:20" s="37" customFormat="1" ht="18.75" customHeight="1">
      <c r="A657" s="29">
        <f t="shared" si="12"/>
        <v>638</v>
      </c>
      <c r="B657" s="30"/>
      <c r="C657" s="30" t="s">
        <v>803</v>
      </c>
      <c r="D657" s="30" t="s">
        <v>1144</v>
      </c>
      <c r="E657" s="31">
        <v>42998</v>
      </c>
      <c r="F657" s="30" t="s">
        <v>805</v>
      </c>
      <c r="G657" s="30" t="s">
        <v>806</v>
      </c>
      <c r="H657" s="30" t="s">
        <v>492</v>
      </c>
      <c r="I657" s="29">
        <v>10080000</v>
      </c>
      <c r="J657" s="29">
        <v>10</v>
      </c>
      <c r="K657" s="29">
        <v>1008000</v>
      </c>
      <c r="L657" s="38"/>
      <c r="M657" s="39"/>
      <c r="N657" s="40"/>
      <c r="O657" s="35"/>
      <c r="P657" s="36"/>
      <c r="Q657" s="36"/>
      <c r="T657" s="36"/>
    </row>
    <row r="658" spans="1:20" s="37" customFormat="1" ht="18.75" customHeight="1">
      <c r="A658" s="29">
        <f t="shared" si="12"/>
        <v>639</v>
      </c>
      <c r="B658" s="30"/>
      <c r="C658" s="30" t="s">
        <v>502</v>
      </c>
      <c r="D658" s="30" t="s">
        <v>1145</v>
      </c>
      <c r="E658" s="31">
        <v>42998</v>
      </c>
      <c r="F658" s="30" t="s">
        <v>362</v>
      </c>
      <c r="G658" s="30" t="s">
        <v>363</v>
      </c>
      <c r="H658" s="30" t="s">
        <v>129</v>
      </c>
      <c r="I658" s="29">
        <v>454545</v>
      </c>
      <c r="J658" s="29">
        <v>10</v>
      </c>
      <c r="K658" s="29">
        <v>45455</v>
      </c>
      <c r="L658" s="38"/>
      <c r="M658" s="39"/>
      <c r="N658" s="40"/>
      <c r="O658" s="35"/>
      <c r="P658" s="36"/>
      <c r="Q658" s="36"/>
      <c r="T658" s="36"/>
    </row>
    <row r="659" spans="1:20" s="37" customFormat="1" ht="18.75" customHeight="1">
      <c r="A659" s="29">
        <f t="shared" si="12"/>
        <v>640</v>
      </c>
      <c r="B659" s="30"/>
      <c r="C659" s="30" t="s">
        <v>112</v>
      </c>
      <c r="D659" s="30" t="s">
        <v>1146</v>
      </c>
      <c r="E659" s="31">
        <v>42998</v>
      </c>
      <c r="F659" s="30" t="s">
        <v>114</v>
      </c>
      <c r="G659" s="30" t="s">
        <v>115</v>
      </c>
      <c r="H659" s="30" t="s">
        <v>116</v>
      </c>
      <c r="I659" s="29">
        <v>20000</v>
      </c>
      <c r="J659" s="29">
        <v>10</v>
      </c>
      <c r="K659" s="29">
        <v>2000</v>
      </c>
      <c r="L659" s="38"/>
      <c r="M659" s="39"/>
      <c r="N659" s="40"/>
      <c r="O659" s="35"/>
      <c r="P659" s="36"/>
      <c r="Q659" s="36"/>
      <c r="T659" s="36"/>
    </row>
    <row r="660" spans="1:20" s="37" customFormat="1" ht="18.75" customHeight="1">
      <c r="A660" s="29">
        <f t="shared" si="12"/>
        <v>641</v>
      </c>
      <c r="B660" s="30"/>
      <c r="C660" s="30" t="s">
        <v>112</v>
      </c>
      <c r="D660" s="30" t="s">
        <v>1147</v>
      </c>
      <c r="E660" s="31">
        <v>42998</v>
      </c>
      <c r="F660" s="30" t="s">
        <v>114</v>
      </c>
      <c r="G660" s="30" t="s">
        <v>115</v>
      </c>
      <c r="H660" s="30" t="s">
        <v>116</v>
      </c>
      <c r="I660" s="29">
        <v>20000</v>
      </c>
      <c r="J660" s="29">
        <v>10</v>
      </c>
      <c r="K660" s="29">
        <v>2000</v>
      </c>
      <c r="L660" s="38"/>
      <c r="M660" s="39"/>
      <c r="N660" s="40"/>
      <c r="O660" s="35"/>
      <c r="P660" s="36"/>
      <c r="Q660" s="36"/>
      <c r="T660" s="36"/>
    </row>
    <row r="661" spans="1:20" s="37" customFormat="1" ht="18.75" customHeight="1">
      <c r="A661" s="29">
        <f t="shared" si="12"/>
        <v>642</v>
      </c>
      <c r="B661" s="30"/>
      <c r="C661" s="30" t="s">
        <v>112</v>
      </c>
      <c r="D661" s="30" t="s">
        <v>1148</v>
      </c>
      <c r="E661" s="31">
        <v>42998</v>
      </c>
      <c r="F661" s="30" t="s">
        <v>114</v>
      </c>
      <c r="G661" s="30" t="s">
        <v>115</v>
      </c>
      <c r="H661" s="30" t="s">
        <v>116</v>
      </c>
      <c r="I661" s="29">
        <v>20000</v>
      </c>
      <c r="J661" s="29">
        <v>10</v>
      </c>
      <c r="K661" s="29">
        <v>2000</v>
      </c>
      <c r="L661" s="38"/>
      <c r="M661" s="39"/>
      <c r="N661" s="40"/>
      <c r="O661" s="35"/>
      <c r="P661" s="36"/>
      <c r="Q661" s="36"/>
      <c r="T661" s="36"/>
    </row>
    <row r="662" spans="1:20" s="37" customFormat="1" ht="18.75" customHeight="1">
      <c r="A662" s="29">
        <f t="shared" si="12"/>
        <v>643</v>
      </c>
      <c r="B662" s="30"/>
      <c r="C662" s="30" t="s">
        <v>112</v>
      </c>
      <c r="D662" s="30" t="s">
        <v>1149</v>
      </c>
      <c r="E662" s="31">
        <v>42998</v>
      </c>
      <c r="F662" s="30" t="s">
        <v>114</v>
      </c>
      <c r="G662" s="30" t="s">
        <v>115</v>
      </c>
      <c r="H662" s="30" t="s">
        <v>116</v>
      </c>
      <c r="I662" s="29">
        <v>20000</v>
      </c>
      <c r="J662" s="29">
        <v>10</v>
      </c>
      <c r="K662" s="29">
        <v>2000</v>
      </c>
      <c r="L662" s="38"/>
      <c r="M662" s="39"/>
      <c r="N662" s="40"/>
      <c r="O662" s="35"/>
      <c r="P662" s="36"/>
      <c r="Q662" s="36"/>
      <c r="T662" s="36"/>
    </row>
    <row r="663" spans="1:20" s="37" customFormat="1" ht="18.75" customHeight="1">
      <c r="A663" s="29">
        <f t="shared" si="12"/>
        <v>644</v>
      </c>
      <c r="B663" s="30"/>
      <c r="C663" s="30" t="s">
        <v>112</v>
      </c>
      <c r="D663" s="30" t="s">
        <v>1150</v>
      </c>
      <c r="E663" s="31">
        <v>42998</v>
      </c>
      <c r="F663" s="30" t="s">
        <v>114</v>
      </c>
      <c r="G663" s="30" t="s">
        <v>115</v>
      </c>
      <c r="H663" s="30" t="s">
        <v>116</v>
      </c>
      <c r="I663" s="29">
        <v>20000</v>
      </c>
      <c r="J663" s="29">
        <v>10</v>
      </c>
      <c r="K663" s="29">
        <v>2000</v>
      </c>
      <c r="L663" s="38"/>
      <c r="M663" s="39"/>
      <c r="N663" s="40"/>
      <c r="O663" s="35"/>
      <c r="P663" s="36"/>
      <c r="Q663" s="36"/>
      <c r="T663" s="36"/>
    </row>
    <row r="664" spans="1:20" s="37" customFormat="1" ht="18.75" customHeight="1">
      <c r="A664" s="29">
        <f t="shared" si="12"/>
        <v>645</v>
      </c>
      <c r="B664" s="30"/>
      <c r="C664" s="30" t="s">
        <v>112</v>
      </c>
      <c r="D664" s="30" t="s">
        <v>1151</v>
      </c>
      <c r="E664" s="31">
        <v>42998</v>
      </c>
      <c r="F664" s="30" t="s">
        <v>114</v>
      </c>
      <c r="G664" s="30" t="s">
        <v>115</v>
      </c>
      <c r="H664" s="30" t="s">
        <v>116</v>
      </c>
      <c r="I664" s="29">
        <v>10000</v>
      </c>
      <c r="J664" s="29">
        <v>10</v>
      </c>
      <c r="K664" s="29">
        <v>1000</v>
      </c>
      <c r="L664" s="38"/>
      <c r="M664" s="39"/>
      <c r="N664" s="40"/>
      <c r="O664" s="35"/>
      <c r="P664" s="36"/>
      <c r="Q664" s="36"/>
      <c r="T664" s="36"/>
    </row>
    <row r="665" spans="1:20" s="37" customFormat="1" ht="18.75" customHeight="1">
      <c r="A665" s="29">
        <f t="shared" si="12"/>
        <v>646</v>
      </c>
      <c r="B665" s="30"/>
      <c r="C665" s="30" t="s">
        <v>112</v>
      </c>
      <c r="D665" s="30" t="s">
        <v>1152</v>
      </c>
      <c r="E665" s="31">
        <v>42998</v>
      </c>
      <c r="F665" s="30" t="s">
        <v>114</v>
      </c>
      <c r="G665" s="30" t="s">
        <v>115</v>
      </c>
      <c r="H665" s="30" t="s">
        <v>116</v>
      </c>
      <c r="I665" s="29">
        <v>10000</v>
      </c>
      <c r="J665" s="29">
        <v>10</v>
      </c>
      <c r="K665" s="29">
        <v>1000</v>
      </c>
      <c r="L665" s="38"/>
      <c r="M665" s="39"/>
      <c r="N665" s="40"/>
      <c r="O665" s="35"/>
      <c r="P665" s="36"/>
      <c r="Q665" s="36"/>
      <c r="T665" s="36"/>
    </row>
    <row r="666" spans="1:20" s="37" customFormat="1" ht="18.75" customHeight="1">
      <c r="A666" s="29">
        <f t="shared" si="12"/>
        <v>647</v>
      </c>
      <c r="B666" s="30"/>
      <c r="C666" s="30" t="s">
        <v>119</v>
      </c>
      <c r="D666" s="30" t="s">
        <v>1153</v>
      </c>
      <c r="E666" s="31">
        <v>42999</v>
      </c>
      <c r="F666" s="30" t="s">
        <v>121</v>
      </c>
      <c r="G666" s="30" t="s">
        <v>122</v>
      </c>
      <c r="H666" s="30" t="s">
        <v>1154</v>
      </c>
      <c r="I666" s="29">
        <v>119736000</v>
      </c>
      <c r="J666" s="29">
        <v>10</v>
      </c>
      <c r="K666" s="29">
        <v>11973600</v>
      </c>
      <c r="L666" s="38" t="s">
        <v>52</v>
      </c>
      <c r="M666" s="39">
        <v>43011</v>
      </c>
      <c r="N666" s="40" t="s">
        <v>1067</v>
      </c>
      <c r="O666" s="35"/>
      <c r="P666" s="36"/>
      <c r="Q666" s="36"/>
      <c r="T666" s="36"/>
    </row>
    <row r="667" spans="1:20" s="37" customFormat="1" ht="18.75" customHeight="1">
      <c r="A667" s="29">
        <f t="shared" si="12"/>
        <v>648</v>
      </c>
      <c r="B667" s="30"/>
      <c r="C667" s="30" t="s">
        <v>291</v>
      </c>
      <c r="D667" s="30" t="s">
        <v>1155</v>
      </c>
      <c r="E667" s="31">
        <v>42999</v>
      </c>
      <c r="F667" s="30" t="s">
        <v>293</v>
      </c>
      <c r="G667" s="30" t="s">
        <v>294</v>
      </c>
      <c r="H667" s="30" t="s">
        <v>134</v>
      </c>
      <c r="I667" s="29">
        <v>1688182</v>
      </c>
      <c r="J667" s="29">
        <v>10</v>
      </c>
      <c r="K667" s="29">
        <v>168818</v>
      </c>
      <c r="L667" s="38"/>
      <c r="M667" s="39"/>
      <c r="N667" s="40"/>
      <c r="O667" s="35"/>
      <c r="P667" s="36"/>
      <c r="Q667" s="36"/>
      <c r="T667" s="36"/>
    </row>
    <row r="668" spans="1:20" s="37" customFormat="1" ht="18.75" customHeight="1">
      <c r="A668" s="29">
        <f t="shared" si="12"/>
        <v>649</v>
      </c>
      <c r="B668" s="30"/>
      <c r="C668" s="30" t="s">
        <v>892</v>
      </c>
      <c r="D668" s="30" t="s">
        <v>1156</v>
      </c>
      <c r="E668" s="31">
        <v>43000</v>
      </c>
      <c r="F668" s="30" t="s">
        <v>296</v>
      </c>
      <c r="G668" s="30" t="s">
        <v>297</v>
      </c>
      <c r="H668" s="30" t="s">
        <v>134</v>
      </c>
      <c r="I668" s="29">
        <v>1576000</v>
      </c>
      <c r="J668" s="29">
        <v>10</v>
      </c>
      <c r="K668" s="29">
        <v>157600</v>
      </c>
      <c r="L668" s="38"/>
      <c r="M668" s="39"/>
      <c r="N668" s="40"/>
      <c r="O668" s="35"/>
      <c r="P668" s="36"/>
      <c r="Q668" s="36"/>
      <c r="T668" s="36"/>
    </row>
    <row r="669" spans="1:20" s="37" customFormat="1" ht="18.75" customHeight="1">
      <c r="A669" s="29">
        <f t="shared" si="12"/>
        <v>650</v>
      </c>
      <c r="B669" s="30"/>
      <c r="C669" s="30" t="s">
        <v>167</v>
      </c>
      <c r="D669" s="30" t="s">
        <v>1157</v>
      </c>
      <c r="E669" s="31">
        <v>43003</v>
      </c>
      <c r="F669" s="30" t="s">
        <v>1158</v>
      </c>
      <c r="G669" s="30" t="s">
        <v>1159</v>
      </c>
      <c r="H669" s="30" t="s">
        <v>1160</v>
      </c>
      <c r="I669" s="29">
        <v>48100000</v>
      </c>
      <c r="J669" s="29">
        <v>10</v>
      </c>
      <c r="K669" s="29">
        <v>4810000</v>
      </c>
      <c r="L669" s="38" t="s">
        <v>52</v>
      </c>
      <c r="M669" s="39">
        <v>43017</v>
      </c>
      <c r="N669" s="40" t="s">
        <v>1067</v>
      </c>
      <c r="O669" s="35"/>
      <c r="P669" s="36"/>
      <c r="Q669" s="36"/>
      <c r="T669" s="36"/>
    </row>
    <row r="670" spans="1:20" s="37" customFormat="1" ht="18.75" customHeight="1">
      <c r="A670" s="29">
        <f t="shared" si="12"/>
        <v>651</v>
      </c>
      <c r="B670" s="30"/>
      <c r="C670" s="30" t="s">
        <v>261</v>
      </c>
      <c r="D670" s="30" t="s">
        <v>1161</v>
      </c>
      <c r="E670" s="31">
        <v>43003</v>
      </c>
      <c r="F670" s="30" t="s">
        <v>139</v>
      </c>
      <c r="G670" s="30" t="s">
        <v>140</v>
      </c>
      <c r="H670" s="30" t="s">
        <v>1162</v>
      </c>
      <c r="I670" s="29">
        <v>741525</v>
      </c>
      <c r="J670" s="29">
        <v>10</v>
      </c>
      <c r="K670" s="29">
        <v>74152</v>
      </c>
      <c r="L670" s="38"/>
      <c r="M670" s="39"/>
      <c r="N670" s="40"/>
      <c r="O670" s="35"/>
      <c r="P670" s="36"/>
      <c r="Q670" s="36"/>
      <c r="T670" s="36"/>
    </row>
    <row r="671" spans="1:20" s="37" customFormat="1" ht="18.75" customHeight="1">
      <c r="A671" s="29">
        <f t="shared" si="12"/>
        <v>652</v>
      </c>
      <c r="B671" s="30"/>
      <c r="C671" s="30" t="s">
        <v>119</v>
      </c>
      <c r="D671" s="30" t="s">
        <v>1163</v>
      </c>
      <c r="E671" s="31">
        <v>43004</v>
      </c>
      <c r="F671" s="30" t="s">
        <v>121</v>
      </c>
      <c r="G671" s="30" t="s">
        <v>122</v>
      </c>
      <c r="H671" s="30" t="s">
        <v>1164</v>
      </c>
      <c r="I671" s="29">
        <v>271473048</v>
      </c>
      <c r="J671" s="29">
        <v>10</v>
      </c>
      <c r="K671" s="29">
        <v>27147304</v>
      </c>
      <c r="L671" s="38" t="s">
        <v>52</v>
      </c>
      <c r="M671" s="39">
        <v>43011</v>
      </c>
      <c r="N671" s="40" t="s">
        <v>1067</v>
      </c>
      <c r="O671" s="35"/>
      <c r="P671" s="36"/>
      <c r="Q671" s="36"/>
      <c r="T671" s="36"/>
    </row>
    <row r="672" spans="1:20" s="37" customFormat="1" ht="18.75" customHeight="1">
      <c r="A672" s="29">
        <f t="shared" si="12"/>
        <v>653</v>
      </c>
      <c r="B672" s="30"/>
      <c r="C672" s="30" t="s">
        <v>74</v>
      </c>
      <c r="D672" s="30" t="s">
        <v>1165</v>
      </c>
      <c r="E672" s="31">
        <v>43005</v>
      </c>
      <c r="F672" s="30" t="s">
        <v>76</v>
      </c>
      <c r="G672" s="30" t="s">
        <v>77</v>
      </c>
      <c r="H672" s="30" t="s">
        <v>788</v>
      </c>
      <c r="I672" s="29">
        <v>5335000</v>
      </c>
      <c r="J672" s="29">
        <v>10</v>
      </c>
      <c r="K672" s="29">
        <v>533500</v>
      </c>
      <c r="L672" s="38"/>
      <c r="M672" s="39"/>
      <c r="N672" s="40"/>
      <c r="O672" s="35"/>
      <c r="P672" s="36"/>
      <c r="Q672" s="36"/>
      <c r="T672" s="36"/>
    </row>
    <row r="673" spans="1:20" s="37" customFormat="1" ht="18.75" customHeight="1">
      <c r="A673" s="29">
        <f t="shared" si="12"/>
        <v>654</v>
      </c>
      <c r="B673" s="30"/>
      <c r="C673" s="30" t="s">
        <v>74</v>
      </c>
      <c r="D673" s="30" t="s">
        <v>1166</v>
      </c>
      <c r="E673" s="31">
        <v>43005</v>
      </c>
      <c r="F673" s="30" t="s">
        <v>76</v>
      </c>
      <c r="G673" s="30" t="s">
        <v>77</v>
      </c>
      <c r="H673" s="30" t="s">
        <v>1167</v>
      </c>
      <c r="I673" s="29">
        <v>2708400</v>
      </c>
      <c r="J673" s="29">
        <v>10</v>
      </c>
      <c r="K673" s="29">
        <v>270840</v>
      </c>
      <c r="L673" s="38"/>
      <c r="M673" s="39"/>
      <c r="N673" s="40"/>
      <c r="O673" s="35"/>
      <c r="P673" s="36"/>
      <c r="Q673" s="36"/>
      <c r="T673" s="36"/>
    </row>
    <row r="674" spans="1:20" s="37" customFormat="1" ht="18.75" customHeight="1">
      <c r="A674" s="29">
        <f t="shared" si="12"/>
        <v>655</v>
      </c>
      <c r="B674" s="30"/>
      <c r="C674" s="30" t="s">
        <v>74</v>
      </c>
      <c r="D674" s="30" t="s">
        <v>1168</v>
      </c>
      <c r="E674" s="31">
        <v>43005</v>
      </c>
      <c r="F674" s="30" t="s">
        <v>76</v>
      </c>
      <c r="G674" s="30" t="s">
        <v>77</v>
      </c>
      <c r="H674" s="30" t="s">
        <v>1169</v>
      </c>
      <c r="I674" s="29">
        <v>301600</v>
      </c>
      <c r="J674" s="29">
        <v>10</v>
      </c>
      <c r="K674" s="29">
        <v>30160</v>
      </c>
      <c r="L674" s="38"/>
      <c r="M674" s="39"/>
      <c r="N674" s="40"/>
      <c r="O674" s="35"/>
      <c r="P674" s="36"/>
      <c r="Q674" s="36"/>
      <c r="T674" s="36"/>
    </row>
    <row r="675" spans="1:20" s="37" customFormat="1" ht="18.75" customHeight="1">
      <c r="A675" s="29">
        <f t="shared" si="12"/>
        <v>656</v>
      </c>
      <c r="B675" s="30"/>
      <c r="C675" s="30" t="s">
        <v>167</v>
      </c>
      <c r="D675" s="30" t="s">
        <v>1170</v>
      </c>
      <c r="E675" s="31">
        <v>43005</v>
      </c>
      <c r="F675" s="30" t="s">
        <v>409</v>
      </c>
      <c r="G675" s="30" t="s">
        <v>410</v>
      </c>
      <c r="H675" s="30" t="s">
        <v>411</v>
      </c>
      <c r="I675" s="29">
        <v>44072400</v>
      </c>
      <c r="J675" s="29">
        <v>10</v>
      </c>
      <c r="K675" s="29">
        <v>4407240</v>
      </c>
      <c r="L675" s="38" t="s">
        <v>52</v>
      </c>
      <c r="M675" s="39">
        <v>43017</v>
      </c>
      <c r="N675" s="40" t="s">
        <v>1067</v>
      </c>
      <c r="O675" s="35"/>
      <c r="P675" s="36"/>
      <c r="Q675" s="36"/>
      <c r="T675" s="36"/>
    </row>
    <row r="676" spans="1:20" s="37" customFormat="1" ht="18.75" customHeight="1">
      <c r="A676" s="29">
        <f t="shared" si="12"/>
        <v>657</v>
      </c>
      <c r="B676" s="30"/>
      <c r="C676" s="30" t="s">
        <v>93</v>
      </c>
      <c r="D676" s="30" t="s">
        <v>1171</v>
      </c>
      <c r="E676" s="31">
        <v>43005</v>
      </c>
      <c r="F676" s="30" t="s">
        <v>49</v>
      </c>
      <c r="G676" s="30" t="s">
        <v>50</v>
      </c>
      <c r="H676" s="30" t="s">
        <v>864</v>
      </c>
      <c r="I676" s="29">
        <v>96480000</v>
      </c>
      <c r="J676" s="29">
        <v>10</v>
      </c>
      <c r="K676" s="29">
        <v>9648000</v>
      </c>
      <c r="L676" s="38" t="s">
        <v>52</v>
      </c>
      <c r="M676" s="39">
        <v>43028</v>
      </c>
      <c r="N676" s="40" t="s">
        <v>1067</v>
      </c>
      <c r="O676" s="35"/>
      <c r="P676" s="36"/>
      <c r="Q676" s="36"/>
      <c r="T676" s="36"/>
    </row>
    <row r="677" spans="1:20" s="37" customFormat="1" ht="18.75" customHeight="1">
      <c r="A677" s="29">
        <f t="shared" si="12"/>
        <v>658</v>
      </c>
      <c r="B677" s="30"/>
      <c r="C677" s="30" t="s">
        <v>119</v>
      </c>
      <c r="D677" s="30" t="s">
        <v>1108</v>
      </c>
      <c r="E677" s="31">
        <v>43006</v>
      </c>
      <c r="F677" s="30" t="s">
        <v>121</v>
      </c>
      <c r="G677" s="30" t="s">
        <v>122</v>
      </c>
      <c r="H677" s="30" t="s">
        <v>1172</v>
      </c>
      <c r="I677" s="29">
        <v>537087360</v>
      </c>
      <c r="J677" s="29">
        <v>10</v>
      </c>
      <c r="K677" s="29">
        <v>53708736</v>
      </c>
      <c r="L677" s="38" t="s">
        <v>52</v>
      </c>
      <c r="M677" s="39">
        <v>43011</v>
      </c>
      <c r="N677" s="40" t="s">
        <v>1067</v>
      </c>
      <c r="O677" s="35"/>
      <c r="P677" s="36"/>
      <c r="Q677" s="36"/>
      <c r="T677" s="36"/>
    </row>
    <row r="678" spans="1:20" s="37" customFormat="1" ht="18.75" customHeight="1">
      <c r="A678" s="29">
        <f t="shared" si="12"/>
        <v>659</v>
      </c>
      <c r="B678" s="30"/>
      <c r="C678" s="30" t="s">
        <v>726</v>
      </c>
      <c r="D678" s="30" t="s">
        <v>1173</v>
      </c>
      <c r="E678" s="31">
        <v>43006</v>
      </c>
      <c r="F678" s="30" t="s">
        <v>63</v>
      </c>
      <c r="G678" s="30" t="s">
        <v>64</v>
      </c>
      <c r="H678" s="30" t="s">
        <v>1174</v>
      </c>
      <c r="I678" s="29">
        <v>35068182</v>
      </c>
      <c r="J678" s="29">
        <v>10</v>
      </c>
      <c r="K678" s="29">
        <v>3506818</v>
      </c>
      <c r="L678" s="38" t="s">
        <v>52</v>
      </c>
      <c r="M678" s="39">
        <v>43028</v>
      </c>
      <c r="N678" s="40" t="s">
        <v>1067</v>
      </c>
      <c r="O678" s="35"/>
      <c r="P678" s="36"/>
      <c r="Q678" s="36"/>
      <c r="T678" s="36"/>
    </row>
    <row r="679" spans="1:20" s="37" customFormat="1" ht="18.75" customHeight="1">
      <c r="A679" s="29">
        <f t="shared" si="12"/>
        <v>660</v>
      </c>
      <c r="B679" s="30"/>
      <c r="C679" s="30" t="s">
        <v>112</v>
      </c>
      <c r="D679" s="30" t="s">
        <v>1175</v>
      </c>
      <c r="E679" s="31">
        <v>43006</v>
      </c>
      <c r="F679" s="30" t="s">
        <v>114</v>
      </c>
      <c r="G679" s="30" t="s">
        <v>115</v>
      </c>
      <c r="H679" s="30" t="s">
        <v>116</v>
      </c>
      <c r="I679" s="29">
        <v>10000</v>
      </c>
      <c r="J679" s="29">
        <v>10</v>
      </c>
      <c r="K679" s="29">
        <v>1000</v>
      </c>
      <c r="L679" s="38"/>
      <c r="M679" s="39"/>
      <c r="N679" s="40"/>
      <c r="O679" s="35"/>
      <c r="P679" s="36"/>
      <c r="Q679" s="36"/>
      <c r="T679" s="36"/>
    </row>
    <row r="680" spans="1:20" s="37" customFormat="1" ht="18.75" customHeight="1">
      <c r="A680" s="29">
        <f t="shared" si="12"/>
        <v>661</v>
      </c>
      <c r="B680" s="30"/>
      <c r="C680" s="30" t="s">
        <v>112</v>
      </c>
      <c r="D680" s="30" t="s">
        <v>1176</v>
      </c>
      <c r="E680" s="31">
        <v>43006</v>
      </c>
      <c r="F680" s="30" t="s">
        <v>114</v>
      </c>
      <c r="G680" s="30" t="s">
        <v>115</v>
      </c>
      <c r="H680" s="30" t="s">
        <v>116</v>
      </c>
      <c r="I680" s="29">
        <v>20000</v>
      </c>
      <c r="J680" s="29">
        <v>10</v>
      </c>
      <c r="K680" s="29">
        <v>2000</v>
      </c>
      <c r="L680" s="38"/>
      <c r="M680" s="39"/>
      <c r="N680" s="40"/>
      <c r="O680" s="35"/>
      <c r="P680" s="36"/>
      <c r="Q680" s="36"/>
      <c r="T680" s="36"/>
    </row>
    <row r="681" spans="1:20" s="37" customFormat="1" ht="18.75" customHeight="1">
      <c r="A681" s="29">
        <f t="shared" si="12"/>
        <v>662</v>
      </c>
      <c r="B681" s="30"/>
      <c r="C681" s="30" t="s">
        <v>112</v>
      </c>
      <c r="D681" s="30" t="s">
        <v>1177</v>
      </c>
      <c r="E681" s="31">
        <v>43006</v>
      </c>
      <c r="F681" s="30" t="s">
        <v>114</v>
      </c>
      <c r="G681" s="30" t="s">
        <v>115</v>
      </c>
      <c r="H681" s="30" t="s">
        <v>116</v>
      </c>
      <c r="I681" s="29">
        <v>10000</v>
      </c>
      <c r="J681" s="29">
        <v>10</v>
      </c>
      <c r="K681" s="29">
        <v>1000</v>
      </c>
      <c r="L681" s="38"/>
      <c r="M681" s="39"/>
      <c r="N681" s="40"/>
      <c r="O681" s="35"/>
      <c r="P681" s="36"/>
      <c r="Q681" s="36"/>
      <c r="T681" s="36"/>
    </row>
    <row r="682" spans="1:20" s="37" customFormat="1" ht="18.75" customHeight="1">
      <c r="A682" s="29">
        <f t="shared" si="12"/>
        <v>663</v>
      </c>
      <c r="B682" s="30"/>
      <c r="C682" s="30" t="s">
        <v>320</v>
      </c>
      <c r="D682" s="30" t="s">
        <v>1178</v>
      </c>
      <c r="E682" s="31">
        <v>43007</v>
      </c>
      <c r="F682" s="30" t="s">
        <v>372</v>
      </c>
      <c r="G682" s="30" t="s">
        <v>373</v>
      </c>
      <c r="H682" s="30" t="s">
        <v>1179</v>
      </c>
      <c r="I682" s="29">
        <v>78140909</v>
      </c>
      <c r="J682" s="29">
        <v>10</v>
      </c>
      <c r="K682" s="29">
        <v>7814091</v>
      </c>
      <c r="L682" s="38" t="s">
        <v>52</v>
      </c>
      <c r="M682" s="39">
        <v>43028</v>
      </c>
      <c r="N682" s="40" t="s">
        <v>1067</v>
      </c>
      <c r="O682" s="35"/>
      <c r="P682" s="36"/>
      <c r="Q682" s="36"/>
      <c r="T682" s="36"/>
    </row>
    <row r="683" spans="1:20" s="37" customFormat="1" ht="18.75" customHeight="1">
      <c r="A683" s="29">
        <f t="shared" si="12"/>
        <v>664</v>
      </c>
      <c r="B683" s="30"/>
      <c r="C683" s="30" t="s">
        <v>100</v>
      </c>
      <c r="D683" s="30" t="s">
        <v>1180</v>
      </c>
      <c r="E683" s="31">
        <v>43007</v>
      </c>
      <c r="F683" s="30" t="s">
        <v>102</v>
      </c>
      <c r="G683" s="30" t="s">
        <v>103</v>
      </c>
      <c r="H683" s="30" t="s">
        <v>377</v>
      </c>
      <c r="I683" s="29">
        <v>12330000</v>
      </c>
      <c r="J683" s="29">
        <v>10</v>
      </c>
      <c r="K683" s="29">
        <v>1233000</v>
      </c>
      <c r="L683" s="38" t="s">
        <v>52</v>
      </c>
      <c r="M683" s="39">
        <v>43028</v>
      </c>
      <c r="N683" s="40" t="s">
        <v>1067</v>
      </c>
      <c r="O683" s="35"/>
      <c r="P683" s="36"/>
      <c r="Q683" s="36"/>
      <c r="T683" s="36"/>
    </row>
    <row r="684" spans="1:20" s="37" customFormat="1" ht="18.75" customHeight="1">
      <c r="A684" s="29">
        <f t="shared" si="12"/>
        <v>665</v>
      </c>
      <c r="B684" s="30"/>
      <c r="C684" s="30" t="s">
        <v>100</v>
      </c>
      <c r="D684" s="30" t="s">
        <v>1181</v>
      </c>
      <c r="E684" s="31">
        <v>43007</v>
      </c>
      <c r="F684" s="30" t="s">
        <v>102</v>
      </c>
      <c r="G684" s="30" t="s">
        <v>103</v>
      </c>
      <c r="H684" s="30" t="s">
        <v>377</v>
      </c>
      <c r="I684" s="29">
        <v>7500000</v>
      </c>
      <c r="J684" s="29">
        <v>10</v>
      </c>
      <c r="K684" s="29">
        <v>750000</v>
      </c>
      <c r="L684" s="38" t="s">
        <v>52</v>
      </c>
      <c r="M684" s="39">
        <v>43028</v>
      </c>
      <c r="N684" s="40" t="s">
        <v>1067</v>
      </c>
      <c r="O684" s="35"/>
      <c r="P684" s="36"/>
      <c r="Q684" s="36"/>
      <c r="T684" s="36"/>
    </row>
    <row r="685" spans="1:20" s="37" customFormat="1" ht="18.75" customHeight="1">
      <c r="A685" s="29">
        <f t="shared" si="12"/>
        <v>666</v>
      </c>
      <c r="B685" s="30"/>
      <c r="C685" s="30" t="s">
        <v>231</v>
      </c>
      <c r="D685" s="30" t="s">
        <v>1182</v>
      </c>
      <c r="E685" s="31">
        <v>43007</v>
      </c>
      <c r="F685" s="30" t="s">
        <v>233</v>
      </c>
      <c r="G685" s="30" t="s">
        <v>234</v>
      </c>
      <c r="H685" s="30" t="s">
        <v>235</v>
      </c>
      <c r="I685" s="29">
        <v>54129200</v>
      </c>
      <c r="J685" s="29">
        <v>10</v>
      </c>
      <c r="K685" s="29">
        <v>5412920</v>
      </c>
      <c r="L685" s="38" t="s">
        <v>52</v>
      </c>
      <c r="M685" s="39">
        <v>43028</v>
      </c>
      <c r="N685" s="40" t="s">
        <v>1067</v>
      </c>
      <c r="O685" s="35"/>
      <c r="P685" s="36"/>
      <c r="Q685" s="36"/>
      <c r="T685" s="36"/>
    </row>
    <row r="686" spans="1:20" s="37" customFormat="1" ht="18.75" customHeight="1">
      <c r="A686" s="29">
        <f t="shared" si="12"/>
        <v>667</v>
      </c>
      <c r="B686" s="30"/>
      <c r="C686" s="30" t="s">
        <v>231</v>
      </c>
      <c r="D686" s="30" t="s">
        <v>1171</v>
      </c>
      <c r="E686" s="31">
        <v>43007</v>
      </c>
      <c r="F686" s="30" t="s">
        <v>233</v>
      </c>
      <c r="G686" s="30" t="s">
        <v>234</v>
      </c>
      <c r="H686" s="30" t="s">
        <v>235</v>
      </c>
      <c r="I686" s="29">
        <v>121176200</v>
      </c>
      <c r="J686" s="29">
        <v>10</v>
      </c>
      <c r="K686" s="29">
        <v>12117620</v>
      </c>
      <c r="L686" s="38" t="s">
        <v>52</v>
      </c>
      <c r="M686" s="39">
        <v>43028</v>
      </c>
      <c r="N686" s="40" t="s">
        <v>1067</v>
      </c>
      <c r="O686" s="35"/>
      <c r="P686" s="36"/>
      <c r="Q686" s="36"/>
      <c r="T686" s="36"/>
    </row>
    <row r="687" spans="1:20" s="37" customFormat="1" ht="18.75" customHeight="1">
      <c r="A687" s="29">
        <f t="shared" si="12"/>
        <v>668</v>
      </c>
      <c r="B687" s="30"/>
      <c r="C687" s="30" t="s">
        <v>320</v>
      </c>
      <c r="D687" s="30" t="s">
        <v>1183</v>
      </c>
      <c r="E687" s="31">
        <v>43008</v>
      </c>
      <c r="F687" s="30" t="s">
        <v>372</v>
      </c>
      <c r="G687" s="30" t="s">
        <v>373</v>
      </c>
      <c r="H687" s="30" t="s">
        <v>1184</v>
      </c>
      <c r="I687" s="29">
        <v>364527346</v>
      </c>
      <c r="J687" s="29">
        <v>10</v>
      </c>
      <c r="K687" s="29">
        <v>36452735</v>
      </c>
      <c r="L687" s="38" t="s">
        <v>52</v>
      </c>
      <c r="M687" s="39">
        <v>43028</v>
      </c>
      <c r="N687" s="40" t="s">
        <v>1067</v>
      </c>
      <c r="O687" s="35"/>
      <c r="P687" s="36"/>
      <c r="Q687" s="36"/>
      <c r="T687" s="36"/>
    </row>
    <row r="688" spans="1:20" s="37" customFormat="1" ht="18.75" customHeight="1">
      <c r="A688" s="29">
        <f t="shared" si="12"/>
        <v>669</v>
      </c>
      <c r="B688" s="30"/>
      <c r="C688" s="30" t="s">
        <v>231</v>
      </c>
      <c r="D688" s="30" t="s">
        <v>1185</v>
      </c>
      <c r="E688" s="31">
        <v>43008</v>
      </c>
      <c r="F688" s="30" t="s">
        <v>239</v>
      </c>
      <c r="G688" s="30" t="s">
        <v>240</v>
      </c>
      <c r="H688" s="30" t="s">
        <v>1186</v>
      </c>
      <c r="I688" s="29">
        <v>66052050</v>
      </c>
      <c r="J688" s="29">
        <v>10</v>
      </c>
      <c r="K688" s="29">
        <v>6605205</v>
      </c>
      <c r="L688" s="38" t="s">
        <v>52</v>
      </c>
      <c r="M688" s="39">
        <v>43028</v>
      </c>
      <c r="N688" s="40" t="s">
        <v>1067</v>
      </c>
      <c r="O688" s="35"/>
      <c r="P688" s="36"/>
      <c r="Q688" s="36"/>
      <c r="T688" s="36"/>
    </row>
    <row r="689" spans="1:255" s="37" customFormat="1" ht="18.75" customHeight="1">
      <c r="A689" s="29">
        <f t="shared" si="12"/>
        <v>670</v>
      </c>
      <c r="B689" s="30"/>
      <c r="C689" s="30" t="s">
        <v>231</v>
      </c>
      <c r="D689" s="30" t="s">
        <v>1187</v>
      </c>
      <c r="E689" s="31">
        <v>43008</v>
      </c>
      <c r="F689" s="30" t="s">
        <v>239</v>
      </c>
      <c r="G689" s="30" t="s">
        <v>240</v>
      </c>
      <c r="H689" s="30" t="s">
        <v>1186</v>
      </c>
      <c r="I689" s="29">
        <v>124008300</v>
      </c>
      <c r="J689" s="29">
        <v>10</v>
      </c>
      <c r="K689" s="29">
        <v>12400830</v>
      </c>
      <c r="L689" s="38" t="s">
        <v>52</v>
      </c>
      <c r="M689" s="39">
        <v>43028</v>
      </c>
      <c r="N689" s="40" t="s">
        <v>1067</v>
      </c>
      <c r="O689" s="35"/>
      <c r="P689" s="36"/>
      <c r="Q689" s="36"/>
      <c r="T689" s="36"/>
    </row>
    <row r="690" spans="1:255" s="37" customFormat="1" ht="18.75" customHeight="1">
      <c r="A690" s="29">
        <f t="shared" si="12"/>
        <v>671</v>
      </c>
      <c r="B690" s="30"/>
      <c r="C690" s="30" t="s">
        <v>248</v>
      </c>
      <c r="D690" s="30" t="s">
        <v>1188</v>
      </c>
      <c r="E690" s="31">
        <v>43008</v>
      </c>
      <c r="F690" s="30" t="s">
        <v>250</v>
      </c>
      <c r="G690" s="30" t="s">
        <v>251</v>
      </c>
      <c r="H690" s="30" t="s">
        <v>1189</v>
      </c>
      <c r="I690" s="29">
        <v>274808000</v>
      </c>
      <c r="J690" s="29">
        <v>10</v>
      </c>
      <c r="K690" s="29">
        <v>27480800</v>
      </c>
      <c r="L690" s="38" t="s">
        <v>52</v>
      </c>
      <c r="M690" s="39">
        <v>43028</v>
      </c>
      <c r="N690" s="40" t="s">
        <v>1067</v>
      </c>
      <c r="O690" s="35"/>
      <c r="P690" s="36"/>
      <c r="Q690" s="36"/>
      <c r="T690" s="36"/>
    </row>
    <row r="691" spans="1:255" s="37" customFormat="1" ht="18.75" customHeight="1">
      <c r="A691" s="29">
        <f t="shared" si="12"/>
        <v>672</v>
      </c>
      <c r="B691" s="30"/>
      <c r="C691" s="30" t="s">
        <v>248</v>
      </c>
      <c r="D691" s="30" t="s">
        <v>1190</v>
      </c>
      <c r="E691" s="31">
        <v>43008</v>
      </c>
      <c r="F691" s="30" t="s">
        <v>250</v>
      </c>
      <c r="G691" s="30" t="s">
        <v>251</v>
      </c>
      <c r="H691" s="30" t="s">
        <v>1191</v>
      </c>
      <c r="I691" s="29">
        <v>9600000</v>
      </c>
      <c r="J691" s="29">
        <v>10</v>
      </c>
      <c r="K691" s="29">
        <v>960000</v>
      </c>
      <c r="L691" s="38" t="s">
        <v>52</v>
      </c>
      <c r="M691" s="39">
        <v>43028</v>
      </c>
      <c r="N691" s="40" t="s">
        <v>1067</v>
      </c>
      <c r="O691" s="35"/>
      <c r="P691" s="36"/>
      <c r="Q691" s="36"/>
      <c r="T691" s="36"/>
    </row>
    <row r="692" spans="1:255" s="37" customFormat="1" ht="18.75" customHeight="1">
      <c r="A692" s="29">
        <f t="shared" si="12"/>
        <v>673</v>
      </c>
      <c r="B692" s="30"/>
      <c r="C692" s="30" t="s">
        <v>248</v>
      </c>
      <c r="D692" s="30" t="s">
        <v>1192</v>
      </c>
      <c r="E692" s="31">
        <v>43008</v>
      </c>
      <c r="F692" s="30" t="s">
        <v>250</v>
      </c>
      <c r="G692" s="30" t="s">
        <v>251</v>
      </c>
      <c r="H692" s="30" t="s">
        <v>1193</v>
      </c>
      <c r="I692" s="29">
        <v>600000</v>
      </c>
      <c r="J692" s="29">
        <v>10</v>
      </c>
      <c r="K692" s="29">
        <v>60000</v>
      </c>
      <c r="L692" s="38" t="s">
        <v>52</v>
      </c>
      <c r="M692" s="39">
        <v>43028</v>
      </c>
      <c r="N692" s="40" t="s">
        <v>1067</v>
      </c>
      <c r="O692" s="35"/>
      <c r="P692" s="36"/>
      <c r="Q692" s="36"/>
      <c r="T692" s="36"/>
    </row>
    <row r="693" spans="1:255" s="37" customFormat="1" ht="18.75" customHeight="1">
      <c r="A693" s="29">
        <f t="shared" si="12"/>
        <v>674</v>
      </c>
      <c r="B693" s="30"/>
      <c r="C693" s="30" t="s">
        <v>1109</v>
      </c>
      <c r="D693" s="30" t="s">
        <v>1194</v>
      </c>
      <c r="E693" s="31">
        <v>43008</v>
      </c>
      <c r="F693" s="30" t="s">
        <v>546</v>
      </c>
      <c r="G693" s="30" t="s">
        <v>547</v>
      </c>
      <c r="H693" s="30" t="s">
        <v>134</v>
      </c>
      <c r="I693" s="29">
        <v>824000</v>
      </c>
      <c r="J693" s="29">
        <v>10</v>
      </c>
      <c r="K693" s="29">
        <v>82400</v>
      </c>
      <c r="L693" s="41"/>
      <c r="M693" s="42"/>
      <c r="N693" s="40"/>
      <c r="O693" s="35"/>
      <c r="P693" s="36"/>
      <c r="Q693" s="36"/>
      <c r="T693" s="36"/>
    </row>
    <row r="694" spans="1:255" s="37" customFormat="1" ht="18.75" customHeight="1">
      <c r="A694" s="205" t="s">
        <v>264</v>
      </c>
      <c r="B694" s="205"/>
      <c r="C694" s="205"/>
      <c r="D694" s="205"/>
      <c r="E694" s="205"/>
      <c r="F694" s="205"/>
      <c r="G694" s="205"/>
      <c r="H694" s="205"/>
      <c r="I694" s="43">
        <f>SUM(I574:I693)</f>
        <v>4722681227</v>
      </c>
      <c r="J694" s="43"/>
      <c r="K694" s="43">
        <f>SUM(K574:K693)</f>
        <v>472259388</v>
      </c>
      <c r="L694" s="44"/>
      <c r="M694" s="45"/>
      <c r="N694" s="46"/>
      <c r="O694" s="35"/>
      <c r="P694" s="49"/>
      <c r="Q694" s="36"/>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c r="BK694" s="10"/>
      <c r="BL694" s="10"/>
      <c r="BM694" s="10"/>
      <c r="BN694" s="10"/>
      <c r="BO694" s="10"/>
      <c r="BP694" s="10"/>
      <c r="BQ694" s="10"/>
      <c r="BR694" s="10"/>
      <c r="BS694" s="10"/>
      <c r="BT694" s="10"/>
      <c r="BU694" s="10"/>
      <c r="BV694" s="10"/>
      <c r="BW694" s="10"/>
      <c r="BX694" s="10"/>
      <c r="BY694" s="10"/>
      <c r="BZ694" s="10"/>
      <c r="CA694" s="10"/>
      <c r="CB694" s="10"/>
      <c r="CC694" s="10"/>
      <c r="CD694" s="10"/>
      <c r="CE694" s="10"/>
      <c r="CF694" s="10"/>
      <c r="CG694" s="10"/>
      <c r="CH694" s="10"/>
      <c r="CI694" s="10"/>
      <c r="CJ694" s="10"/>
      <c r="CK694" s="10"/>
      <c r="CL694" s="10"/>
      <c r="CM694" s="10"/>
      <c r="CN694" s="10"/>
      <c r="CO694" s="10"/>
      <c r="CP694" s="10"/>
      <c r="CQ694" s="10"/>
      <c r="CR694" s="10"/>
      <c r="CS694" s="10"/>
      <c r="CT694" s="10"/>
      <c r="CU694" s="10"/>
      <c r="CV694" s="10"/>
      <c r="CW694" s="10"/>
      <c r="CX694" s="10"/>
      <c r="CY694" s="10"/>
      <c r="CZ694" s="10"/>
      <c r="DA694" s="10"/>
      <c r="DB694" s="10"/>
      <c r="DC694" s="10"/>
      <c r="DD694" s="10"/>
      <c r="DE694" s="10"/>
      <c r="DF694" s="10"/>
      <c r="DG694" s="10"/>
      <c r="DH694" s="10"/>
      <c r="DI694" s="10"/>
      <c r="DJ694" s="10"/>
      <c r="DK694" s="10"/>
      <c r="DL694" s="10"/>
      <c r="DM694" s="10"/>
      <c r="DN694" s="10"/>
      <c r="DO694" s="10"/>
      <c r="DP694" s="10"/>
      <c r="DQ694" s="10"/>
      <c r="DR694" s="10"/>
      <c r="DS694" s="10"/>
      <c r="DT694" s="10"/>
      <c r="DU694" s="10"/>
      <c r="DV694" s="10"/>
      <c r="DW694" s="10"/>
      <c r="DX694" s="10"/>
      <c r="DY694" s="10"/>
      <c r="DZ694" s="10"/>
      <c r="EA694" s="10"/>
      <c r="EB694" s="10"/>
      <c r="EC694" s="10"/>
      <c r="ED694" s="10"/>
      <c r="EE694" s="10"/>
      <c r="EF694" s="10"/>
      <c r="EG694" s="10"/>
      <c r="EH694" s="10"/>
      <c r="EI694" s="10"/>
      <c r="EJ694" s="10"/>
      <c r="EK694" s="10"/>
      <c r="EL694" s="10"/>
      <c r="EM694" s="10"/>
      <c r="EN694" s="10"/>
      <c r="EO694" s="10"/>
      <c r="EP694" s="10"/>
      <c r="EQ694" s="10"/>
      <c r="ER694" s="10"/>
      <c r="ES694" s="10"/>
      <c r="ET694" s="10"/>
      <c r="EU694" s="10"/>
      <c r="EV694" s="10"/>
      <c r="EW694" s="10"/>
      <c r="EX694" s="10"/>
      <c r="EY694" s="10"/>
      <c r="EZ694" s="10"/>
      <c r="FA694" s="10"/>
      <c r="FB694" s="10"/>
      <c r="FC694" s="10"/>
      <c r="FD694" s="10"/>
      <c r="FE694" s="10"/>
      <c r="FF694" s="10"/>
      <c r="FG694" s="10"/>
      <c r="FH694" s="10"/>
      <c r="FI694" s="10"/>
      <c r="FJ694" s="10"/>
      <c r="FK694" s="10"/>
      <c r="FL694" s="10"/>
      <c r="FM694" s="10"/>
      <c r="FN694" s="10"/>
      <c r="FO694" s="10"/>
      <c r="FP694" s="10"/>
      <c r="FQ694" s="10"/>
      <c r="FR694" s="10"/>
      <c r="FS694" s="10"/>
      <c r="FT694" s="10"/>
      <c r="FU694" s="10"/>
      <c r="FV694" s="10"/>
      <c r="FW694" s="10"/>
      <c r="FX694" s="10"/>
      <c r="FY694" s="10"/>
      <c r="FZ694" s="10"/>
      <c r="GA694" s="10"/>
      <c r="GB694" s="10"/>
      <c r="GC694" s="10"/>
      <c r="GD694" s="10"/>
      <c r="GE694" s="10"/>
      <c r="GF694" s="10"/>
      <c r="GG694" s="10"/>
      <c r="GH694" s="10"/>
      <c r="GI694" s="10"/>
      <c r="GJ694" s="10"/>
      <c r="GK694" s="10"/>
      <c r="GL694" s="10"/>
      <c r="GM694" s="10"/>
      <c r="GN694" s="10"/>
      <c r="GO694" s="10"/>
      <c r="GP694" s="10"/>
      <c r="GQ694" s="10"/>
      <c r="GR694" s="10"/>
      <c r="GS694" s="10"/>
      <c r="GT694" s="10"/>
      <c r="GU694" s="10"/>
      <c r="GV694" s="10"/>
      <c r="GW694" s="10"/>
      <c r="GX694" s="10"/>
      <c r="GY694" s="10"/>
      <c r="GZ694" s="10"/>
      <c r="HA694" s="10"/>
      <c r="HB694" s="10"/>
      <c r="HC694" s="10"/>
      <c r="HD694" s="10"/>
      <c r="HE694" s="10"/>
      <c r="HF694" s="10"/>
      <c r="HG694" s="10"/>
      <c r="HH694" s="10"/>
      <c r="HI694" s="10"/>
      <c r="HJ694" s="10"/>
      <c r="HK694" s="10"/>
      <c r="HL694" s="10"/>
      <c r="HM694" s="10"/>
      <c r="HN694" s="10"/>
      <c r="HO694" s="10"/>
      <c r="HP694" s="10"/>
      <c r="HQ694" s="10"/>
      <c r="HR694" s="10"/>
      <c r="HS694" s="10"/>
      <c r="HT694" s="10"/>
      <c r="HU694" s="10"/>
      <c r="HV694" s="10"/>
      <c r="HW694" s="10"/>
      <c r="HX694" s="10"/>
      <c r="HY694" s="10"/>
      <c r="HZ694" s="10"/>
      <c r="IA694" s="10"/>
      <c r="IB694" s="10"/>
      <c r="IC694" s="10"/>
      <c r="ID694" s="10"/>
      <c r="IE694" s="10"/>
      <c r="IF694" s="10"/>
      <c r="IG694" s="10"/>
      <c r="IH694" s="10"/>
      <c r="II694" s="10"/>
      <c r="IJ694" s="10"/>
      <c r="IK694" s="10"/>
      <c r="IL694" s="10"/>
      <c r="IM694" s="10"/>
      <c r="IN694" s="10"/>
      <c r="IO694" s="10"/>
      <c r="IP694" s="10"/>
      <c r="IQ694" s="10"/>
      <c r="IR694" s="10"/>
      <c r="IS694" s="10"/>
      <c r="IT694" s="10"/>
      <c r="IU694" s="10"/>
    </row>
    <row r="695" spans="1:255" s="37" customFormat="1" ht="18.75" customHeight="1">
      <c r="A695" s="29">
        <f>A693+1</f>
        <v>675</v>
      </c>
      <c r="B695" s="30"/>
      <c r="C695" s="30" t="s">
        <v>278</v>
      </c>
      <c r="D695" s="30" t="s">
        <v>1195</v>
      </c>
      <c r="E695" s="31">
        <v>42983</v>
      </c>
      <c r="F695" s="30" t="s">
        <v>280</v>
      </c>
      <c r="G695" s="30" t="s">
        <v>281</v>
      </c>
      <c r="H695" s="30" t="s">
        <v>1196</v>
      </c>
      <c r="I695" s="29">
        <v>4983400</v>
      </c>
      <c r="J695" s="29">
        <v>10</v>
      </c>
      <c r="K695" s="29">
        <v>498340</v>
      </c>
      <c r="L695" s="38"/>
      <c r="M695" s="39"/>
      <c r="N695" s="40"/>
      <c r="O695" s="35"/>
      <c r="P695" s="36"/>
      <c r="Q695" s="36"/>
      <c r="T695" s="36"/>
    </row>
    <row r="696" spans="1:255" s="37" customFormat="1" ht="18.75" customHeight="1">
      <c r="A696" s="29">
        <f>A695+1</f>
        <v>676</v>
      </c>
      <c r="B696" s="30"/>
      <c r="C696" s="30" t="s">
        <v>167</v>
      </c>
      <c r="D696" s="30" t="s">
        <v>1197</v>
      </c>
      <c r="E696" s="31">
        <v>42985</v>
      </c>
      <c r="F696" s="30" t="s">
        <v>266</v>
      </c>
      <c r="G696" s="30" t="s">
        <v>267</v>
      </c>
      <c r="H696" s="30" t="s">
        <v>1198</v>
      </c>
      <c r="I696" s="29">
        <v>7069805</v>
      </c>
      <c r="J696" s="29">
        <v>10</v>
      </c>
      <c r="K696" s="29">
        <v>706981</v>
      </c>
      <c r="L696" s="38"/>
      <c r="M696" s="39"/>
      <c r="N696" s="40"/>
      <c r="O696" s="35"/>
      <c r="P696" s="36"/>
      <c r="Q696" s="36"/>
      <c r="T696" s="36"/>
    </row>
    <row r="697" spans="1:255" s="37" customFormat="1" ht="18.75" customHeight="1">
      <c r="A697" s="29">
        <f t="shared" ref="A697:A760" si="13">A696+1</f>
        <v>677</v>
      </c>
      <c r="B697" s="30"/>
      <c r="C697" s="30" t="s">
        <v>93</v>
      </c>
      <c r="D697" s="30" t="s">
        <v>1199</v>
      </c>
      <c r="E697" s="31">
        <v>42986</v>
      </c>
      <c r="F697" s="30" t="s">
        <v>49</v>
      </c>
      <c r="G697" s="30" t="s">
        <v>50</v>
      </c>
      <c r="H697" s="30" t="s">
        <v>864</v>
      </c>
      <c r="I697" s="29">
        <v>138240000</v>
      </c>
      <c r="J697" s="29">
        <v>10</v>
      </c>
      <c r="K697" s="29">
        <v>13824000</v>
      </c>
      <c r="L697" s="38" t="s">
        <v>52</v>
      </c>
      <c r="M697" s="39">
        <v>43031</v>
      </c>
      <c r="N697" s="40"/>
      <c r="O697" s="35"/>
      <c r="P697" s="36"/>
      <c r="Q697" s="36"/>
      <c r="T697" s="36"/>
    </row>
    <row r="698" spans="1:255" s="37" customFormat="1" ht="18.75" customHeight="1">
      <c r="A698" s="29">
        <f t="shared" si="13"/>
        <v>678</v>
      </c>
      <c r="B698" s="30"/>
      <c r="C698" s="30" t="s">
        <v>726</v>
      </c>
      <c r="D698" s="30" t="s">
        <v>1200</v>
      </c>
      <c r="E698" s="31">
        <v>42992</v>
      </c>
      <c r="F698" s="30" t="s">
        <v>63</v>
      </c>
      <c r="G698" s="30" t="s">
        <v>64</v>
      </c>
      <c r="H698" s="30" t="s">
        <v>1201</v>
      </c>
      <c r="I698" s="29">
        <v>12181818</v>
      </c>
      <c r="J698" s="29">
        <v>10</v>
      </c>
      <c r="K698" s="29">
        <v>1218182</v>
      </c>
      <c r="L698" s="38"/>
      <c r="M698" s="39"/>
      <c r="N698" s="40"/>
      <c r="O698" s="35"/>
      <c r="P698" s="36"/>
      <c r="Q698" s="36"/>
      <c r="T698" s="36"/>
    </row>
    <row r="699" spans="1:255" s="37" customFormat="1" ht="18.75" customHeight="1">
      <c r="A699" s="29">
        <f t="shared" si="13"/>
        <v>679</v>
      </c>
      <c r="B699" s="30"/>
      <c r="C699" s="30" t="s">
        <v>69</v>
      </c>
      <c r="D699" s="30" t="s">
        <v>1202</v>
      </c>
      <c r="E699" s="31">
        <v>42996</v>
      </c>
      <c r="F699" s="30" t="s">
        <v>71</v>
      </c>
      <c r="G699" s="30" t="s">
        <v>72</v>
      </c>
      <c r="H699" s="30" t="s">
        <v>40</v>
      </c>
      <c r="I699" s="29">
        <v>400000</v>
      </c>
      <c r="J699" s="29">
        <v>10</v>
      </c>
      <c r="K699" s="29">
        <v>40000</v>
      </c>
      <c r="L699" s="38"/>
      <c r="M699" s="39"/>
      <c r="N699" s="40"/>
      <c r="O699" s="35"/>
      <c r="P699" s="36"/>
      <c r="Q699" s="36"/>
      <c r="T699" s="36"/>
    </row>
    <row r="700" spans="1:255" s="37" customFormat="1" ht="18.75" customHeight="1">
      <c r="A700" s="29">
        <f t="shared" si="13"/>
        <v>680</v>
      </c>
      <c r="B700" s="30"/>
      <c r="C700" s="30" t="s">
        <v>93</v>
      </c>
      <c r="D700" s="30" t="s">
        <v>1203</v>
      </c>
      <c r="E700" s="31">
        <v>42997</v>
      </c>
      <c r="F700" s="30" t="s">
        <v>49</v>
      </c>
      <c r="G700" s="30" t="s">
        <v>50</v>
      </c>
      <c r="H700" s="30" t="s">
        <v>864</v>
      </c>
      <c r="I700" s="29">
        <v>109120000</v>
      </c>
      <c r="J700" s="29">
        <v>10</v>
      </c>
      <c r="K700" s="29">
        <v>10912000</v>
      </c>
      <c r="L700" s="38" t="s">
        <v>52</v>
      </c>
      <c r="M700" s="39">
        <v>43031</v>
      </c>
      <c r="N700" s="40"/>
      <c r="O700" s="35"/>
      <c r="P700" s="36"/>
      <c r="Q700" s="36"/>
      <c r="T700" s="36"/>
    </row>
    <row r="701" spans="1:255" s="37" customFormat="1" ht="18.75" customHeight="1">
      <c r="A701" s="29">
        <f t="shared" si="13"/>
        <v>681</v>
      </c>
      <c r="B701" s="30"/>
      <c r="C701" s="30" t="s">
        <v>54</v>
      </c>
      <c r="D701" s="30" t="s">
        <v>1204</v>
      </c>
      <c r="E701" s="31">
        <v>42997</v>
      </c>
      <c r="F701" s="30" t="s">
        <v>56</v>
      </c>
      <c r="G701" s="30" t="s">
        <v>57</v>
      </c>
      <c r="H701" s="30" t="s">
        <v>1198</v>
      </c>
      <c r="I701" s="29">
        <v>16449200</v>
      </c>
      <c r="J701" s="29">
        <v>10</v>
      </c>
      <c r="K701" s="29">
        <v>1644920</v>
      </c>
      <c r="L701" s="38"/>
      <c r="M701" s="39"/>
      <c r="N701" s="40"/>
      <c r="O701" s="35"/>
      <c r="P701" s="36"/>
      <c r="Q701" s="36"/>
      <c r="T701" s="36"/>
    </row>
    <row r="702" spans="1:255" s="37" customFormat="1" ht="18.75" customHeight="1">
      <c r="A702" s="29">
        <f t="shared" si="13"/>
        <v>682</v>
      </c>
      <c r="B702" s="30"/>
      <c r="C702" s="30" t="s">
        <v>69</v>
      </c>
      <c r="D702" s="30" t="s">
        <v>1205</v>
      </c>
      <c r="E702" s="31">
        <v>42997</v>
      </c>
      <c r="F702" s="30" t="s">
        <v>71</v>
      </c>
      <c r="G702" s="30" t="s">
        <v>72</v>
      </c>
      <c r="H702" s="30" t="s">
        <v>40</v>
      </c>
      <c r="I702" s="29">
        <v>1200000</v>
      </c>
      <c r="J702" s="29">
        <v>10</v>
      </c>
      <c r="K702" s="29">
        <v>120000</v>
      </c>
      <c r="L702" s="38"/>
      <c r="M702" s="39"/>
      <c r="N702" s="40"/>
      <c r="O702" s="35"/>
      <c r="P702" s="36"/>
      <c r="Q702" s="36"/>
      <c r="T702" s="36"/>
    </row>
    <row r="703" spans="1:255" s="37" customFormat="1" ht="18.75" customHeight="1">
      <c r="A703" s="29">
        <f t="shared" si="13"/>
        <v>683</v>
      </c>
      <c r="B703" s="30"/>
      <c r="C703" s="30" t="s">
        <v>848</v>
      </c>
      <c r="D703" s="30" t="s">
        <v>1206</v>
      </c>
      <c r="E703" s="31">
        <v>43003</v>
      </c>
      <c r="F703" s="30" t="s">
        <v>850</v>
      </c>
      <c r="G703" s="30" t="s">
        <v>851</v>
      </c>
      <c r="H703" s="30" t="s">
        <v>1196</v>
      </c>
      <c r="I703" s="29">
        <v>3705818</v>
      </c>
      <c r="J703" s="29">
        <v>10</v>
      </c>
      <c r="K703" s="29">
        <v>370582</v>
      </c>
      <c r="L703" s="38"/>
      <c r="M703" s="39"/>
      <c r="N703" s="40"/>
      <c r="O703" s="35"/>
      <c r="P703" s="36"/>
      <c r="Q703" s="36"/>
      <c r="T703" s="36"/>
    </row>
    <row r="704" spans="1:255" s="37" customFormat="1" ht="18.75" customHeight="1">
      <c r="A704" s="29">
        <f t="shared" si="13"/>
        <v>684</v>
      </c>
      <c r="B704" s="30"/>
      <c r="C704" s="30" t="s">
        <v>54</v>
      </c>
      <c r="D704" s="30" t="s">
        <v>896</v>
      </c>
      <c r="E704" s="31">
        <v>43006</v>
      </c>
      <c r="F704" s="30" t="s">
        <v>56</v>
      </c>
      <c r="G704" s="30" t="s">
        <v>57</v>
      </c>
      <c r="H704" s="30" t="s">
        <v>1198</v>
      </c>
      <c r="I704" s="29">
        <v>11491900</v>
      </c>
      <c r="J704" s="29">
        <v>10</v>
      </c>
      <c r="K704" s="29">
        <v>1149190</v>
      </c>
      <c r="L704" s="38"/>
      <c r="M704" s="39"/>
      <c r="N704" s="40"/>
      <c r="O704" s="35"/>
      <c r="P704" s="36"/>
      <c r="Q704" s="36"/>
      <c r="T704" s="36"/>
    </row>
    <row r="705" spans="1:20" s="37" customFormat="1" ht="18.75" customHeight="1">
      <c r="A705" s="29">
        <f t="shared" si="13"/>
        <v>685</v>
      </c>
      <c r="B705" s="30"/>
      <c r="C705" s="30" t="s">
        <v>726</v>
      </c>
      <c r="D705" s="30" t="s">
        <v>1207</v>
      </c>
      <c r="E705" s="31">
        <v>43007</v>
      </c>
      <c r="F705" s="30" t="s">
        <v>63</v>
      </c>
      <c r="G705" s="30" t="s">
        <v>64</v>
      </c>
      <c r="H705" s="30" t="s">
        <v>1201</v>
      </c>
      <c r="I705" s="29">
        <v>17363636</v>
      </c>
      <c r="J705" s="29">
        <v>10</v>
      </c>
      <c r="K705" s="29">
        <v>1736364</v>
      </c>
      <c r="L705" s="38"/>
      <c r="M705" s="39"/>
      <c r="N705" s="40"/>
      <c r="O705" s="35"/>
      <c r="P705" s="36"/>
      <c r="Q705" s="36"/>
      <c r="T705" s="36"/>
    </row>
    <row r="706" spans="1:20" s="37" customFormat="1" ht="18.75" customHeight="1">
      <c r="A706" s="29">
        <f t="shared" si="13"/>
        <v>686</v>
      </c>
      <c r="B706" s="30"/>
      <c r="C706" s="30" t="s">
        <v>502</v>
      </c>
      <c r="D706" s="30" t="s">
        <v>1208</v>
      </c>
      <c r="E706" s="31">
        <v>43007</v>
      </c>
      <c r="F706" s="30" t="s">
        <v>127</v>
      </c>
      <c r="G706" s="30" t="s">
        <v>128</v>
      </c>
      <c r="H706" s="30" t="s">
        <v>129</v>
      </c>
      <c r="I706" s="29">
        <v>454545</v>
      </c>
      <c r="J706" s="29">
        <v>10</v>
      </c>
      <c r="K706" s="29">
        <v>45455</v>
      </c>
      <c r="L706" s="38"/>
      <c r="M706" s="39"/>
      <c r="N706" s="40"/>
      <c r="O706" s="35"/>
      <c r="P706" s="36"/>
      <c r="Q706" s="36"/>
      <c r="T706" s="36"/>
    </row>
    <row r="707" spans="1:20" s="37" customFormat="1" ht="18.75" customHeight="1">
      <c r="A707" s="29">
        <f t="shared" si="13"/>
        <v>687</v>
      </c>
      <c r="B707" s="30"/>
      <c r="C707" s="30" t="s">
        <v>1209</v>
      </c>
      <c r="D707" s="30" t="s">
        <v>1210</v>
      </c>
      <c r="E707" s="31">
        <v>43009</v>
      </c>
      <c r="F707" s="30" t="s">
        <v>89</v>
      </c>
      <c r="G707" s="30" t="s">
        <v>90</v>
      </c>
      <c r="H707" s="30" t="s">
        <v>858</v>
      </c>
      <c r="I707" s="29">
        <v>510058</v>
      </c>
      <c r="J707" s="29">
        <v>10</v>
      </c>
      <c r="K707" s="29">
        <v>51006</v>
      </c>
      <c r="L707" s="38"/>
      <c r="M707" s="39"/>
      <c r="N707" s="40"/>
      <c r="O707" s="35"/>
      <c r="P707" s="36"/>
      <c r="Q707" s="36"/>
      <c r="T707" s="36"/>
    </row>
    <row r="708" spans="1:20" s="37" customFormat="1" ht="18.75" customHeight="1">
      <c r="A708" s="29">
        <f t="shared" si="13"/>
        <v>688</v>
      </c>
      <c r="B708" s="30"/>
      <c r="C708" s="30" t="s">
        <v>1209</v>
      </c>
      <c r="D708" s="30" t="s">
        <v>1211</v>
      </c>
      <c r="E708" s="31">
        <v>43009</v>
      </c>
      <c r="F708" s="30" t="s">
        <v>89</v>
      </c>
      <c r="G708" s="30" t="s">
        <v>90</v>
      </c>
      <c r="H708" s="30" t="s">
        <v>858</v>
      </c>
      <c r="I708" s="29">
        <v>189165</v>
      </c>
      <c r="J708" s="29">
        <v>10</v>
      </c>
      <c r="K708" s="29">
        <v>18917</v>
      </c>
      <c r="L708" s="38"/>
      <c r="M708" s="39"/>
      <c r="N708" s="40"/>
      <c r="O708" s="35"/>
      <c r="P708" s="36"/>
      <c r="Q708" s="36"/>
      <c r="T708" s="36"/>
    </row>
    <row r="709" spans="1:20" s="37" customFormat="1" ht="18.75" customHeight="1">
      <c r="A709" s="29">
        <f t="shared" si="13"/>
        <v>689</v>
      </c>
      <c r="B709" s="30"/>
      <c r="C709" s="30" t="s">
        <v>54</v>
      </c>
      <c r="D709" s="30" t="s">
        <v>1212</v>
      </c>
      <c r="E709" s="31">
        <v>43011</v>
      </c>
      <c r="F709" s="30" t="s">
        <v>56</v>
      </c>
      <c r="G709" s="30" t="s">
        <v>57</v>
      </c>
      <c r="H709" s="30" t="s">
        <v>1198</v>
      </c>
      <c r="I709" s="29">
        <v>11489600</v>
      </c>
      <c r="J709" s="29">
        <v>10</v>
      </c>
      <c r="K709" s="29">
        <v>1148960</v>
      </c>
      <c r="L709" s="38"/>
      <c r="M709" s="39"/>
      <c r="N709" s="40"/>
      <c r="O709" s="35"/>
      <c r="P709" s="36"/>
      <c r="Q709" s="36"/>
      <c r="T709" s="36"/>
    </row>
    <row r="710" spans="1:20" s="37" customFormat="1" ht="18.75" customHeight="1">
      <c r="A710" s="29">
        <f t="shared" si="13"/>
        <v>690</v>
      </c>
      <c r="B710" s="30"/>
      <c r="C710" s="30" t="s">
        <v>69</v>
      </c>
      <c r="D710" s="30" t="s">
        <v>1213</v>
      </c>
      <c r="E710" s="31">
        <v>43011</v>
      </c>
      <c r="F710" s="30" t="s">
        <v>71</v>
      </c>
      <c r="G710" s="30" t="s">
        <v>72</v>
      </c>
      <c r="H710" s="30" t="s">
        <v>40</v>
      </c>
      <c r="I710" s="29">
        <v>410000</v>
      </c>
      <c r="J710" s="29">
        <v>10</v>
      </c>
      <c r="K710" s="29">
        <v>41000</v>
      </c>
      <c r="L710" s="38"/>
      <c r="M710" s="39"/>
      <c r="N710" s="40"/>
      <c r="O710" s="35"/>
      <c r="P710" s="36"/>
      <c r="Q710" s="36"/>
      <c r="T710" s="36"/>
    </row>
    <row r="711" spans="1:20" s="37" customFormat="1" ht="18.75" customHeight="1">
      <c r="A711" s="29">
        <f t="shared" si="13"/>
        <v>691</v>
      </c>
      <c r="B711" s="30"/>
      <c r="C711" s="30" t="s">
        <v>69</v>
      </c>
      <c r="D711" s="30" t="s">
        <v>1214</v>
      </c>
      <c r="E711" s="31">
        <v>43011</v>
      </c>
      <c r="F711" s="30" t="s">
        <v>71</v>
      </c>
      <c r="G711" s="30" t="s">
        <v>72</v>
      </c>
      <c r="H711" s="30" t="s">
        <v>40</v>
      </c>
      <c r="I711" s="29">
        <v>2000000</v>
      </c>
      <c r="J711" s="29">
        <v>10</v>
      </c>
      <c r="K711" s="29">
        <v>200000</v>
      </c>
      <c r="L711" s="38"/>
      <c r="M711" s="39"/>
      <c r="N711" s="40"/>
      <c r="O711" s="35"/>
      <c r="P711" s="36"/>
      <c r="Q711" s="36"/>
      <c r="T711" s="36"/>
    </row>
    <row r="712" spans="1:20" s="37" customFormat="1" ht="18.75" customHeight="1">
      <c r="A712" s="29">
        <f t="shared" si="13"/>
        <v>692</v>
      </c>
      <c r="B712" s="30"/>
      <c r="C712" s="30" t="s">
        <v>1215</v>
      </c>
      <c r="D712" s="30" t="s">
        <v>886</v>
      </c>
      <c r="E712" s="31">
        <v>43012</v>
      </c>
      <c r="F712" s="30" t="s">
        <v>1216</v>
      </c>
      <c r="G712" s="30" t="s">
        <v>1217</v>
      </c>
      <c r="H712" s="30" t="s">
        <v>1218</v>
      </c>
      <c r="I712" s="29">
        <v>50372240</v>
      </c>
      <c r="J712" s="29">
        <v>10</v>
      </c>
      <c r="K712" s="29">
        <v>5037224</v>
      </c>
      <c r="L712" s="38" t="s">
        <v>52</v>
      </c>
      <c r="M712" s="39">
        <v>43056</v>
      </c>
      <c r="N712" s="40" t="s">
        <v>1219</v>
      </c>
      <c r="O712" s="35"/>
      <c r="P712" s="36"/>
      <c r="Q712" s="36"/>
      <c r="T712" s="36"/>
    </row>
    <row r="713" spans="1:20" s="37" customFormat="1" ht="18.75" customHeight="1">
      <c r="A713" s="29">
        <f t="shared" si="13"/>
        <v>693</v>
      </c>
      <c r="B713" s="30"/>
      <c r="C713" s="30" t="s">
        <v>502</v>
      </c>
      <c r="D713" s="30" t="s">
        <v>1220</v>
      </c>
      <c r="E713" s="31">
        <v>43012</v>
      </c>
      <c r="F713" s="30" t="s">
        <v>127</v>
      </c>
      <c r="G713" s="30" t="s">
        <v>128</v>
      </c>
      <c r="H713" s="30" t="s">
        <v>129</v>
      </c>
      <c r="I713" s="29">
        <v>423636</v>
      </c>
      <c r="J713" s="29">
        <v>10</v>
      </c>
      <c r="K713" s="29">
        <v>42364</v>
      </c>
      <c r="L713" s="38"/>
      <c r="M713" s="39"/>
      <c r="N713" s="40"/>
      <c r="O713" s="35"/>
      <c r="P713" s="36"/>
      <c r="Q713" s="36"/>
      <c r="T713" s="36"/>
    </row>
    <row r="714" spans="1:20" s="37" customFormat="1" ht="18.75" customHeight="1">
      <c r="A714" s="29">
        <f t="shared" si="13"/>
        <v>694</v>
      </c>
      <c r="B714" s="30"/>
      <c r="C714" s="30" t="s">
        <v>502</v>
      </c>
      <c r="D714" s="30" t="s">
        <v>1221</v>
      </c>
      <c r="E714" s="31">
        <v>43012</v>
      </c>
      <c r="F714" s="30" t="s">
        <v>127</v>
      </c>
      <c r="G714" s="30" t="s">
        <v>128</v>
      </c>
      <c r="H714" s="30" t="s">
        <v>129</v>
      </c>
      <c r="I714" s="29">
        <v>454545</v>
      </c>
      <c r="J714" s="29">
        <v>10</v>
      </c>
      <c r="K714" s="29">
        <v>45455</v>
      </c>
      <c r="L714" s="38"/>
      <c r="M714" s="39"/>
      <c r="N714" s="40"/>
      <c r="O714" s="35"/>
      <c r="P714" s="36"/>
      <c r="Q714" s="36"/>
      <c r="T714" s="36"/>
    </row>
    <row r="715" spans="1:20" s="37" customFormat="1" ht="18.75" customHeight="1">
      <c r="A715" s="29">
        <f t="shared" si="13"/>
        <v>695</v>
      </c>
      <c r="B715" s="30"/>
      <c r="C715" s="30" t="s">
        <v>112</v>
      </c>
      <c r="D715" s="30" t="s">
        <v>1222</v>
      </c>
      <c r="E715" s="31">
        <v>43012</v>
      </c>
      <c r="F715" s="30" t="s">
        <v>114</v>
      </c>
      <c r="G715" s="30" t="s">
        <v>115</v>
      </c>
      <c r="H715" s="30" t="s">
        <v>116</v>
      </c>
      <c r="I715" s="29">
        <v>20000</v>
      </c>
      <c r="J715" s="29">
        <v>10</v>
      </c>
      <c r="K715" s="29">
        <v>2000</v>
      </c>
      <c r="L715" s="38"/>
      <c r="M715" s="39"/>
      <c r="N715" s="40"/>
      <c r="O715" s="35"/>
      <c r="P715" s="36"/>
      <c r="Q715" s="36"/>
      <c r="T715" s="36"/>
    </row>
    <row r="716" spans="1:20" s="37" customFormat="1" ht="18.75" customHeight="1">
      <c r="A716" s="29">
        <f t="shared" si="13"/>
        <v>696</v>
      </c>
      <c r="B716" s="30"/>
      <c r="C716" s="30" t="s">
        <v>112</v>
      </c>
      <c r="D716" s="30" t="s">
        <v>1223</v>
      </c>
      <c r="E716" s="31">
        <v>43012</v>
      </c>
      <c r="F716" s="30" t="s">
        <v>114</v>
      </c>
      <c r="G716" s="30" t="s">
        <v>115</v>
      </c>
      <c r="H716" s="30" t="s">
        <v>116</v>
      </c>
      <c r="I716" s="29">
        <v>10000</v>
      </c>
      <c r="J716" s="29">
        <v>10</v>
      </c>
      <c r="K716" s="29">
        <v>1000</v>
      </c>
      <c r="L716" s="38"/>
      <c r="M716" s="39"/>
      <c r="N716" s="40"/>
      <c r="O716" s="35"/>
      <c r="P716" s="36"/>
      <c r="Q716" s="36"/>
      <c r="T716" s="36"/>
    </row>
    <row r="717" spans="1:20" s="37" customFormat="1" ht="18.75" customHeight="1">
      <c r="A717" s="29">
        <f t="shared" si="13"/>
        <v>697</v>
      </c>
      <c r="B717" s="30"/>
      <c r="C717" s="30" t="s">
        <v>112</v>
      </c>
      <c r="D717" s="30" t="s">
        <v>1224</v>
      </c>
      <c r="E717" s="31">
        <v>43012</v>
      </c>
      <c r="F717" s="30" t="s">
        <v>114</v>
      </c>
      <c r="G717" s="30" t="s">
        <v>115</v>
      </c>
      <c r="H717" s="30" t="s">
        <v>116</v>
      </c>
      <c r="I717" s="29">
        <v>20000</v>
      </c>
      <c r="J717" s="29">
        <v>10</v>
      </c>
      <c r="K717" s="29">
        <v>2000</v>
      </c>
      <c r="L717" s="38"/>
      <c r="M717" s="39"/>
      <c r="N717" s="40"/>
      <c r="O717" s="35"/>
      <c r="P717" s="36"/>
      <c r="Q717" s="36"/>
      <c r="T717" s="36"/>
    </row>
    <row r="718" spans="1:20" s="37" customFormat="1" ht="18.75" customHeight="1">
      <c r="A718" s="29">
        <f t="shared" si="13"/>
        <v>698</v>
      </c>
      <c r="B718" s="30"/>
      <c r="C718" s="30" t="s">
        <v>112</v>
      </c>
      <c r="D718" s="30" t="s">
        <v>1225</v>
      </c>
      <c r="E718" s="31">
        <v>43012</v>
      </c>
      <c r="F718" s="30" t="s">
        <v>114</v>
      </c>
      <c r="G718" s="30" t="s">
        <v>115</v>
      </c>
      <c r="H718" s="30" t="s">
        <v>116</v>
      </c>
      <c r="I718" s="29">
        <v>20000</v>
      </c>
      <c r="J718" s="29">
        <v>10</v>
      </c>
      <c r="K718" s="29">
        <v>2000</v>
      </c>
      <c r="L718" s="38"/>
      <c r="M718" s="39"/>
      <c r="N718" s="40"/>
      <c r="O718" s="35"/>
      <c r="P718" s="36"/>
      <c r="Q718" s="36"/>
      <c r="T718" s="36"/>
    </row>
    <row r="719" spans="1:20" s="37" customFormat="1" ht="18.75" customHeight="1">
      <c r="A719" s="29">
        <f t="shared" si="13"/>
        <v>699</v>
      </c>
      <c r="B719" s="30"/>
      <c r="C719" s="30" t="s">
        <v>100</v>
      </c>
      <c r="D719" s="30" t="s">
        <v>1226</v>
      </c>
      <c r="E719" s="31">
        <v>43013</v>
      </c>
      <c r="F719" s="30" t="s">
        <v>102</v>
      </c>
      <c r="G719" s="30" t="s">
        <v>103</v>
      </c>
      <c r="H719" s="30" t="s">
        <v>377</v>
      </c>
      <c r="I719" s="29">
        <v>19720000</v>
      </c>
      <c r="J719" s="29">
        <v>10</v>
      </c>
      <c r="K719" s="29">
        <v>1972000</v>
      </c>
      <c r="L719" s="38" t="s">
        <v>52</v>
      </c>
      <c r="M719" s="39">
        <v>43056</v>
      </c>
      <c r="N719" s="40" t="s">
        <v>1219</v>
      </c>
      <c r="O719" s="35"/>
      <c r="P719" s="36"/>
      <c r="Q719" s="36"/>
      <c r="T719" s="36"/>
    </row>
    <row r="720" spans="1:20" s="37" customFormat="1" ht="18.75" customHeight="1">
      <c r="A720" s="29">
        <f t="shared" si="13"/>
        <v>700</v>
      </c>
      <c r="B720" s="30"/>
      <c r="C720" s="30" t="s">
        <v>833</v>
      </c>
      <c r="D720" s="30" t="s">
        <v>1227</v>
      </c>
      <c r="E720" s="31">
        <v>43013</v>
      </c>
      <c r="F720" s="30" t="s">
        <v>835</v>
      </c>
      <c r="G720" s="30" t="s">
        <v>836</v>
      </c>
      <c r="H720" s="30" t="s">
        <v>858</v>
      </c>
      <c r="I720" s="29">
        <v>502132</v>
      </c>
      <c r="J720" s="29">
        <v>10</v>
      </c>
      <c r="K720" s="29">
        <v>50213</v>
      </c>
      <c r="L720" s="38"/>
      <c r="M720" s="39"/>
      <c r="N720" s="40"/>
      <c r="O720" s="35"/>
      <c r="P720" s="36"/>
      <c r="Q720" s="36"/>
      <c r="T720" s="36"/>
    </row>
    <row r="721" spans="1:20" s="37" customFormat="1" ht="18.75" customHeight="1">
      <c r="A721" s="29">
        <f t="shared" si="13"/>
        <v>701</v>
      </c>
      <c r="B721" s="30"/>
      <c r="C721" s="30" t="s">
        <v>1228</v>
      </c>
      <c r="D721" s="30" t="s">
        <v>1229</v>
      </c>
      <c r="E721" s="31">
        <v>43014</v>
      </c>
      <c r="F721" s="30" t="s">
        <v>1230</v>
      </c>
      <c r="G721" s="30" t="s">
        <v>1231</v>
      </c>
      <c r="H721" s="30" t="s">
        <v>1232</v>
      </c>
      <c r="I721" s="29">
        <v>18000000</v>
      </c>
      <c r="J721" s="29">
        <v>10</v>
      </c>
      <c r="K721" s="29">
        <v>1800000</v>
      </c>
      <c r="L721" s="38"/>
      <c r="M721" s="39"/>
      <c r="N721" s="40"/>
      <c r="O721" s="35"/>
      <c r="P721" s="36"/>
      <c r="Q721" s="36"/>
      <c r="T721" s="36"/>
    </row>
    <row r="722" spans="1:20" s="37" customFormat="1" ht="18.75" customHeight="1">
      <c r="A722" s="29">
        <f t="shared" si="13"/>
        <v>702</v>
      </c>
      <c r="B722" s="30"/>
      <c r="C722" s="30" t="s">
        <v>119</v>
      </c>
      <c r="D722" s="30" t="s">
        <v>1233</v>
      </c>
      <c r="E722" s="31">
        <v>43015</v>
      </c>
      <c r="F722" s="30" t="s">
        <v>121</v>
      </c>
      <c r="G722" s="30" t="s">
        <v>122</v>
      </c>
      <c r="H722" s="30" t="s">
        <v>1234</v>
      </c>
      <c r="I722" s="29">
        <v>284409064</v>
      </c>
      <c r="J722" s="29">
        <v>10</v>
      </c>
      <c r="K722" s="29">
        <v>28440906</v>
      </c>
      <c r="L722" s="38" t="s">
        <v>52</v>
      </c>
      <c r="M722" s="39">
        <v>43031</v>
      </c>
      <c r="N722" s="40" t="s">
        <v>1219</v>
      </c>
      <c r="O722" s="35"/>
      <c r="P722" s="36"/>
      <c r="Q722" s="36"/>
      <c r="T722" s="36"/>
    </row>
    <row r="723" spans="1:20" s="37" customFormat="1" ht="18.75" customHeight="1">
      <c r="A723" s="29">
        <f t="shared" si="13"/>
        <v>703</v>
      </c>
      <c r="B723" s="30"/>
      <c r="C723" s="30" t="s">
        <v>119</v>
      </c>
      <c r="D723" s="30" t="s">
        <v>1235</v>
      </c>
      <c r="E723" s="31">
        <v>43015</v>
      </c>
      <c r="F723" s="30" t="s">
        <v>121</v>
      </c>
      <c r="G723" s="30" t="s">
        <v>122</v>
      </c>
      <c r="H723" s="30" t="s">
        <v>1236</v>
      </c>
      <c r="I723" s="29">
        <v>91951200</v>
      </c>
      <c r="J723" s="29">
        <v>10</v>
      </c>
      <c r="K723" s="29">
        <v>9195120</v>
      </c>
      <c r="L723" s="38" t="s">
        <v>52</v>
      </c>
      <c r="M723" s="39">
        <v>43031</v>
      </c>
      <c r="N723" s="40" t="s">
        <v>1219</v>
      </c>
      <c r="O723" s="35"/>
      <c r="P723" s="36"/>
      <c r="Q723" s="36"/>
      <c r="T723" s="36"/>
    </row>
    <row r="724" spans="1:20" s="37" customFormat="1" ht="18.75" customHeight="1">
      <c r="A724" s="29">
        <f t="shared" si="13"/>
        <v>704</v>
      </c>
      <c r="B724" s="30"/>
      <c r="C724" s="30" t="s">
        <v>1237</v>
      </c>
      <c r="D724" s="30" t="s">
        <v>1238</v>
      </c>
      <c r="E724" s="31">
        <v>43015</v>
      </c>
      <c r="F724" s="30" t="s">
        <v>1239</v>
      </c>
      <c r="G724" s="30" t="s">
        <v>1240</v>
      </c>
      <c r="H724" s="30" t="s">
        <v>1241</v>
      </c>
      <c r="I724" s="29">
        <v>7914000</v>
      </c>
      <c r="J724" s="29">
        <v>10</v>
      </c>
      <c r="K724" s="29">
        <v>791400</v>
      </c>
      <c r="L724" s="38"/>
      <c r="M724" s="39"/>
      <c r="N724" s="40"/>
      <c r="O724" s="35"/>
      <c r="P724" s="36"/>
      <c r="Q724" s="36"/>
      <c r="T724" s="36"/>
    </row>
    <row r="725" spans="1:20" s="37" customFormat="1" ht="18.75" customHeight="1">
      <c r="A725" s="29">
        <f t="shared" si="13"/>
        <v>705</v>
      </c>
      <c r="B725" s="30"/>
      <c r="C725" s="30" t="s">
        <v>502</v>
      </c>
      <c r="D725" s="30" t="s">
        <v>1242</v>
      </c>
      <c r="E725" s="31">
        <v>43015</v>
      </c>
      <c r="F725" s="30" t="s">
        <v>127</v>
      </c>
      <c r="G725" s="30" t="s">
        <v>128</v>
      </c>
      <c r="H725" s="30" t="s">
        <v>129</v>
      </c>
      <c r="I725" s="29">
        <v>454545</v>
      </c>
      <c r="J725" s="29">
        <v>10</v>
      </c>
      <c r="K725" s="29">
        <v>45455</v>
      </c>
      <c r="L725" s="38"/>
      <c r="M725" s="39"/>
      <c r="N725" s="40"/>
      <c r="O725" s="35"/>
      <c r="P725" s="36"/>
      <c r="Q725" s="36"/>
      <c r="T725" s="36"/>
    </row>
    <row r="726" spans="1:20" s="37" customFormat="1" ht="18.75" customHeight="1">
      <c r="A726" s="29">
        <f t="shared" si="13"/>
        <v>706</v>
      </c>
      <c r="B726" s="30"/>
      <c r="C726" s="30" t="s">
        <v>833</v>
      </c>
      <c r="D726" s="30" t="s">
        <v>1243</v>
      </c>
      <c r="E726" s="31">
        <v>43015</v>
      </c>
      <c r="F726" s="30" t="s">
        <v>835</v>
      </c>
      <c r="G726" s="30" t="s">
        <v>836</v>
      </c>
      <c r="H726" s="30" t="s">
        <v>858</v>
      </c>
      <c r="I726" s="29">
        <v>381698</v>
      </c>
      <c r="J726" s="29">
        <v>10</v>
      </c>
      <c r="K726" s="29">
        <v>38170</v>
      </c>
      <c r="L726" s="38"/>
      <c r="M726" s="39"/>
      <c r="N726" s="40"/>
      <c r="O726" s="35"/>
      <c r="P726" s="36"/>
      <c r="Q726" s="36"/>
      <c r="T726" s="36"/>
    </row>
    <row r="727" spans="1:20" s="37" customFormat="1" ht="18.75" customHeight="1">
      <c r="A727" s="29">
        <f t="shared" si="13"/>
        <v>707</v>
      </c>
      <c r="B727" s="30"/>
      <c r="C727" s="30" t="s">
        <v>833</v>
      </c>
      <c r="D727" s="30" t="s">
        <v>1244</v>
      </c>
      <c r="E727" s="31">
        <v>43015</v>
      </c>
      <c r="F727" s="30" t="s">
        <v>835</v>
      </c>
      <c r="G727" s="30" t="s">
        <v>836</v>
      </c>
      <c r="H727" s="30" t="s">
        <v>858</v>
      </c>
      <c r="I727" s="29">
        <v>389731</v>
      </c>
      <c r="J727" s="29">
        <v>10</v>
      </c>
      <c r="K727" s="29">
        <v>38973</v>
      </c>
      <c r="L727" s="38"/>
      <c r="M727" s="39"/>
      <c r="N727" s="40"/>
      <c r="O727" s="35"/>
      <c r="P727" s="36"/>
      <c r="Q727" s="36"/>
      <c r="T727" s="36"/>
    </row>
    <row r="728" spans="1:20" s="37" customFormat="1" ht="18.75" customHeight="1">
      <c r="A728" s="29">
        <f t="shared" si="13"/>
        <v>708</v>
      </c>
      <c r="B728" s="30"/>
      <c r="C728" s="30" t="s">
        <v>93</v>
      </c>
      <c r="D728" s="30" t="s">
        <v>1245</v>
      </c>
      <c r="E728" s="31">
        <v>43017</v>
      </c>
      <c r="F728" s="30" t="s">
        <v>49</v>
      </c>
      <c r="G728" s="30" t="s">
        <v>50</v>
      </c>
      <c r="H728" s="30" t="s">
        <v>864</v>
      </c>
      <c r="I728" s="29">
        <v>184800000</v>
      </c>
      <c r="J728" s="29">
        <v>10</v>
      </c>
      <c r="K728" s="29">
        <v>18480000</v>
      </c>
      <c r="L728" s="38" t="s">
        <v>52</v>
      </c>
      <c r="M728" s="39">
        <v>43031</v>
      </c>
      <c r="N728" s="40" t="s">
        <v>1219</v>
      </c>
      <c r="O728" s="35"/>
      <c r="P728" s="36"/>
      <c r="Q728" s="36"/>
      <c r="T728" s="36"/>
    </row>
    <row r="729" spans="1:20" s="37" customFormat="1" ht="18.75" customHeight="1">
      <c r="A729" s="29">
        <f t="shared" si="13"/>
        <v>709</v>
      </c>
      <c r="B729" s="30"/>
      <c r="C729" s="30" t="s">
        <v>112</v>
      </c>
      <c r="D729" s="30" t="s">
        <v>1246</v>
      </c>
      <c r="E729" s="31">
        <v>43017</v>
      </c>
      <c r="F729" s="30" t="s">
        <v>114</v>
      </c>
      <c r="G729" s="30" t="s">
        <v>115</v>
      </c>
      <c r="H729" s="30" t="s">
        <v>116</v>
      </c>
      <c r="I729" s="29">
        <v>20000</v>
      </c>
      <c r="J729" s="29">
        <v>10</v>
      </c>
      <c r="K729" s="29">
        <v>2000</v>
      </c>
      <c r="L729" s="38"/>
      <c r="M729" s="39"/>
      <c r="N729" s="40"/>
      <c r="O729" s="35"/>
      <c r="P729" s="36"/>
      <c r="Q729" s="36"/>
      <c r="T729" s="36"/>
    </row>
    <row r="730" spans="1:20" s="37" customFormat="1" ht="18.75" customHeight="1">
      <c r="A730" s="29">
        <f t="shared" si="13"/>
        <v>710</v>
      </c>
      <c r="B730" s="30"/>
      <c r="C730" s="30" t="s">
        <v>112</v>
      </c>
      <c r="D730" s="30" t="s">
        <v>1247</v>
      </c>
      <c r="E730" s="31">
        <v>43017</v>
      </c>
      <c r="F730" s="30" t="s">
        <v>114</v>
      </c>
      <c r="G730" s="30" t="s">
        <v>115</v>
      </c>
      <c r="H730" s="30" t="s">
        <v>116</v>
      </c>
      <c r="I730" s="29">
        <v>20000</v>
      </c>
      <c r="J730" s="29">
        <v>10</v>
      </c>
      <c r="K730" s="29">
        <v>2000</v>
      </c>
      <c r="L730" s="38"/>
      <c r="M730" s="39"/>
      <c r="N730" s="40"/>
      <c r="O730" s="35"/>
      <c r="P730" s="36"/>
      <c r="Q730" s="36"/>
      <c r="T730" s="36"/>
    </row>
    <row r="731" spans="1:20" s="37" customFormat="1" ht="18.75" customHeight="1">
      <c r="A731" s="29">
        <f t="shared" si="13"/>
        <v>711</v>
      </c>
      <c r="B731" s="30"/>
      <c r="C731" s="30" t="s">
        <v>226</v>
      </c>
      <c r="D731" s="30" t="s">
        <v>1248</v>
      </c>
      <c r="E731" s="31">
        <v>43018</v>
      </c>
      <c r="F731" s="30" t="s">
        <v>228</v>
      </c>
      <c r="G731" s="30" t="s">
        <v>229</v>
      </c>
      <c r="H731" s="30" t="s">
        <v>1249</v>
      </c>
      <c r="I731" s="29">
        <v>8612000</v>
      </c>
      <c r="J731" s="29">
        <v>10</v>
      </c>
      <c r="K731" s="29">
        <v>861200</v>
      </c>
      <c r="L731" s="38"/>
      <c r="M731" s="39"/>
      <c r="N731" s="40"/>
      <c r="O731" s="35"/>
      <c r="P731" s="36"/>
      <c r="Q731" s="36"/>
      <c r="T731" s="36"/>
    </row>
    <row r="732" spans="1:20" s="37" customFormat="1" ht="18.75" customHeight="1">
      <c r="A732" s="29">
        <f t="shared" si="13"/>
        <v>712</v>
      </c>
      <c r="B732" s="30"/>
      <c r="C732" s="30" t="s">
        <v>1250</v>
      </c>
      <c r="D732" s="30" t="s">
        <v>1251</v>
      </c>
      <c r="E732" s="31">
        <v>43018</v>
      </c>
      <c r="F732" s="30" t="s">
        <v>333</v>
      </c>
      <c r="G732" s="30" t="s">
        <v>334</v>
      </c>
      <c r="H732" s="30" t="s">
        <v>134</v>
      </c>
      <c r="I732" s="29">
        <v>1590000</v>
      </c>
      <c r="J732" s="29">
        <v>10</v>
      </c>
      <c r="K732" s="29">
        <v>159000</v>
      </c>
      <c r="L732" s="38"/>
      <c r="M732" s="39"/>
      <c r="N732" s="40"/>
      <c r="O732" s="35"/>
      <c r="P732" s="36"/>
      <c r="Q732" s="36"/>
      <c r="T732" s="36"/>
    </row>
    <row r="733" spans="1:20" s="37" customFormat="1" ht="18.75" customHeight="1">
      <c r="A733" s="29">
        <f t="shared" si="13"/>
        <v>713</v>
      </c>
      <c r="B733" s="30"/>
      <c r="C733" s="30" t="s">
        <v>502</v>
      </c>
      <c r="D733" s="30" t="s">
        <v>1252</v>
      </c>
      <c r="E733" s="31">
        <v>43018</v>
      </c>
      <c r="F733" s="30" t="s">
        <v>127</v>
      </c>
      <c r="G733" s="30" t="s">
        <v>128</v>
      </c>
      <c r="H733" s="30" t="s">
        <v>129</v>
      </c>
      <c r="I733" s="29">
        <v>454545</v>
      </c>
      <c r="J733" s="29">
        <v>10</v>
      </c>
      <c r="K733" s="29">
        <v>45455</v>
      </c>
      <c r="L733" s="38"/>
      <c r="M733" s="39"/>
      <c r="N733" s="40"/>
      <c r="O733" s="35"/>
      <c r="P733" s="36"/>
      <c r="Q733" s="36"/>
      <c r="T733" s="36"/>
    </row>
    <row r="734" spans="1:20" s="37" customFormat="1" ht="18.75" customHeight="1">
      <c r="A734" s="29">
        <f t="shared" si="13"/>
        <v>714</v>
      </c>
      <c r="B734" s="30"/>
      <c r="C734" s="30" t="s">
        <v>502</v>
      </c>
      <c r="D734" s="30" t="s">
        <v>1253</v>
      </c>
      <c r="E734" s="31">
        <v>43019</v>
      </c>
      <c r="F734" s="30" t="s">
        <v>666</v>
      </c>
      <c r="G734" s="30" t="s">
        <v>363</v>
      </c>
      <c r="H734" s="30" t="s">
        <v>129</v>
      </c>
      <c r="I734" s="29">
        <v>2650909</v>
      </c>
      <c r="J734" s="29">
        <v>10</v>
      </c>
      <c r="K734" s="29">
        <v>265091</v>
      </c>
      <c r="L734" s="38"/>
      <c r="M734" s="39"/>
      <c r="N734" s="40"/>
      <c r="O734" s="35"/>
      <c r="P734" s="36"/>
      <c r="Q734" s="36"/>
      <c r="T734" s="36"/>
    </row>
    <row r="735" spans="1:20" s="37" customFormat="1" ht="18.75" customHeight="1">
      <c r="A735" s="29">
        <f t="shared" si="13"/>
        <v>715</v>
      </c>
      <c r="B735" s="30"/>
      <c r="C735" s="30" t="s">
        <v>119</v>
      </c>
      <c r="D735" s="30" t="s">
        <v>1181</v>
      </c>
      <c r="E735" s="31">
        <v>43021</v>
      </c>
      <c r="F735" s="30" t="s">
        <v>121</v>
      </c>
      <c r="G735" s="30" t="s">
        <v>122</v>
      </c>
      <c r="H735" s="30" t="s">
        <v>212</v>
      </c>
      <c r="I735" s="29">
        <v>589833151</v>
      </c>
      <c r="J735" s="29">
        <v>10</v>
      </c>
      <c r="K735" s="29">
        <v>58983315</v>
      </c>
      <c r="L735" s="38" t="s">
        <v>52</v>
      </c>
      <c r="M735" s="39">
        <v>43031</v>
      </c>
      <c r="N735" s="40" t="s">
        <v>1219</v>
      </c>
      <c r="O735" s="35"/>
      <c r="P735" s="36"/>
      <c r="Q735" s="36"/>
      <c r="T735" s="36"/>
    </row>
    <row r="736" spans="1:20" s="37" customFormat="1" ht="18.75" customHeight="1">
      <c r="A736" s="29">
        <f t="shared" si="13"/>
        <v>716</v>
      </c>
      <c r="B736" s="30"/>
      <c r="C736" s="30" t="s">
        <v>468</v>
      </c>
      <c r="D736" s="30" t="s">
        <v>1254</v>
      </c>
      <c r="E736" s="31">
        <v>43021</v>
      </c>
      <c r="F736" s="30" t="s">
        <v>159</v>
      </c>
      <c r="G736" s="30" t="s">
        <v>160</v>
      </c>
      <c r="H736" s="30" t="s">
        <v>161</v>
      </c>
      <c r="I736" s="29">
        <v>9000000</v>
      </c>
      <c r="J736" s="29">
        <v>10</v>
      </c>
      <c r="K736" s="29">
        <v>900000</v>
      </c>
      <c r="L736" s="38"/>
      <c r="M736" s="39"/>
      <c r="N736" s="40"/>
      <c r="O736" s="35"/>
      <c r="P736" s="36"/>
      <c r="Q736" s="36"/>
      <c r="T736" s="36"/>
    </row>
    <row r="737" spans="1:20" s="37" customFormat="1" ht="18.75" customHeight="1">
      <c r="A737" s="29">
        <f t="shared" si="13"/>
        <v>717</v>
      </c>
      <c r="B737" s="30"/>
      <c r="C737" s="30" t="s">
        <v>261</v>
      </c>
      <c r="D737" s="30" t="s">
        <v>1255</v>
      </c>
      <c r="E737" s="31">
        <v>43021</v>
      </c>
      <c r="F737" s="30" t="s">
        <v>139</v>
      </c>
      <c r="G737" s="30" t="s">
        <v>140</v>
      </c>
      <c r="H737" s="30" t="s">
        <v>1162</v>
      </c>
      <c r="I737" s="29">
        <v>1099550</v>
      </c>
      <c r="J737" s="29">
        <v>10</v>
      </c>
      <c r="K737" s="29">
        <v>109955</v>
      </c>
      <c r="L737" s="38"/>
      <c r="M737" s="39"/>
      <c r="N737" s="40"/>
      <c r="O737" s="35"/>
      <c r="P737" s="36"/>
      <c r="Q737" s="36"/>
      <c r="T737" s="36"/>
    </row>
    <row r="738" spans="1:20" s="37" customFormat="1" ht="18.75" customHeight="1">
      <c r="A738" s="29">
        <f t="shared" si="13"/>
        <v>718</v>
      </c>
      <c r="B738" s="30"/>
      <c r="C738" s="30" t="s">
        <v>261</v>
      </c>
      <c r="D738" s="30" t="s">
        <v>1256</v>
      </c>
      <c r="E738" s="31">
        <v>43021</v>
      </c>
      <c r="F738" s="30" t="s">
        <v>139</v>
      </c>
      <c r="G738" s="30" t="s">
        <v>140</v>
      </c>
      <c r="H738" s="30" t="s">
        <v>1162</v>
      </c>
      <c r="I738" s="29">
        <v>442459</v>
      </c>
      <c r="J738" s="29">
        <v>10</v>
      </c>
      <c r="K738" s="29">
        <v>44246</v>
      </c>
      <c r="L738" s="38"/>
      <c r="M738" s="39"/>
      <c r="N738" s="40"/>
      <c r="O738" s="35"/>
      <c r="P738" s="36"/>
      <c r="Q738" s="36"/>
      <c r="T738" s="36"/>
    </row>
    <row r="739" spans="1:20" s="37" customFormat="1" ht="18.75" customHeight="1">
      <c r="A739" s="29">
        <f t="shared" si="13"/>
        <v>719</v>
      </c>
      <c r="B739" s="30"/>
      <c r="C739" s="30" t="s">
        <v>261</v>
      </c>
      <c r="D739" s="30" t="s">
        <v>1257</v>
      </c>
      <c r="E739" s="31">
        <v>43021</v>
      </c>
      <c r="F739" s="30" t="s">
        <v>139</v>
      </c>
      <c r="G739" s="30" t="s">
        <v>140</v>
      </c>
      <c r="H739" s="30" t="s">
        <v>1162</v>
      </c>
      <c r="I739" s="29">
        <v>407299</v>
      </c>
      <c r="J739" s="29">
        <v>10</v>
      </c>
      <c r="K739" s="29">
        <v>40730</v>
      </c>
      <c r="L739" s="38"/>
      <c r="M739" s="39"/>
      <c r="N739" s="40"/>
      <c r="O739" s="35"/>
      <c r="P739" s="36"/>
      <c r="Q739" s="36"/>
      <c r="T739" s="36"/>
    </row>
    <row r="740" spans="1:20" s="37" customFormat="1" ht="18.75" customHeight="1">
      <c r="A740" s="29">
        <f t="shared" si="13"/>
        <v>720</v>
      </c>
      <c r="B740" s="30"/>
      <c r="C740" s="30" t="s">
        <v>502</v>
      </c>
      <c r="D740" s="30" t="s">
        <v>1258</v>
      </c>
      <c r="E740" s="31">
        <v>43021</v>
      </c>
      <c r="F740" s="30" t="s">
        <v>127</v>
      </c>
      <c r="G740" s="30" t="s">
        <v>128</v>
      </c>
      <c r="H740" s="30" t="s">
        <v>129</v>
      </c>
      <c r="I740" s="29">
        <v>454545</v>
      </c>
      <c r="J740" s="29">
        <v>10</v>
      </c>
      <c r="K740" s="29">
        <v>45455</v>
      </c>
      <c r="L740" s="38"/>
      <c r="M740" s="39"/>
      <c r="N740" s="40"/>
      <c r="O740" s="35"/>
      <c r="P740" s="36"/>
      <c r="Q740" s="36"/>
      <c r="T740" s="36"/>
    </row>
    <row r="741" spans="1:20" s="37" customFormat="1" ht="18.75" customHeight="1">
      <c r="A741" s="29">
        <f t="shared" si="13"/>
        <v>721</v>
      </c>
      <c r="B741" s="30"/>
      <c r="C741" s="30" t="s">
        <v>112</v>
      </c>
      <c r="D741" s="30" t="s">
        <v>1259</v>
      </c>
      <c r="E741" s="31">
        <v>43021</v>
      </c>
      <c r="F741" s="30" t="s">
        <v>114</v>
      </c>
      <c r="G741" s="30" t="s">
        <v>115</v>
      </c>
      <c r="H741" s="30" t="s">
        <v>116</v>
      </c>
      <c r="I741" s="29">
        <v>20000</v>
      </c>
      <c r="J741" s="29">
        <v>10</v>
      </c>
      <c r="K741" s="29">
        <v>2000</v>
      </c>
      <c r="L741" s="38"/>
      <c r="M741" s="39"/>
      <c r="N741" s="40"/>
      <c r="O741" s="35"/>
      <c r="P741" s="36"/>
      <c r="Q741" s="36"/>
      <c r="T741" s="36"/>
    </row>
    <row r="742" spans="1:20" s="37" customFormat="1" ht="18.75" customHeight="1">
      <c r="A742" s="29">
        <f t="shared" si="13"/>
        <v>722</v>
      </c>
      <c r="B742" s="30"/>
      <c r="C742" s="30" t="s">
        <v>93</v>
      </c>
      <c r="D742" s="30" t="s">
        <v>1260</v>
      </c>
      <c r="E742" s="31">
        <v>43022</v>
      </c>
      <c r="F742" s="30" t="s">
        <v>794</v>
      </c>
      <c r="G742" s="30" t="s">
        <v>337</v>
      </c>
      <c r="H742" s="30" t="s">
        <v>1261</v>
      </c>
      <c r="I742" s="29">
        <v>145335702</v>
      </c>
      <c r="J742" s="29">
        <v>10</v>
      </c>
      <c r="K742" s="29">
        <v>14533570</v>
      </c>
      <c r="L742" s="38" t="s">
        <v>52</v>
      </c>
      <c r="M742" s="39">
        <v>43028</v>
      </c>
      <c r="N742" s="40" t="s">
        <v>1219</v>
      </c>
      <c r="O742" s="35"/>
      <c r="P742" s="36"/>
      <c r="Q742" s="36"/>
      <c r="T742" s="36"/>
    </row>
    <row r="743" spans="1:20" s="37" customFormat="1" ht="18.75" customHeight="1">
      <c r="A743" s="29">
        <f t="shared" si="13"/>
        <v>723</v>
      </c>
      <c r="B743" s="30"/>
      <c r="C743" s="30" t="s">
        <v>93</v>
      </c>
      <c r="D743" s="30" t="s">
        <v>1262</v>
      </c>
      <c r="E743" s="31">
        <v>43022</v>
      </c>
      <c r="F743" s="30" t="s">
        <v>258</v>
      </c>
      <c r="G743" s="30" t="s">
        <v>259</v>
      </c>
      <c r="H743" s="30" t="s">
        <v>1263</v>
      </c>
      <c r="I743" s="29">
        <v>69634465</v>
      </c>
      <c r="J743" s="29">
        <v>10</v>
      </c>
      <c r="K743" s="29">
        <v>6963447</v>
      </c>
      <c r="L743" s="38" t="s">
        <v>52</v>
      </c>
      <c r="M743" s="39">
        <v>43039</v>
      </c>
      <c r="N743" s="40" t="s">
        <v>1219</v>
      </c>
      <c r="O743" s="35"/>
      <c r="P743" s="36"/>
      <c r="Q743" s="36"/>
      <c r="T743" s="36"/>
    </row>
    <row r="744" spans="1:20" s="37" customFormat="1" ht="18.75" customHeight="1">
      <c r="A744" s="29">
        <f t="shared" si="13"/>
        <v>724</v>
      </c>
      <c r="B744" s="30"/>
      <c r="C744" s="30" t="s">
        <v>162</v>
      </c>
      <c r="D744" s="30" t="s">
        <v>1264</v>
      </c>
      <c r="E744" s="31">
        <v>43022</v>
      </c>
      <c r="F744" s="30" t="s">
        <v>164</v>
      </c>
      <c r="G744" s="30" t="s">
        <v>165</v>
      </c>
      <c r="H744" s="30" t="s">
        <v>166</v>
      </c>
      <c r="I744" s="29">
        <v>17518738</v>
      </c>
      <c r="J744" s="29">
        <v>10</v>
      </c>
      <c r="K744" s="29">
        <v>1751874</v>
      </c>
      <c r="L744" s="38" t="s">
        <v>52</v>
      </c>
      <c r="M744" s="39">
        <v>43052</v>
      </c>
      <c r="N744" s="40" t="s">
        <v>1219</v>
      </c>
      <c r="O744" s="35"/>
      <c r="P744" s="36"/>
      <c r="Q744" s="36"/>
      <c r="T744" s="36"/>
    </row>
    <row r="745" spans="1:20" s="37" customFormat="1" ht="18.75" customHeight="1">
      <c r="A745" s="29">
        <f t="shared" si="13"/>
        <v>725</v>
      </c>
      <c r="B745" s="30"/>
      <c r="C745" s="30" t="s">
        <v>162</v>
      </c>
      <c r="D745" s="30" t="s">
        <v>1265</v>
      </c>
      <c r="E745" s="31">
        <v>43022</v>
      </c>
      <c r="F745" s="30" t="s">
        <v>164</v>
      </c>
      <c r="G745" s="30" t="s">
        <v>165</v>
      </c>
      <c r="H745" s="30" t="s">
        <v>166</v>
      </c>
      <c r="I745" s="29">
        <v>13222074</v>
      </c>
      <c r="J745" s="29">
        <v>10</v>
      </c>
      <c r="K745" s="29">
        <v>1322207</v>
      </c>
      <c r="L745" s="38" t="s">
        <v>52</v>
      </c>
      <c r="M745" s="39">
        <v>43052</v>
      </c>
      <c r="N745" s="40" t="s">
        <v>1219</v>
      </c>
      <c r="O745" s="35"/>
      <c r="P745" s="36"/>
      <c r="Q745" s="36"/>
      <c r="T745" s="36"/>
    </row>
    <row r="746" spans="1:20" s="37" customFormat="1" ht="18.75" customHeight="1">
      <c r="A746" s="29">
        <f t="shared" si="13"/>
        <v>726</v>
      </c>
      <c r="B746" s="30"/>
      <c r="C746" s="30" t="s">
        <v>167</v>
      </c>
      <c r="D746" s="30" t="s">
        <v>1266</v>
      </c>
      <c r="E746" s="31">
        <v>43026</v>
      </c>
      <c r="F746" s="30" t="s">
        <v>1267</v>
      </c>
      <c r="G746" s="30" t="s">
        <v>670</v>
      </c>
      <c r="H746" s="30" t="s">
        <v>1268</v>
      </c>
      <c r="I746" s="29">
        <v>2081818</v>
      </c>
      <c r="J746" s="29">
        <v>10</v>
      </c>
      <c r="K746" s="29">
        <v>208182</v>
      </c>
      <c r="L746" s="38"/>
      <c r="M746" s="39"/>
      <c r="N746" s="40"/>
      <c r="O746" s="35"/>
      <c r="P746" s="36"/>
      <c r="Q746" s="36"/>
      <c r="T746" s="36"/>
    </row>
    <row r="747" spans="1:20" s="37" customFormat="1" ht="18.75" customHeight="1">
      <c r="A747" s="29">
        <f t="shared" si="13"/>
        <v>727</v>
      </c>
      <c r="B747" s="30"/>
      <c r="C747" s="30" t="s">
        <v>502</v>
      </c>
      <c r="D747" s="30" t="s">
        <v>1269</v>
      </c>
      <c r="E747" s="31">
        <v>43026</v>
      </c>
      <c r="F747" s="30" t="s">
        <v>127</v>
      </c>
      <c r="G747" s="30" t="s">
        <v>128</v>
      </c>
      <c r="H747" s="30" t="s">
        <v>129</v>
      </c>
      <c r="I747" s="29">
        <v>454545</v>
      </c>
      <c r="J747" s="29">
        <v>10</v>
      </c>
      <c r="K747" s="29">
        <v>45455</v>
      </c>
      <c r="L747" s="38"/>
      <c r="M747" s="39"/>
      <c r="N747" s="40"/>
      <c r="O747" s="35"/>
      <c r="P747" s="36"/>
      <c r="Q747" s="36"/>
      <c r="T747" s="36"/>
    </row>
    <row r="748" spans="1:20" s="37" customFormat="1" ht="18.75" customHeight="1">
      <c r="A748" s="29">
        <f t="shared" si="13"/>
        <v>728</v>
      </c>
      <c r="B748" s="30"/>
      <c r="C748" s="30" t="s">
        <v>112</v>
      </c>
      <c r="D748" s="30" t="s">
        <v>1270</v>
      </c>
      <c r="E748" s="31">
        <v>43028</v>
      </c>
      <c r="F748" s="30" t="s">
        <v>114</v>
      </c>
      <c r="G748" s="30" t="s">
        <v>115</v>
      </c>
      <c r="H748" s="30" t="s">
        <v>116</v>
      </c>
      <c r="I748" s="29">
        <v>10000</v>
      </c>
      <c r="J748" s="29">
        <v>10</v>
      </c>
      <c r="K748" s="29">
        <v>1000</v>
      </c>
      <c r="L748" s="38"/>
      <c r="M748" s="39"/>
      <c r="N748" s="40"/>
      <c r="O748" s="35"/>
      <c r="P748" s="36"/>
      <c r="Q748" s="36"/>
      <c r="T748" s="36"/>
    </row>
    <row r="749" spans="1:20" s="37" customFormat="1" ht="18.75" customHeight="1">
      <c r="A749" s="29">
        <f t="shared" si="13"/>
        <v>729</v>
      </c>
      <c r="B749" s="30"/>
      <c r="C749" s="30" t="s">
        <v>112</v>
      </c>
      <c r="D749" s="30" t="s">
        <v>1271</v>
      </c>
      <c r="E749" s="31">
        <v>43028</v>
      </c>
      <c r="F749" s="30" t="s">
        <v>114</v>
      </c>
      <c r="G749" s="30" t="s">
        <v>115</v>
      </c>
      <c r="H749" s="30" t="s">
        <v>116</v>
      </c>
      <c r="I749" s="29">
        <v>10000</v>
      </c>
      <c r="J749" s="29">
        <v>10</v>
      </c>
      <c r="K749" s="29">
        <v>1000</v>
      </c>
      <c r="L749" s="38"/>
      <c r="M749" s="39"/>
      <c r="N749" s="40"/>
      <c r="O749" s="35"/>
      <c r="P749" s="36"/>
      <c r="Q749" s="36"/>
      <c r="T749" s="36"/>
    </row>
    <row r="750" spans="1:20" s="37" customFormat="1" ht="18.75" customHeight="1">
      <c r="A750" s="29">
        <f t="shared" si="13"/>
        <v>730</v>
      </c>
      <c r="B750" s="30"/>
      <c r="C750" s="30" t="s">
        <v>112</v>
      </c>
      <c r="D750" s="30" t="s">
        <v>1272</v>
      </c>
      <c r="E750" s="31">
        <v>43028</v>
      </c>
      <c r="F750" s="30" t="s">
        <v>114</v>
      </c>
      <c r="G750" s="30" t="s">
        <v>115</v>
      </c>
      <c r="H750" s="30" t="s">
        <v>116</v>
      </c>
      <c r="I750" s="29">
        <v>20000</v>
      </c>
      <c r="J750" s="29">
        <v>10</v>
      </c>
      <c r="K750" s="29">
        <v>2000</v>
      </c>
      <c r="L750" s="38"/>
      <c r="M750" s="39"/>
      <c r="N750" s="40"/>
      <c r="O750" s="35"/>
      <c r="P750" s="36"/>
      <c r="Q750" s="36"/>
      <c r="T750" s="36"/>
    </row>
    <row r="751" spans="1:20" s="37" customFormat="1" ht="18.75" customHeight="1">
      <c r="A751" s="29">
        <f t="shared" si="13"/>
        <v>731</v>
      </c>
      <c r="B751" s="30"/>
      <c r="C751" s="30" t="s">
        <v>112</v>
      </c>
      <c r="D751" s="30" t="s">
        <v>1273</v>
      </c>
      <c r="E751" s="31">
        <v>43028</v>
      </c>
      <c r="F751" s="30" t="s">
        <v>114</v>
      </c>
      <c r="G751" s="30" t="s">
        <v>115</v>
      </c>
      <c r="H751" s="30" t="s">
        <v>116</v>
      </c>
      <c r="I751" s="29">
        <v>20000</v>
      </c>
      <c r="J751" s="29">
        <v>10</v>
      </c>
      <c r="K751" s="29">
        <v>2000</v>
      </c>
      <c r="L751" s="38"/>
      <c r="M751" s="39"/>
      <c r="N751" s="40"/>
      <c r="O751" s="35"/>
      <c r="P751" s="36"/>
      <c r="Q751" s="36"/>
      <c r="T751" s="36"/>
    </row>
    <row r="752" spans="1:20" s="37" customFormat="1" ht="18.75" customHeight="1">
      <c r="A752" s="29">
        <f t="shared" si="13"/>
        <v>732</v>
      </c>
      <c r="B752" s="30"/>
      <c r="C752" s="30" t="s">
        <v>112</v>
      </c>
      <c r="D752" s="30" t="s">
        <v>1274</v>
      </c>
      <c r="E752" s="31">
        <v>43028</v>
      </c>
      <c r="F752" s="30" t="s">
        <v>114</v>
      </c>
      <c r="G752" s="30" t="s">
        <v>115</v>
      </c>
      <c r="H752" s="30" t="s">
        <v>116</v>
      </c>
      <c r="I752" s="29">
        <v>20000</v>
      </c>
      <c r="J752" s="29">
        <v>10</v>
      </c>
      <c r="K752" s="29">
        <v>2000</v>
      </c>
      <c r="L752" s="38"/>
      <c r="M752" s="39"/>
      <c r="N752" s="40"/>
      <c r="O752" s="35"/>
      <c r="P752" s="36"/>
      <c r="Q752" s="36"/>
      <c r="T752" s="36"/>
    </row>
    <row r="753" spans="1:20" s="37" customFormat="1" ht="18.75" customHeight="1">
      <c r="A753" s="29">
        <f t="shared" si="13"/>
        <v>733</v>
      </c>
      <c r="B753" s="30"/>
      <c r="C753" s="30" t="s">
        <v>112</v>
      </c>
      <c r="D753" s="30" t="s">
        <v>1275</v>
      </c>
      <c r="E753" s="31">
        <v>43028</v>
      </c>
      <c r="F753" s="30" t="s">
        <v>114</v>
      </c>
      <c r="G753" s="30" t="s">
        <v>115</v>
      </c>
      <c r="H753" s="30" t="s">
        <v>116</v>
      </c>
      <c r="I753" s="29">
        <v>20000</v>
      </c>
      <c r="J753" s="29">
        <v>10</v>
      </c>
      <c r="K753" s="29">
        <v>2000</v>
      </c>
      <c r="L753" s="38"/>
      <c r="M753" s="39"/>
      <c r="N753" s="40"/>
      <c r="O753" s="35"/>
      <c r="P753" s="36"/>
      <c r="Q753" s="36"/>
      <c r="T753" s="36"/>
    </row>
    <row r="754" spans="1:20" s="37" customFormat="1" ht="18.75" customHeight="1">
      <c r="A754" s="29">
        <f t="shared" si="13"/>
        <v>734</v>
      </c>
      <c r="B754" s="30"/>
      <c r="C754" s="30" t="s">
        <v>112</v>
      </c>
      <c r="D754" s="30" t="s">
        <v>1276</v>
      </c>
      <c r="E754" s="31">
        <v>43028</v>
      </c>
      <c r="F754" s="30" t="s">
        <v>114</v>
      </c>
      <c r="G754" s="30" t="s">
        <v>115</v>
      </c>
      <c r="H754" s="30" t="s">
        <v>116</v>
      </c>
      <c r="I754" s="29">
        <v>10000</v>
      </c>
      <c r="J754" s="29">
        <v>10</v>
      </c>
      <c r="K754" s="29">
        <v>1000</v>
      </c>
      <c r="L754" s="38"/>
      <c r="M754" s="39"/>
      <c r="N754" s="40"/>
      <c r="O754" s="35"/>
      <c r="P754" s="36"/>
      <c r="Q754" s="36"/>
      <c r="T754" s="36"/>
    </row>
    <row r="755" spans="1:20" s="37" customFormat="1" ht="18.75" customHeight="1">
      <c r="A755" s="29">
        <f t="shared" si="13"/>
        <v>735</v>
      </c>
      <c r="B755" s="30"/>
      <c r="C755" s="30" t="s">
        <v>112</v>
      </c>
      <c r="D755" s="30" t="s">
        <v>1277</v>
      </c>
      <c r="E755" s="31">
        <v>43028</v>
      </c>
      <c r="F755" s="30" t="s">
        <v>114</v>
      </c>
      <c r="G755" s="30" t="s">
        <v>115</v>
      </c>
      <c r="H755" s="30" t="s">
        <v>116</v>
      </c>
      <c r="I755" s="29">
        <v>10000</v>
      </c>
      <c r="J755" s="29">
        <v>10</v>
      </c>
      <c r="K755" s="29">
        <v>1000</v>
      </c>
      <c r="L755" s="38"/>
      <c r="M755" s="39"/>
      <c r="N755" s="40"/>
      <c r="O755" s="35"/>
      <c r="P755" s="36"/>
      <c r="Q755" s="36"/>
      <c r="T755" s="36"/>
    </row>
    <row r="756" spans="1:20" s="37" customFormat="1" ht="18.75" customHeight="1">
      <c r="A756" s="29">
        <f t="shared" si="13"/>
        <v>736</v>
      </c>
      <c r="B756" s="30"/>
      <c r="C756" s="30" t="s">
        <v>112</v>
      </c>
      <c r="D756" s="30" t="s">
        <v>1278</v>
      </c>
      <c r="E756" s="31">
        <v>43028</v>
      </c>
      <c r="F756" s="30" t="s">
        <v>114</v>
      </c>
      <c r="G756" s="30" t="s">
        <v>115</v>
      </c>
      <c r="H756" s="30" t="s">
        <v>116</v>
      </c>
      <c r="I756" s="29">
        <v>10000</v>
      </c>
      <c r="J756" s="29">
        <v>10</v>
      </c>
      <c r="K756" s="29">
        <v>1000</v>
      </c>
      <c r="L756" s="38"/>
      <c r="M756" s="39"/>
      <c r="N756" s="40"/>
      <c r="O756" s="35"/>
      <c r="P756" s="36"/>
      <c r="Q756" s="36"/>
      <c r="T756" s="36"/>
    </row>
    <row r="757" spans="1:20" s="37" customFormat="1" ht="18.75" customHeight="1">
      <c r="A757" s="29">
        <f t="shared" si="13"/>
        <v>737</v>
      </c>
      <c r="B757" s="30"/>
      <c r="C757" s="30" t="s">
        <v>112</v>
      </c>
      <c r="D757" s="30" t="s">
        <v>1279</v>
      </c>
      <c r="E757" s="31">
        <v>43028</v>
      </c>
      <c r="F757" s="30" t="s">
        <v>114</v>
      </c>
      <c r="G757" s="30" t="s">
        <v>115</v>
      </c>
      <c r="H757" s="30" t="s">
        <v>116</v>
      </c>
      <c r="I757" s="29">
        <v>20000</v>
      </c>
      <c r="J757" s="29">
        <v>10</v>
      </c>
      <c r="K757" s="29">
        <v>2000</v>
      </c>
      <c r="L757" s="38"/>
      <c r="M757" s="39"/>
      <c r="N757" s="40"/>
      <c r="O757" s="35"/>
      <c r="P757" s="36"/>
      <c r="Q757" s="36"/>
      <c r="T757" s="36"/>
    </row>
    <row r="758" spans="1:20" s="37" customFormat="1" ht="18.75" customHeight="1">
      <c r="A758" s="29">
        <f t="shared" si="13"/>
        <v>738</v>
      </c>
      <c r="B758" s="30"/>
      <c r="C758" s="30" t="s">
        <v>502</v>
      </c>
      <c r="D758" s="30" t="s">
        <v>1280</v>
      </c>
      <c r="E758" s="31">
        <v>43029</v>
      </c>
      <c r="F758" s="30" t="s">
        <v>127</v>
      </c>
      <c r="G758" s="30" t="s">
        <v>128</v>
      </c>
      <c r="H758" s="30" t="s">
        <v>129</v>
      </c>
      <c r="I758" s="29">
        <v>454545</v>
      </c>
      <c r="J758" s="29">
        <v>10</v>
      </c>
      <c r="K758" s="29">
        <v>45455</v>
      </c>
      <c r="L758" s="38"/>
      <c r="M758" s="39"/>
      <c r="N758" s="40"/>
      <c r="O758" s="35"/>
      <c r="P758" s="36"/>
      <c r="Q758" s="36"/>
      <c r="T758" s="36"/>
    </row>
    <row r="759" spans="1:20" s="37" customFormat="1" ht="18.75" customHeight="1">
      <c r="A759" s="29">
        <f t="shared" si="13"/>
        <v>739</v>
      </c>
      <c r="B759" s="30"/>
      <c r="C759" s="30" t="s">
        <v>93</v>
      </c>
      <c r="D759" s="30" t="s">
        <v>1281</v>
      </c>
      <c r="E759" s="31">
        <v>43031</v>
      </c>
      <c r="F759" s="30" t="s">
        <v>336</v>
      </c>
      <c r="G759" s="30" t="s">
        <v>337</v>
      </c>
      <c r="H759" s="30" t="s">
        <v>1282</v>
      </c>
      <c r="I759" s="29">
        <v>85041944</v>
      </c>
      <c r="J759" s="29">
        <v>10</v>
      </c>
      <c r="K759" s="29">
        <v>8504194</v>
      </c>
      <c r="L759" s="38" t="s">
        <v>52</v>
      </c>
      <c r="M759" s="39">
        <v>43039</v>
      </c>
      <c r="N759" s="40" t="s">
        <v>1219</v>
      </c>
      <c r="O759" s="35"/>
      <c r="P759" s="36"/>
      <c r="Q759" s="36"/>
      <c r="T759" s="36"/>
    </row>
    <row r="760" spans="1:20" s="37" customFormat="1" ht="18.75" customHeight="1">
      <c r="A760" s="29">
        <f t="shared" si="13"/>
        <v>740</v>
      </c>
      <c r="B760" s="30"/>
      <c r="C760" s="30" t="s">
        <v>167</v>
      </c>
      <c r="D760" s="30" t="s">
        <v>1283</v>
      </c>
      <c r="E760" s="31">
        <v>43031</v>
      </c>
      <c r="F760" s="30" t="s">
        <v>1158</v>
      </c>
      <c r="G760" s="30" t="s">
        <v>1159</v>
      </c>
      <c r="H760" s="30" t="s">
        <v>1160</v>
      </c>
      <c r="I760" s="29">
        <v>30600000</v>
      </c>
      <c r="J760" s="29">
        <v>10</v>
      </c>
      <c r="K760" s="29">
        <v>3060000</v>
      </c>
      <c r="L760" s="38" t="s">
        <v>52</v>
      </c>
      <c r="M760" s="39">
        <v>43052</v>
      </c>
      <c r="N760" s="40" t="s">
        <v>1219</v>
      </c>
      <c r="O760" s="35"/>
      <c r="P760" s="36"/>
      <c r="Q760" s="36"/>
      <c r="T760" s="36"/>
    </row>
    <row r="761" spans="1:20" s="37" customFormat="1" ht="18.75" customHeight="1">
      <c r="A761" s="29">
        <f t="shared" ref="A761:A795" si="14">A760+1</f>
        <v>741</v>
      </c>
      <c r="B761" s="30"/>
      <c r="C761" s="30" t="s">
        <v>112</v>
      </c>
      <c r="D761" s="30" t="s">
        <v>1284</v>
      </c>
      <c r="E761" s="31">
        <v>43031</v>
      </c>
      <c r="F761" s="30" t="s">
        <v>114</v>
      </c>
      <c r="G761" s="30" t="s">
        <v>115</v>
      </c>
      <c r="H761" s="30" t="s">
        <v>116</v>
      </c>
      <c r="I761" s="29">
        <v>10000</v>
      </c>
      <c r="J761" s="29">
        <v>10</v>
      </c>
      <c r="K761" s="29">
        <v>1000</v>
      </c>
      <c r="L761" s="38"/>
      <c r="M761" s="39"/>
      <c r="N761" s="40"/>
      <c r="O761" s="35"/>
      <c r="P761" s="36"/>
      <c r="Q761" s="36"/>
      <c r="T761" s="36"/>
    </row>
    <row r="762" spans="1:20" s="37" customFormat="1" ht="18.75" customHeight="1">
      <c r="A762" s="29">
        <f t="shared" si="14"/>
        <v>742</v>
      </c>
      <c r="B762" s="30"/>
      <c r="C762" s="30" t="s">
        <v>112</v>
      </c>
      <c r="D762" s="30" t="s">
        <v>1285</v>
      </c>
      <c r="E762" s="31">
        <v>43031</v>
      </c>
      <c r="F762" s="30" t="s">
        <v>114</v>
      </c>
      <c r="G762" s="30" t="s">
        <v>115</v>
      </c>
      <c r="H762" s="30" t="s">
        <v>116</v>
      </c>
      <c r="I762" s="29">
        <v>10000</v>
      </c>
      <c r="J762" s="29">
        <v>10</v>
      </c>
      <c r="K762" s="29">
        <v>1000</v>
      </c>
      <c r="L762" s="38"/>
      <c r="M762" s="39"/>
      <c r="N762" s="40"/>
      <c r="O762" s="35"/>
      <c r="P762" s="36"/>
      <c r="Q762" s="36"/>
      <c r="T762" s="36"/>
    </row>
    <row r="763" spans="1:20" s="37" customFormat="1" ht="18.75" customHeight="1">
      <c r="A763" s="29">
        <f t="shared" si="14"/>
        <v>743</v>
      </c>
      <c r="B763" s="30"/>
      <c r="C763" s="30" t="s">
        <v>100</v>
      </c>
      <c r="D763" s="30" t="s">
        <v>1286</v>
      </c>
      <c r="E763" s="31">
        <v>43032</v>
      </c>
      <c r="F763" s="30" t="s">
        <v>102</v>
      </c>
      <c r="G763" s="30" t="s">
        <v>103</v>
      </c>
      <c r="H763" s="30" t="s">
        <v>377</v>
      </c>
      <c r="I763" s="29">
        <v>18920000</v>
      </c>
      <c r="J763" s="29">
        <v>10</v>
      </c>
      <c r="K763" s="29">
        <v>1892000</v>
      </c>
      <c r="L763" s="38" t="s">
        <v>52</v>
      </c>
      <c r="M763" s="39">
        <v>43056</v>
      </c>
      <c r="N763" s="40" t="s">
        <v>1219</v>
      </c>
      <c r="O763" s="35"/>
      <c r="P763" s="36"/>
      <c r="Q763" s="36"/>
      <c r="T763" s="36"/>
    </row>
    <row r="764" spans="1:20" s="37" customFormat="1" ht="18.75" customHeight="1">
      <c r="A764" s="29">
        <f t="shared" si="14"/>
        <v>744</v>
      </c>
      <c r="B764" s="30"/>
      <c r="C764" s="30" t="s">
        <v>194</v>
      </c>
      <c r="D764" s="30" t="s">
        <v>799</v>
      </c>
      <c r="E764" s="31">
        <v>43032</v>
      </c>
      <c r="F764" s="30" t="s">
        <v>196</v>
      </c>
      <c r="G764" s="30" t="s">
        <v>197</v>
      </c>
      <c r="H764" s="30" t="s">
        <v>402</v>
      </c>
      <c r="I764" s="29">
        <v>2627346</v>
      </c>
      <c r="J764" s="29">
        <v>10</v>
      </c>
      <c r="K764" s="29">
        <v>262735</v>
      </c>
      <c r="L764" s="38"/>
      <c r="M764" s="39"/>
      <c r="N764" s="40"/>
      <c r="O764" s="35"/>
      <c r="P764" s="36"/>
      <c r="Q764" s="36"/>
      <c r="T764" s="36"/>
    </row>
    <row r="765" spans="1:20" s="37" customFormat="1" ht="18.75" customHeight="1">
      <c r="A765" s="29">
        <f t="shared" si="14"/>
        <v>745</v>
      </c>
      <c r="B765" s="30"/>
      <c r="C765" s="30" t="s">
        <v>119</v>
      </c>
      <c r="D765" s="30" t="s">
        <v>1287</v>
      </c>
      <c r="E765" s="31">
        <v>43033</v>
      </c>
      <c r="F765" s="30" t="s">
        <v>121</v>
      </c>
      <c r="G765" s="30" t="s">
        <v>122</v>
      </c>
      <c r="H765" s="30" t="s">
        <v>1288</v>
      </c>
      <c r="I765" s="29">
        <v>546556896</v>
      </c>
      <c r="J765" s="29">
        <v>10</v>
      </c>
      <c r="K765" s="29">
        <v>54655689</v>
      </c>
      <c r="L765" s="38" t="s">
        <v>52</v>
      </c>
      <c r="M765" s="39">
        <v>43039</v>
      </c>
      <c r="N765" s="40" t="s">
        <v>1219</v>
      </c>
      <c r="O765" s="35"/>
      <c r="P765" s="36"/>
      <c r="Q765" s="36"/>
      <c r="T765" s="36"/>
    </row>
    <row r="766" spans="1:20" s="37" customFormat="1" ht="18.75" customHeight="1">
      <c r="A766" s="29">
        <f t="shared" si="14"/>
        <v>746</v>
      </c>
      <c r="B766" s="30"/>
      <c r="C766" s="30" t="s">
        <v>502</v>
      </c>
      <c r="D766" s="30" t="s">
        <v>1289</v>
      </c>
      <c r="E766" s="31">
        <v>43033</v>
      </c>
      <c r="F766" s="30" t="s">
        <v>127</v>
      </c>
      <c r="G766" s="30" t="s">
        <v>128</v>
      </c>
      <c r="H766" s="30" t="s">
        <v>129</v>
      </c>
      <c r="I766" s="29">
        <v>454545</v>
      </c>
      <c r="J766" s="29">
        <v>10</v>
      </c>
      <c r="K766" s="29">
        <v>45455</v>
      </c>
      <c r="L766" s="38"/>
      <c r="M766" s="39"/>
      <c r="N766" s="40"/>
      <c r="O766" s="35"/>
      <c r="P766" s="36"/>
      <c r="Q766" s="36"/>
      <c r="T766" s="36"/>
    </row>
    <row r="767" spans="1:20" s="37" customFormat="1" ht="18.75" customHeight="1">
      <c r="A767" s="29">
        <f t="shared" si="14"/>
        <v>747</v>
      </c>
      <c r="B767" s="30"/>
      <c r="C767" s="30" t="s">
        <v>167</v>
      </c>
      <c r="D767" s="30" t="s">
        <v>1290</v>
      </c>
      <c r="E767" s="31">
        <v>43034</v>
      </c>
      <c r="F767" s="30" t="s">
        <v>1291</v>
      </c>
      <c r="G767" s="30" t="s">
        <v>1292</v>
      </c>
      <c r="H767" s="30" t="s">
        <v>319</v>
      </c>
      <c r="I767" s="29">
        <v>455809</v>
      </c>
      <c r="J767" s="29">
        <v>10</v>
      </c>
      <c r="K767" s="29">
        <v>45581</v>
      </c>
      <c r="L767" s="38"/>
      <c r="M767" s="39"/>
      <c r="N767" s="40"/>
      <c r="O767" s="35"/>
      <c r="P767" s="36"/>
      <c r="Q767" s="36"/>
      <c r="T767" s="36"/>
    </row>
    <row r="768" spans="1:20" s="37" customFormat="1" ht="18.75" customHeight="1">
      <c r="A768" s="29">
        <f t="shared" si="14"/>
        <v>748</v>
      </c>
      <c r="B768" s="30"/>
      <c r="C768" s="30" t="s">
        <v>74</v>
      </c>
      <c r="D768" s="30" t="s">
        <v>277</v>
      </c>
      <c r="E768" s="31">
        <v>43035</v>
      </c>
      <c r="F768" s="30" t="s">
        <v>76</v>
      </c>
      <c r="G768" s="30" t="s">
        <v>77</v>
      </c>
      <c r="H768" s="30" t="s">
        <v>706</v>
      </c>
      <c r="I768" s="29">
        <v>5080800</v>
      </c>
      <c r="J768" s="29">
        <v>10</v>
      </c>
      <c r="K768" s="29">
        <v>508080</v>
      </c>
      <c r="L768" s="38"/>
      <c r="M768" s="39"/>
      <c r="N768" s="40"/>
      <c r="O768" s="35"/>
      <c r="P768" s="36"/>
      <c r="Q768" s="36"/>
      <c r="T768" s="36"/>
    </row>
    <row r="769" spans="1:20" s="37" customFormat="1" ht="18.75" customHeight="1">
      <c r="A769" s="29">
        <f t="shared" si="14"/>
        <v>749</v>
      </c>
      <c r="B769" s="30"/>
      <c r="C769" s="30" t="s">
        <v>74</v>
      </c>
      <c r="D769" s="30" t="s">
        <v>1293</v>
      </c>
      <c r="E769" s="31">
        <v>43035</v>
      </c>
      <c r="F769" s="30" t="s">
        <v>76</v>
      </c>
      <c r="G769" s="30" t="s">
        <v>77</v>
      </c>
      <c r="H769" s="30" t="s">
        <v>788</v>
      </c>
      <c r="I769" s="29">
        <v>3753600</v>
      </c>
      <c r="J769" s="29">
        <v>10</v>
      </c>
      <c r="K769" s="29">
        <v>375360</v>
      </c>
      <c r="L769" s="38"/>
      <c r="M769" s="39"/>
      <c r="N769" s="40"/>
      <c r="O769" s="35"/>
      <c r="P769" s="36"/>
      <c r="Q769" s="36"/>
      <c r="T769" s="36"/>
    </row>
    <row r="770" spans="1:20" s="37" customFormat="1" ht="18.75" customHeight="1">
      <c r="A770" s="29">
        <f t="shared" si="14"/>
        <v>750</v>
      </c>
      <c r="B770" s="30"/>
      <c r="C770" s="30" t="s">
        <v>74</v>
      </c>
      <c r="D770" s="30" t="s">
        <v>1294</v>
      </c>
      <c r="E770" s="31">
        <v>43035</v>
      </c>
      <c r="F770" s="30" t="s">
        <v>76</v>
      </c>
      <c r="G770" s="30" t="s">
        <v>77</v>
      </c>
      <c r="H770" s="30" t="s">
        <v>1295</v>
      </c>
      <c r="I770" s="29">
        <v>1369400</v>
      </c>
      <c r="J770" s="29">
        <v>10</v>
      </c>
      <c r="K770" s="29">
        <v>136940</v>
      </c>
      <c r="L770" s="38"/>
      <c r="M770" s="39"/>
      <c r="N770" s="40"/>
      <c r="O770" s="35"/>
      <c r="P770" s="36"/>
      <c r="Q770" s="36"/>
      <c r="T770" s="36"/>
    </row>
    <row r="771" spans="1:20" s="37" customFormat="1" ht="18.75" customHeight="1">
      <c r="A771" s="29">
        <f t="shared" si="14"/>
        <v>751</v>
      </c>
      <c r="B771" s="30"/>
      <c r="C771" s="30" t="s">
        <v>1250</v>
      </c>
      <c r="D771" s="30" t="s">
        <v>1296</v>
      </c>
      <c r="E771" s="31">
        <v>43035</v>
      </c>
      <c r="F771" s="30" t="s">
        <v>333</v>
      </c>
      <c r="G771" s="30" t="s">
        <v>334</v>
      </c>
      <c r="H771" s="30" t="s">
        <v>134</v>
      </c>
      <c r="I771" s="29">
        <v>858000</v>
      </c>
      <c r="J771" s="29">
        <v>10</v>
      </c>
      <c r="K771" s="29">
        <v>85800</v>
      </c>
      <c r="L771" s="38"/>
      <c r="M771" s="39"/>
      <c r="N771" s="40"/>
      <c r="O771" s="35"/>
      <c r="P771" s="36"/>
      <c r="Q771" s="36"/>
      <c r="T771" s="36"/>
    </row>
    <row r="772" spans="1:20" s="37" customFormat="1" ht="18.75" customHeight="1">
      <c r="A772" s="29">
        <f t="shared" si="14"/>
        <v>752</v>
      </c>
      <c r="B772" s="30"/>
      <c r="C772" s="30" t="s">
        <v>1237</v>
      </c>
      <c r="D772" s="30" t="s">
        <v>1297</v>
      </c>
      <c r="E772" s="31">
        <v>43035</v>
      </c>
      <c r="F772" s="30" t="s">
        <v>1239</v>
      </c>
      <c r="G772" s="30" t="s">
        <v>1240</v>
      </c>
      <c r="H772" s="30" t="s">
        <v>1298</v>
      </c>
      <c r="I772" s="29">
        <v>42144545</v>
      </c>
      <c r="J772" s="29">
        <v>10</v>
      </c>
      <c r="K772" s="29">
        <v>4214455</v>
      </c>
      <c r="L772" s="38" t="s">
        <v>52</v>
      </c>
      <c r="M772" s="39">
        <v>43052</v>
      </c>
      <c r="N772" s="40" t="s">
        <v>1219</v>
      </c>
      <c r="O772" s="35"/>
      <c r="P772" s="36"/>
      <c r="Q772" s="36"/>
      <c r="T772" s="36"/>
    </row>
    <row r="773" spans="1:20" s="37" customFormat="1" ht="18.75" customHeight="1">
      <c r="A773" s="29">
        <f t="shared" si="14"/>
        <v>753</v>
      </c>
      <c r="B773" s="30"/>
      <c r="C773" s="30" t="s">
        <v>112</v>
      </c>
      <c r="D773" s="30" t="s">
        <v>1299</v>
      </c>
      <c r="E773" s="31">
        <v>43035</v>
      </c>
      <c r="F773" s="30" t="s">
        <v>114</v>
      </c>
      <c r="G773" s="30" t="s">
        <v>115</v>
      </c>
      <c r="H773" s="30" t="s">
        <v>116</v>
      </c>
      <c r="I773" s="29">
        <v>22680</v>
      </c>
      <c r="J773" s="29">
        <v>10</v>
      </c>
      <c r="K773" s="29">
        <v>2268</v>
      </c>
      <c r="L773" s="38"/>
      <c r="M773" s="39"/>
      <c r="N773" s="40"/>
      <c r="O773" s="35"/>
      <c r="P773" s="36"/>
      <c r="Q773" s="36"/>
      <c r="T773" s="36"/>
    </row>
    <row r="774" spans="1:20" s="37" customFormat="1" ht="18.75" customHeight="1">
      <c r="A774" s="29">
        <f t="shared" si="14"/>
        <v>754</v>
      </c>
      <c r="B774" s="30"/>
      <c r="C774" s="30" t="s">
        <v>100</v>
      </c>
      <c r="D774" s="30" t="s">
        <v>1300</v>
      </c>
      <c r="E774" s="31">
        <v>43036</v>
      </c>
      <c r="F774" s="30" t="s">
        <v>102</v>
      </c>
      <c r="G774" s="30" t="s">
        <v>103</v>
      </c>
      <c r="H774" s="30" t="s">
        <v>377</v>
      </c>
      <c r="I774" s="29">
        <v>10000000</v>
      </c>
      <c r="J774" s="29">
        <v>10</v>
      </c>
      <c r="K774" s="29">
        <v>1000000</v>
      </c>
      <c r="L774" s="38"/>
      <c r="M774" s="39"/>
      <c r="N774" s="40"/>
      <c r="O774" s="35"/>
      <c r="P774" s="36"/>
      <c r="Q774" s="36"/>
      <c r="T774" s="36"/>
    </row>
    <row r="775" spans="1:20" s="37" customFormat="1" ht="18.75" customHeight="1">
      <c r="A775" s="29">
        <f t="shared" si="14"/>
        <v>755</v>
      </c>
      <c r="B775" s="30"/>
      <c r="C775" s="30" t="s">
        <v>726</v>
      </c>
      <c r="D775" s="30" t="s">
        <v>1301</v>
      </c>
      <c r="E775" s="31">
        <v>43036</v>
      </c>
      <c r="F775" s="30" t="s">
        <v>63</v>
      </c>
      <c r="G775" s="30" t="s">
        <v>64</v>
      </c>
      <c r="H775" s="30" t="s">
        <v>1302</v>
      </c>
      <c r="I775" s="29">
        <v>11409091</v>
      </c>
      <c r="J775" s="29">
        <v>10</v>
      </c>
      <c r="K775" s="29">
        <v>1140909</v>
      </c>
      <c r="L775" s="38"/>
      <c r="M775" s="39"/>
      <c r="N775" s="40"/>
      <c r="O775" s="35"/>
      <c r="P775" s="36"/>
      <c r="Q775" s="36"/>
      <c r="T775" s="36"/>
    </row>
    <row r="776" spans="1:20" s="37" customFormat="1" ht="18.75" customHeight="1">
      <c r="A776" s="29">
        <f t="shared" si="14"/>
        <v>756</v>
      </c>
      <c r="B776" s="30"/>
      <c r="C776" s="30" t="s">
        <v>726</v>
      </c>
      <c r="D776" s="30" t="s">
        <v>1303</v>
      </c>
      <c r="E776" s="31">
        <v>43038</v>
      </c>
      <c r="F776" s="30" t="s">
        <v>63</v>
      </c>
      <c r="G776" s="30" t="s">
        <v>64</v>
      </c>
      <c r="H776" s="30" t="s">
        <v>1302</v>
      </c>
      <c r="I776" s="29">
        <v>14545455</v>
      </c>
      <c r="J776" s="29">
        <v>10</v>
      </c>
      <c r="K776" s="29">
        <v>1454545</v>
      </c>
      <c r="L776" s="38"/>
      <c r="M776" s="39"/>
      <c r="N776" s="40"/>
      <c r="O776" s="35"/>
      <c r="P776" s="36"/>
      <c r="Q776" s="36"/>
      <c r="T776" s="36"/>
    </row>
    <row r="777" spans="1:20" s="37" customFormat="1" ht="18.75" customHeight="1">
      <c r="A777" s="29">
        <f t="shared" si="14"/>
        <v>757</v>
      </c>
      <c r="B777" s="30"/>
      <c r="C777" s="30" t="s">
        <v>167</v>
      </c>
      <c r="D777" s="30" t="s">
        <v>94</v>
      </c>
      <c r="E777" s="31">
        <v>43038</v>
      </c>
      <c r="F777" s="30" t="s">
        <v>336</v>
      </c>
      <c r="G777" s="30" t="s">
        <v>337</v>
      </c>
      <c r="H777" s="30" t="s">
        <v>1304</v>
      </c>
      <c r="I777" s="29">
        <v>200564910</v>
      </c>
      <c r="J777" s="29">
        <v>10</v>
      </c>
      <c r="K777" s="29">
        <v>20056491</v>
      </c>
      <c r="L777" s="38" t="s">
        <v>52</v>
      </c>
      <c r="M777" s="39">
        <v>43052</v>
      </c>
      <c r="N777" s="40" t="s">
        <v>1219</v>
      </c>
      <c r="O777" s="35"/>
      <c r="P777" s="36"/>
      <c r="Q777" s="36"/>
      <c r="T777" s="36"/>
    </row>
    <row r="778" spans="1:20" s="37" customFormat="1" ht="18.75" customHeight="1">
      <c r="A778" s="29">
        <f t="shared" si="14"/>
        <v>758</v>
      </c>
      <c r="B778" s="30"/>
      <c r="C778" s="30" t="s">
        <v>231</v>
      </c>
      <c r="D778" s="30" t="s">
        <v>1305</v>
      </c>
      <c r="E778" s="31">
        <v>43038</v>
      </c>
      <c r="F778" s="30" t="s">
        <v>233</v>
      </c>
      <c r="G778" s="30" t="s">
        <v>234</v>
      </c>
      <c r="H778" s="30" t="s">
        <v>235</v>
      </c>
      <c r="I778" s="29">
        <v>42466200</v>
      </c>
      <c r="J778" s="29">
        <v>10</v>
      </c>
      <c r="K778" s="29">
        <v>4246620</v>
      </c>
      <c r="L778" s="38" t="s">
        <v>52</v>
      </c>
      <c r="M778" s="39">
        <v>43056</v>
      </c>
      <c r="N778" s="40" t="s">
        <v>1219</v>
      </c>
      <c r="O778" s="35"/>
      <c r="P778" s="36"/>
      <c r="Q778" s="36"/>
      <c r="T778" s="36"/>
    </row>
    <row r="779" spans="1:20" s="37" customFormat="1" ht="18.75" customHeight="1">
      <c r="A779" s="29">
        <f t="shared" si="14"/>
        <v>759</v>
      </c>
      <c r="B779" s="30"/>
      <c r="C779" s="30" t="s">
        <v>231</v>
      </c>
      <c r="D779" s="30" t="s">
        <v>1306</v>
      </c>
      <c r="E779" s="31">
        <v>43038</v>
      </c>
      <c r="F779" s="30" t="s">
        <v>239</v>
      </c>
      <c r="G779" s="30" t="s">
        <v>240</v>
      </c>
      <c r="H779" s="30" t="s">
        <v>1307</v>
      </c>
      <c r="I779" s="29">
        <v>52644900</v>
      </c>
      <c r="J779" s="29">
        <v>10</v>
      </c>
      <c r="K779" s="29">
        <v>5264490</v>
      </c>
      <c r="L779" s="38" t="s">
        <v>52</v>
      </c>
      <c r="M779" s="39">
        <v>43056</v>
      </c>
      <c r="N779" s="40" t="s">
        <v>1219</v>
      </c>
      <c r="O779" s="35"/>
      <c r="P779" s="36"/>
      <c r="Q779" s="36"/>
      <c r="T779" s="36"/>
    </row>
    <row r="780" spans="1:20" s="37" customFormat="1" ht="18.75" customHeight="1">
      <c r="A780" s="29">
        <f t="shared" si="14"/>
        <v>760</v>
      </c>
      <c r="B780" s="30"/>
      <c r="C780" s="30" t="s">
        <v>231</v>
      </c>
      <c r="D780" s="30" t="s">
        <v>1308</v>
      </c>
      <c r="E780" s="31">
        <v>43038</v>
      </c>
      <c r="F780" s="30" t="s">
        <v>239</v>
      </c>
      <c r="G780" s="30" t="s">
        <v>240</v>
      </c>
      <c r="H780" s="30" t="s">
        <v>1309</v>
      </c>
      <c r="I780" s="29">
        <v>8292000</v>
      </c>
      <c r="J780" s="29">
        <v>10</v>
      </c>
      <c r="K780" s="29">
        <v>829200</v>
      </c>
      <c r="L780" s="38" t="s">
        <v>52</v>
      </c>
      <c r="M780" s="39">
        <v>43056</v>
      </c>
      <c r="N780" s="40" t="s">
        <v>1219</v>
      </c>
      <c r="O780" s="35"/>
      <c r="P780" s="36"/>
      <c r="Q780" s="36"/>
      <c r="T780" s="36"/>
    </row>
    <row r="781" spans="1:20" s="37" customFormat="1" ht="18.75" customHeight="1">
      <c r="A781" s="29">
        <f t="shared" si="14"/>
        <v>761</v>
      </c>
      <c r="B781" s="30"/>
      <c r="C781" s="30" t="s">
        <v>162</v>
      </c>
      <c r="D781" s="30" t="s">
        <v>1310</v>
      </c>
      <c r="E781" s="31">
        <v>43038</v>
      </c>
      <c r="F781" s="30" t="s">
        <v>164</v>
      </c>
      <c r="G781" s="30" t="s">
        <v>165</v>
      </c>
      <c r="H781" s="30" t="s">
        <v>166</v>
      </c>
      <c r="I781" s="29">
        <v>32213646</v>
      </c>
      <c r="J781" s="29">
        <v>10</v>
      </c>
      <c r="K781" s="29">
        <v>3221365</v>
      </c>
      <c r="L781" s="38" t="s">
        <v>52</v>
      </c>
      <c r="M781" s="39">
        <v>43052</v>
      </c>
      <c r="N781" s="40" t="s">
        <v>1219</v>
      </c>
      <c r="O781" s="35"/>
      <c r="P781" s="36"/>
      <c r="Q781" s="36"/>
      <c r="T781" s="36"/>
    </row>
    <row r="782" spans="1:20" s="37" customFormat="1" ht="18.75" customHeight="1">
      <c r="A782" s="29">
        <f t="shared" si="14"/>
        <v>762</v>
      </c>
      <c r="B782" s="30"/>
      <c r="C782" s="30" t="s">
        <v>162</v>
      </c>
      <c r="D782" s="30" t="s">
        <v>1311</v>
      </c>
      <c r="E782" s="31">
        <v>43038</v>
      </c>
      <c r="F782" s="30" t="s">
        <v>164</v>
      </c>
      <c r="G782" s="30" t="s">
        <v>165</v>
      </c>
      <c r="H782" s="30" t="s">
        <v>166</v>
      </c>
      <c r="I782" s="29">
        <v>36448610</v>
      </c>
      <c r="J782" s="29">
        <v>10</v>
      </c>
      <c r="K782" s="29">
        <v>3644861</v>
      </c>
      <c r="L782" s="38" t="s">
        <v>52</v>
      </c>
      <c r="M782" s="39">
        <v>43052</v>
      </c>
      <c r="N782" s="40" t="s">
        <v>1219</v>
      </c>
      <c r="O782" s="35"/>
      <c r="P782" s="36"/>
      <c r="Q782" s="36"/>
      <c r="T782" s="36"/>
    </row>
    <row r="783" spans="1:20" s="37" customFormat="1" ht="18.75" customHeight="1">
      <c r="A783" s="29">
        <f t="shared" si="14"/>
        <v>763</v>
      </c>
      <c r="B783" s="30"/>
      <c r="C783" s="30" t="s">
        <v>231</v>
      </c>
      <c r="D783" s="30" t="s">
        <v>1312</v>
      </c>
      <c r="E783" s="31">
        <v>43039</v>
      </c>
      <c r="F783" s="30" t="s">
        <v>233</v>
      </c>
      <c r="G783" s="30" t="s">
        <v>234</v>
      </c>
      <c r="H783" s="30" t="s">
        <v>235</v>
      </c>
      <c r="I783" s="29">
        <v>99793300</v>
      </c>
      <c r="J783" s="29">
        <v>10</v>
      </c>
      <c r="K783" s="29">
        <v>9979330</v>
      </c>
      <c r="L783" s="38" t="s">
        <v>52</v>
      </c>
      <c r="M783" s="39">
        <v>43056</v>
      </c>
      <c r="N783" s="40" t="s">
        <v>1219</v>
      </c>
      <c r="O783" s="35"/>
      <c r="P783" s="36"/>
      <c r="Q783" s="36"/>
      <c r="T783" s="36"/>
    </row>
    <row r="784" spans="1:20" s="37" customFormat="1" ht="18.75" customHeight="1">
      <c r="A784" s="29">
        <f t="shared" si="14"/>
        <v>764</v>
      </c>
      <c r="B784" s="30"/>
      <c r="C784" s="30" t="s">
        <v>1313</v>
      </c>
      <c r="D784" s="30" t="s">
        <v>1314</v>
      </c>
      <c r="E784" s="31">
        <v>43039</v>
      </c>
      <c r="F784" s="30" t="s">
        <v>233</v>
      </c>
      <c r="G784" s="30" t="s">
        <v>234</v>
      </c>
      <c r="H784" s="30" t="s">
        <v>235</v>
      </c>
      <c r="I784" s="29">
        <v>52075200</v>
      </c>
      <c r="J784" s="29">
        <v>10</v>
      </c>
      <c r="K784" s="29">
        <v>5207520</v>
      </c>
      <c r="L784" s="38" t="s">
        <v>52</v>
      </c>
      <c r="M784" s="39">
        <v>43056</v>
      </c>
      <c r="N784" s="40" t="s">
        <v>1219</v>
      </c>
      <c r="O784" s="35"/>
      <c r="P784" s="36"/>
      <c r="Q784" s="36"/>
      <c r="T784" s="36"/>
    </row>
    <row r="785" spans="1:255" s="37" customFormat="1" ht="18.75" customHeight="1">
      <c r="A785" s="29">
        <f t="shared" si="14"/>
        <v>765</v>
      </c>
      <c r="B785" s="30"/>
      <c r="C785" s="30" t="s">
        <v>1313</v>
      </c>
      <c r="D785" s="30" t="s">
        <v>1315</v>
      </c>
      <c r="E785" s="31">
        <v>43039</v>
      </c>
      <c r="F785" s="30" t="s">
        <v>233</v>
      </c>
      <c r="G785" s="30" t="s">
        <v>234</v>
      </c>
      <c r="H785" s="30" t="s">
        <v>235</v>
      </c>
      <c r="I785" s="29">
        <v>23970500</v>
      </c>
      <c r="J785" s="29">
        <v>10</v>
      </c>
      <c r="K785" s="29">
        <v>2397050</v>
      </c>
      <c r="L785" s="38" t="s">
        <v>52</v>
      </c>
      <c r="M785" s="39">
        <v>43056</v>
      </c>
      <c r="N785" s="40" t="s">
        <v>1219</v>
      </c>
      <c r="O785" s="35"/>
      <c r="P785" s="36"/>
      <c r="Q785" s="36"/>
      <c r="T785" s="36"/>
    </row>
    <row r="786" spans="1:255" s="37" customFormat="1" ht="18.75" customHeight="1">
      <c r="A786" s="29">
        <f t="shared" si="14"/>
        <v>766</v>
      </c>
      <c r="B786" s="30"/>
      <c r="C786" s="30" t="s">
        <v>231</v>
      </c>
      <c r="D786" s="30" t="s">
        <v>1316</v>
      </c>
      <c r="E786" s="31">
        <v>43039</v>
      </c>
      <c r="F786" s="30" t="s">
        <v>239</v>
      </c>
      <c r="G786" s="30" t="s">
        <v>240</v>
      </c>
      <c r="H786" s="30" t="s">
        <v>1317</v>
      </c>
      <c r="I786" s="29">
        <v>133543064</v>
      </c>
      <c r="J786" s="29">
        <v>10</v>
      </c>
      <c r="K786" s="29">
        <v>13354306</v>
      </c>
      <c r="L786" s="38" t="s">
        <v>52</v>
      </c>
      <c r="M786" s="39">
        <v>43056</v>
      </c>
      <c r="N786" s="40" t="s">
        <v>1219</v>
      </c>
      <c r="O786" s="35"/>
      <c r="P786" s="36"/>
      <c r="Q786" s="36"/>
      <c r="T786" s="36"/>
    </row>
    <row r="787" spans="1:255" s="37" customFormat="1" ht="18.75" customHeight="1">
      <c r="A787" s="29">
        <f t="shared" si="14"/>
        <v>767</v>
      </c>
      <c r="B787" s="30"/>
      <c r="C787" s="30" t="s">
        <v>248</v>
      </c>
      <c r="D787" s="30" t="s">
        <v>1318</v>
      </c>
      <c r="E787" s="31">
        <v>43039</v>
      </c>
      <c r="F787" s="30" t="s">
        <v>250</v>
      </c>
      <c r="G787" s="30" t="s">
        <v>251</v>
      </c>
      <c r="H787" s="30" t="s">
        <v>1319</v>
      </c>
      <c r="I787" s="29">
        <v>286583000</v>
      </c>
      <c r="J787" s="29">
        <v>10</v>
      </c>
      <c r="K787" s="29">
        <v>28658300</v>
      </c>
      <c r="L787" s="38" t="s">
        <v>52</v>
      </c>
      <c r="M787" s="39">
        <v>43056</v>
      </c>
      <c r="N787" s="40" t="s">
        <v>1219</v>
      </c>
      <c r="O787" s="35"/>
      <c r="P787" s="36"/>
      <c r="Q787" s="36"/>
      <c r="T787" s="36"/>
    </row>
    <row r="788" spans="1:255" s="37" customFormat="1" ht="18.75" customHeight="1">
      <c r="A788" s="29">
        <f t="shared" si="14"/>
        <v>768</v>
      </c>
      <c r="B788" s="30"/>
      <c r="C788" s="30" t="s">
        <v>248</v>
      </c>
      <c r="D788" s="30" t="s">
        <v>1320</v>
      </c>
      <c r="E788" s="31">
        <v>43039</v>
      </c>
      <c r="F788" s="30" t="s">
        <v>250</v>
      </c>
      <c r="G788" s="30" t="s">
        <v>251</v>
      </c>
      <c r="H788" s="30" t="s">
        <v>1321</v>
      </c>
      <c r="I788" s="29">
        <v>6400000</v>
      </c>
      <c r="J788" s="29">
        <v>10</v>
      </c>
      <c r="K788" s="29">
        <v>640000</v>
      </c>
      <c r="L788" s="38" t="s">
        <v>52</v>
      </c>
      <c r="M788" s="39">
        <v>43056</v>
      </c>
      <c r="N788" s="40" t="s">
        <v>1219</v>
      </c>
      <c r="O788" s="35"/>
      <c r="P788" s="36"/>
      <c r="Q788" s="36"/>
      <c r="T788" s="36"/>
    </row>
    <row r="789" spans="1:255" s="37" customFormat="1" ht="18.75" customHeight="1">
      <c r="A789" s="29">
        <f t="shared" si="14"/>
        <v>769</v>
      </c>
      <c r="B789" s="30"/>
      <c r="C789" s="30" t="s">
        <v>248</v>
      </c>
      <c r="D789" s="30" t="s">
        <v>1322</v>
      </c>
      <c r="E789" s="31">
        <v>43039</v>
      </c>
      <c r="F789" s="30" t="s">
        <v>250</v>
      </c>
      <c r="G789" s="30" t="s">
        <v>251</v>
      </c>
      <c r="H789" s="30" t="s">
        <v>1323</v>
      </c>
      <c r="I789" s="29">
        <v>660000</v>
      </c>
      <c r="J789" s="29">
        <v>10</v>
      </c>
      <c r="K789" s="29">
        <v>66000</v>
      </c>
      <c r="L789" s="38" t="s">
        <v>52</v>
      </c>
      <c r="M789" s="39">
        <v>43056</v>
      </c>
      <c r="N789" s="40" t="s">
        <v>1219</v>
      </c>
      <c r="O789" s="35"/>
      <c r="P789" s="36"/>
      <c r="Q789" s="36"/>
      <c r="T789" s="36"/>
    </row>
    <row r="790" spans="1:255" s="37" customFormat="1" ht="18.75" customHeight="1">
      <c r="A790" s="29">
        <f t="shared" si="14"/>
        <v>770</v>
      </c>
      <c r="B790" s="30"/>
      <c r="C790" s="30" t="s">
        <v>93</v>
      </c>
      <c r="D790" s="30" t="s">
        <v>1324</v>
      </c>
      <c r="E790" s="31">
        <v>43039</v>
      </c>
      <c r="F790" s="30" t="s">
        <v>258</v>
      </c>
      <c r="G790" s="30" t="s">
        <v>259</v>
      </c>
      <c r="H790" s="30" t="s">
        <v>1325</v>
      </c>
      <c r="I790" s="29">
        <v>88598425</v>
      </c>
      <c r="J790" s="29">
        <v>10</v>
      </c>
      <c r="K790" s="29">
        <v>8859843</v>
      </c>
      <c r="L790" s="38" t="s">
        <v>52</v>
      </c>
      <c r="M790" s="39">
        <v>43052</v>
      </c>
      <c r="N790" s="40" t="s">
        <v>1219</v>
      </c>
      <c r="O790" s="35"/>
      <c r="P790" s="36"/>
      <c r="Q790" s="36"/>
      <c r="T790" s="36"/>
    </row>
    <row r="791" spans="1:255" s="37" customFormat="1" ht="18.75" customHeight="1">
      <c r="A791" s="29">
        <f t="shared" si="14"/>
        <v>771</v>
      </c>
      <c r="B791" s="30"/>
      <c r="C791" s="30" t="s">
        <v>1326</v>
      </c>
      <c r="D791" s="30" t="s">
        <v>1327</v>
      </c>
      <c r="E791" s="31">
        <v>43039</v>
      </c>
      <c r="F791" s="30" t="s">
        <v>1328</v>
      </c>
      <c r="G791" s="30" t="s">
        <v>1329</v>
      </c>
      <c r="H791" s="30" t="s">
        <v>1330</v>
      </c>
      <c r="I791" s="29">
        <v>277273</v>
      </c>
      <c r="J791" s="29">
        <v>10</v>
      </c>
      <c r="K791" s="29">
        <v>27727</v>
      </c>
      <c r="L791" s="38"/>
      <c r="M791" s="39"/>
      <c r="N791" s="40"/>
      <c r="O791" s="35"/>
      <c r="P791" s="36"/>
      <c r="Q791" s="36"/>
      <c r="T791" s="36"/>
    </row>
    <row r="792" spans="1:255" s="37" customFormat="1" ht="18.75" customHeight="1">
      <c r="A792" s="29">
        <f t="shared" si="14"/>
        <v>772</v>
      </c>
      <c r="B792" s="30"/>
      <c r="C792" s="30" t="s">
        <v>502</v>
      </c>
      <c r="D792" s="30" t="s">
        <v>1331</v>
      </c>
      <c r="E792" s="31">
        <v>43039</v>
      </c>
      <c r="F792" s="30" t="s">
        <v>127</v>
      </c>
      <c r="G792" s="30" t="s">
        <v>128</v>
      </c>
      <c r="H792" s="30" t="s">
        <v>129</v>
      </c>
      <c r="I792" s="29">
        <v>454545</v>
      </c>
      <c r="J792" s="29">
        <v>10</v>
      </c>
      <c r="K792" s="29">
        <v>45455</v>
      </c>
      <c r="L792" s="38"/>
      <c r="M792" s="39"/>
      <c r="N792" s="40"/>
      <c r="O792" s="35"/>
      <c r="P792" s="36"/>
      <c r="Q792" s="36"/>
      <c r="T792" s="36"/>
    </row>
    <row r="793" spans="1:255" s="37" customFormat="1" ht="18.75" customHeight="1">
      <c r="A793" s="29">
        <f t="shared" si="14"/>
        <v>773</v>
      </c>
      <c r="B793" s="30"/>
      <c r="C793" s="30" t="s">
        <v>112</v>
      </c>
      <c r="D793" s="30" t="s">
        <v>1332</v>
      </c>
      <c r="E793" s="31">
        <v>43039</v>
      </c>
      <c r="F793" s="30" t="s">
        <v>114</v>
      </c>
      <c r="G793" s="30" t="s">
        <v>115</v>
      </c>
      <c r="H793" s="30" t="s">
        <v>116</v>
      </c>
      <c r="I793" s="29">
        <v>10000</v>
      </c>
      <c r="J793" s="29">
        <v>10</v>
      </c>
      <c r="K793" s="29">
        <v>1000</v>
      </c>
      <c r="L793" s="38"/>
      <c r="M793" s="39"/>
      <c r="N793" s="40"/>
      <c r="O793" s="35"/>
      <c r="P793" s="36"/>
      <c r="Q793" s="36"/>
      <c r="T793" s="36"/>
    </row>
    <row r="794" spans="1:255" s="37" customFormat="1" ht="18.75" customHeight="1">
      <c r="A794" s="29">
        <f t="shared" si="14"/>
        <v>774</v>
      </c>
      <c r="B794" s="30"/>
      <c r="C794" s="30" t="s">
        <v>112</v>
      </c>
      <c r="D794" s="30" t="s">
        <v>1333</v>
      </c>
      <c r="E794" s="31">
        <v>43039</v>
      </c>
      <c r="F794" s="30" t="s">
        <v>114</v>
      </c>
      <c r="G794" s="30" t="s">
        <v>115</v>
      </c>
      <c r="H794" s="30" t="s">
        <v>116</v>
      </c>
      <c r="I794" s="29">
        <v>20000</v>
      </c>
      <c r="J794" s="29">
        <v>10</v>
      </c>
      <c r="K794" s="29">
        <v>2000</v>
      </c>
      <c r="L794" s="38"/>
      <c r="M794" s="39"/>
      <c r="N794" s="40"/>
      <c r="O794" s="35"/>
      <c r="P794" s="36"/>
      <c r="Q794" s="36"/>
      <c r="T794" s="36"/>
    </row>
    <row r="795" spans="1:255" s="37" customFormat="1" ht="18.75" customHeight="1">
      <c r="A795" s="29">
        <f t="shared" si="14"/>
        <v>775</v>
      </c>
      <c r="B795" s="30"/>
      <c r="C795" s="30" t="s">
        <v>112</v>
      </c>
      <c r="D795" s="30" t="s">
        <v>1334</v>
      </c>
      <c r="E795" s="31">
        <v>43039</v>
      </c>
      <c r="F795" s="30" t="s">
        <v>114</v>
      </c>
      <c r="G795" s="30" t="s">
        <v>115</v>
      </c>
      <c r="H795" s="30" t="s">
        <v>116</v>
      </c>
      <c r="I795" s="29">
        <v>10000</v>
      </c>
      <c r="J795" s="29">
        <v>10</v>
      </c>
      <c r="K795" s="29">
        <v>1000</v>
      </c>
      <c r="L795" s="38"/>
      <c r="M795" s="39"/>
      <c r="N795" s="40"/>
      <c r="O795" s="35"/>
      <c r="P795" s="36"/>
      <c r="Q795" s="36"/>
      <c r="T795" s="36"/>
    </row>
    <row r="796" spans="1:255" s="37" customFormat="1" ht="18.75" customHeight="1">
      <c r="A796" s="205" t="s">
        <v>264</v>
      </c>
      <c r="B796" s="205"/>
      <c r="C796" s="205"/>
      <c r="D796" s="205"/>
      <c r="E796" s="205"/>
      <c r="F796" s="205"/>
      <c r="G796" s="205"/>
      <c r="H796" s="205"/>
      <c r="I796" s="43">
        <f>SUM(I695:I795)</f>
        <v>3699443765</v>
      </c>
      <c r="J796" s="43"/>
      <c r="K796" s="43">
        <f>SUM(K695:K795)</f>
        <v>369944383</v>
      </c>
      <c r="L796" s="44"/>
      <c r="M796" s="45"/>
      <c r="N796" s="46"/>
      <c r="O796" s="35"/>
      <c r="P796" s="49"/>
      <c r="Q796" s="36"/>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c r="AP796" s="10"/>
      <c r="AQ796" s="10"/>
      <c r="AR796" s="10"/>
      <c r="AS796" s="10"/>
      <c r="AT796" s="10"/>
      <c r="AU796" s="10"/>
      <c r="AV796" s="10"/>
      <c r="AW796" s="10"/>
      <c r="AX796" s="10"/>
      <c r="AY796" s="10"/>
      <c r="AZ796" s="10"/>
      <c r="BA796" s="10"/>
      <c r="BB796" s="10"/>
      <c r="BC796" s="10"/>
      <c r="BD796" s="10"/>
      <c r="BE796" s="10"/>
      <c r="BF796" s="10"/>
      <c r="BG796" s="10"/>
      <c r="BH796" s="10"/>
      <c r="BI796" s="10"/>
      <c r="BJ796" s="10"/>
      <c r="BK796" s="10"/>
      <c r="BL796" s="10"/>
      <c r="BM796" s="10"/>
      <c r="BN796" s="10"/>
      <c r="BO796" s="10"/>
      <c r="BP796" s="10"/>
      <c r="BQ796" s="10"/>
      <c r="BR796" s="10"/>
      <c r="BS796" s="10"/>
      <c r="BT796" s="10"/>
      <c r="BU796" s="10"/>
      <c r="BV796" s="10"/>
      <c r="BW796" s="10"/>
      <c r="BX796" s="10"/>
      <c r="BY796" s="10"/>
      <c r="BZ796" s="10"/>
      <c r="CA796" s="10"/>
      <c r="CB796" s="10"/>
      <c r="CC796" s="10"/>
      <c r="CD796" s="10"/>
      <c r="CE796" s="10"/>
      <c r="CF796" s="10"/>
      <c r="CG796" s="10"/>
      <c r="CH796" s="10"/>
      <c r="CI796" s="10"/>
      <c r="CJ796" s="10"/>
      <c r="CK796" s="10"/>
      <c r="CL796" s="10"/>
      <c r="CM796" s="10"/>
      <c r="CN796" s="10"/>
      <c r="CO796" s="10"/>
      <c r="CP796" s="10"/>
      <c r="CQ796" s="10"/>
      <c r="CR796" s="10"/>
      <c r="CS796" s="10"/>
      <c r="CT796" s="10"/>
      <c r="CU796" s="10"/>
      <c r="CV796" s="10"/>
      <c r="CW796" s="10"/>
      <c r="CX796" s="10"/>
      <c r="CY796" s="10"/>
      <c r="CZ796" s="10"/>
      <c r="DA796" s="10"/>
      <c r="DB796" s="10"/>
      <c r="DC796" s="10"/>
      <c r="DD796" s="10"/>
      <c r="DE796" s="10"/>
      <c r="DF796" s="10"/>
      <c r="DG796" s="10"/>
      <c r="DH796" s="10"/>
      <c r="DI796" s="10"/>
      <c r="DJ796" s="10"/>
      <c r="DK796" s="10"/>
      <c r="DL796" s="10"/>
      <c r="DM796" s="10"/>
      <c r="DN796" s="10"/>
      <c r="DO796" s="10"/>
      <c r="DP796" s="10"/>
      <c r="DQ796" s="10"/>
      <c r="DR796" s="10"/>
      <c r="DS796" s="10"/>
      <c r="DT796" s="10"/>
      <c r="DU796" s="10"/>
      <c r="DV796" s="10"/>
      <c r="DW796" s="10"/>
      <c r="DX796" s="10"/>
      <c r="DY796" s="10"/>
      <c r="DZ796" s="10"/>
      <c r="EA796" s="10"/>
      <c r="EB796" s="10"/>
      <c r="EC796" s="10"/>
      <c r="ED796" s="10"/>
      <c r="EE796" s="10"/>
      <c r="EF796" s="10"/>
      <c r="EG796" s="10"/>
      <c r="EH796" s="10"/>
      <c r="EI796" s="10"/>
      <c r="EJ796" s="10"/>
      <c r="EK796" s="10"/>
      <c r="EL796" s="10"/>
      <c r="EM796" s="10"/>
      <c r="EN796" s="10"/>
      <c r="EO796" s="10"/>
      <c r="EP796" s="10"/>
      <c r="EQ796" s="10"/>
      <c r="ER796" s="10"/>
      <c r="ES796" s="10"/>
      <c r="ET796" s="10"/>
      <c r="EU796" s="10"/>
      <c r="EV796" s="10"/>
      <c r="EW796" s="10"/>
      <c r="EX796" s="10"/>
      <c r="EY796" s="10"/>
      <c r="EZ796" s="10"/>
      <c r="FA796" s="10"/>
      <c r="FB796" s="10"/>
      <c r="FC796" s="10"/>
      <c r="FD796" s="10"/>
      <c r="FE796" s="10"/>
      <c r="FF796" s="10"/>
      <c r="FG796" s="10"/>
      <c r="FH796" s="10"/>
      <c r="FI796" s="10"/>
      <c r="FJ796" s="10"/>
      <c r="FK796" s="10"/>
      <c r="FL796" s="10"/>
      <c r="FM796" s="10"/>
      <c r="FN796" s="10"/>
      <c r="FO796" s="10"/>
      <c r="FP796" s="10"/>
      <c r="FQ796" s="10"/>
      <c r="FR796" s="10"/>
      <c r="FS796" s="10"/>
      <c r="FT796" s="10"/>
      <c r="FU796" s="10"/>
      <c r="FV796" s="10"/>
      <c r="FW796" s="10"/>
      <c r="FX796" s="10"/>
      <c r="FY796" s="10"/>
      <c r="FZ796" s="10"/>
      <c r="GA796" s="10"/>
      <c r="GB796" s="10"/>
      <c r="GC796" s="10"/>
      <c r="GD796" s="10"/>
      <c r="GE796" s="10"/>
      <c r="GF796" s="10"/>
      <c r="GG796" s="10"/>
      <c r="GH796" s="10"/>
      <c r="GI796" s="10"/>
      <c r="GJ796" s="10"/>
      <c r="GK796" s="10"/>
      <c r="GL796" s="10"/>
      <c r="GM796" s="10"/>
      <c r="GN796" s="10"/>
      <c r="GO796" s="10"/>
      <c r="GP796" s="10"/>
      <c r="GQ796" s="10"/>
      <c r="GR796" s="10"/>
      <c r="GS796" s="10"/>
      <c r="GT796" s="10"/>
      <c r="GU796" s="10"/>
      <c r="GV796" s="10"/>
      <c r="GW796" s="10"/>
      <c r="GX796" s="10"/>
      <c r="GY796" s="10"/>
      <c r="GZ796" s="10"/>
      <c r="HA796" s="10"/>
      <c r="HB796" s="10"/>
      <c r="HC796" s="10"/>
      <c r="HD796" s="10"/>
      <c r="HE796" s="10"/>
      <c r="HF796" s="10"/>
      <c r="HG796" s="10"/>
      <c r="HH796" s="10"/>
      <c r="HI796" s="10"/>
      <c r="HJ796" s="10"/>
      <c r="HK796" s="10"/>
      <c r="HL796" s="10"/>
      <c r="HM796" s="10"/>
      <c r="HN796" s="10"/>
      <c r="HO796" s="10"/>
      <c r="HP796" s="10"/>
      <c r="HQ796" s="10"/>
      <c r="HR796" s="10"/>
      <c r="HS796" s="10"/>
      <c r="HT796" s="10"/>
      <c r="HU796" s="10"/>
      <c r="HV796" s="10"/>
      <c r="HW796" s="10"/>
      <c r="HX796" s="10"/>
      <c r="HY796" s="10"/>
      <c r="HZ796" s="10"/>
      <c r="IA796" s="10"/>
      <c r="IB796" s="10"/>
      <c r="IC796" s="10"/>
      <c r="ID796" s="10"/>
      <c r="IE796" s="10"/>
      <c r="IF796" s="10"/>
      <c r="IG796" s="10"/>
      <c r="IH796" s="10"/>
      <c r="II796" s="10"/>
      <c r="IJ796" s="10"/>
      <c r="IK796" s="10"/>
      <c r="IL796" s="10"/>
      <c r="IM796" s="10"/>
      <c r="IN796" s="10"/>
      <c r="IO796" s="10"/>
      <c r="IP796" s="10"/>
      <c r="IQ796" s="10"/>
      <c r="IR796" s="10"/>
      <c r="IS796" s="10"/>
      <c r="IT796" s="10"/>
      <c r="IU796" s="10"/>
    </row>
    <row r="797" spans="1:255" s="37" customFormat="1" ht="18.75" customHeight="1">
      <c r="A797" s="29">
        <f>A795+1</f>
        <v>776</v>
      </c>
      <c r="B797" s="30"/>
      <c r="C797" s="30" t="s">
        <v>1335</v>
      </c>
      <c r="D797" s="30" t="s">
        <v>1336</v>
      </c>
      <c r="E797" s="31">
        <v>43003</v>
      </c>
      <c r="F797" s="30" t="s">
        <v>1337</v>
      </c>
      <c r="G797" s="30" t="s">
        <v>1338</v>
      </c>
      <c r="H797" s="30" t="s">
        <v>1339</v>
      </c>
      <c r="I797" s="29">
        <v>1026000</v>
      </c>
      <c r="J797" s="29">
        <v>10</v>
      </c>
      <c r="K797" s="29">
        <v>102600</v>
      </c>
      <c r="L797" s="38"/>
      <c r="M797" s="39"/>
      <c r="N797" s="40"/>
      <c r="O797" s="35"/>
      <c r="P797" s="36"/>
      <c r="Q797" s="36"/>
      <c r="T797" s="36"/>
    </row>
    <row r="798" spans="1:255" s="37" customFormat="1" ht="18.75" customHeight="1">
      <c r="A798" s="29">
        <f>A797+1</f>
        <v>777</v>
      </c>
      <c r="B798" s="30"/>
      <c r="C798" s="30" t="s">
        <v>93</v>
      </c>
      <c r="D798" s="30" t="s">
        <v>1340</v>
      </c>
      <c r="E798" s="31">
        <v>43013</v>
      </c>
      <c r="F798" s="30" t="s">
        <v>49</v>
      </c>
      <c r="G798" s="30" t="s">
        <v>50</v>
      </c>
      <c r="H798" s="30" t="s">
        <v>864</v>
      </c>
      <c r="I798" s="29">
        <v>88880000</v>
      </c>
      <c r="J798" s="29">
        <v>10</v>
      </c>
      <c r="K798" s="29">
        <v>8888000</v>
      </c>
      <c r="L798" s="38" t="s">
        <v>52</v>
      </c>
      <c r="M798" s="39">
        <v>43074</v>
      </c>
      <c r="N798" s="40" t="s">
        <v>1341</v>
      </c>
      <c r="O798" s="35"/>
      <c r="P798" s="36"/>
      <c r="Q798" s="36"/>
      <c r="T798" s="36"/>
    </row>
    <row r="799" spans="1:255" s="37" customFormat="1" ht="18.75" customHeight="1">
      <c r="A799" s="29">
        <f t="shared" ref="A799:A862" si="15">A798+1</f>
        <v>778</v>
      </c>
      <c r="B799" s="30"/>
      <c r="C799" s="30" t="s">
        <v>291</v>
      </c>
      <c r="D799" s="30" t="s">
        <v>1342</v>
      </c>
      <c r="E799" s="31">
        <v>43014</v>
      </c>
      <c r="F799" s="30" t="s">
        <v>293</v>
      </c>
      <c r="G799" s="30" t="s">
        <v>294</v>
      </c>
      <c r="H799" s="30" t="s">
        <v>134</v>
      </c>
      <c r="I799" s="29">
        <v>4059091</v>
      </c>
      <c r="J799" s="29">
        <v>10</v>
      </c>
      <c r="K799" s="29">
        <v>405909</v>
      </c>
      <c r="L799" s="38"/>
      <c r="M799" s="39"/>
      <c r="N799" s="40"/>
      <c r="O799" s="35"/>
      <c r="P799" s="36"/>
      <c r="Q799" s="36"/>
      <c r="T799" s="36"/>
    </row>
    <row r="800" spans="1:255" s="37" customFormat="1" ht="18.75" customHeight="1">
      <c r="A800" s="29">
        <f t="shared" si="15"/>
        <v>779</v>
      </c>
      <c r="B800" s="30"/>
      <c r="C800" s="30" t="s">
        <v>291</v>
      </c>
      <c r="D800" s="30" t="s">
        <v>1343</v>
      </c>
      <c r="E800" s="31">
        <v>43017</v>
      </c>
      <c r="F800" s="30" t="s">
        <v>293</v>
      </c>
      <c r="G800" s="30" t="s">
        <v>294</v>
      </c>
      <c r="H800" s="30" t="s">
        <v>134</v>
      </c>
      <c r="I800" s="29">
        <v>2320909</v>
      </c>
      <c r="J800" s="29">
        <v>10</v>
      </c>
      <c r="K800" s="29">
        <v>232091</v>
      </c>
      <c r="L800" s="38"/>
      <c r="M800" s="39"/>
      <c r="N800" s="40"/>
      <c r="O800" s="35"/>
      <c r="P800" s="36"/>
      <c r="Q800" s="36"/>
      <c r="T800" s="36"/>
    </row>
    <row r="801" spans="1:20" s="37" customFormat="1" ht="18.75" customHeight="1">
      <c r="A801" s="29">
        <f t="shared" si="15"/>
        <v>780</v>
      </c>
      <c r="B801" s="30"/>
      <c r="C801" s="30" t="s">
        <v>1335</v>
      </c>
      <c r="D801" s="30" t="s">
        <v>1344</v>
      </c>
      <c r="E801" s="31">
        <v>43019</v>
      </c>
      <c r="F801" s="30" t="s">
        <v>1337</v>
      </c>
      <c r="G801" s="30" t="s">
        <v>1338</v>
      </c>
      <c r="H801" s="30" t="s">
        <v>1339</v>
      </c>
      <c r="I801" s="29">
        <v>1019455</v>
      </c>
      <c r="J801" s="29">
        <v>10</v>
      </c>
      <c r="K801" s="29">
        <v>101946</v>
      </c>
      <c r="L801" s="38"/>
      <c r="M801" s="39"/>
      <c r="N801" s="40"/>
      <c r="O801" s="35"/>
      <c r="P801" s="36"/>
      <c r="Q801" s="36"/>
      <c r="T801" s="36"/>
    </row>
    <row r="802" spans="1:20" s="37" customFormat="1" ht="18.75" customHeight="1">
      <c r="A802" s="29">
        <f t="shared" si="15"/>
        <v>781</v>
      </c>
      <c r="B802" s="30"/>
      <c r="C802" s="30" t="s">
        <v>54</v>
      </c>
      <c r="D802" s="30" t="s">
        <v>1345</v>
      </c>
      <c r="E802" s="31">
        <v>43020</v>
      </c>
      <c r="F802" s="30" t="s">
        <v>56</v>
      </c>
      <c r="G802" s="30" t="s">
        <v>57</v>
      </c>
      <c r="H802" s="30" t="s">
        <v>1198</v>
      </c>
      <c r="I802" s="29">
        <v>11487300</v>
      </c>
      <c r="J802" s="29">
        <v>10</v>
      </c>
      <c r="K802" s="29">
        <v>1148730</v>
      </c>
      <c r="L802" s="38"/>
      <c r="M802" s="39"/>
      <c r="N802" s="40"/>
      <c r="O802" s="35"/>
      <c r="P802" s="36"/>
      <c r="Q802" s="36"/>
      <c r="T802" s="36"/>
    </row>
    <row r="803" spans="1:20" s="37" customFormat="1" ht="18.75" customHeight="1">
      <c r="A803" s="29">
        <f t="shared" si="15"/>
        <v>782</v>
      </c>
      <c r="B803" s="30"/>
      <c r="C803" s="30" t="s">
        <v>291</v>
      </c>
      <c r="D803" s="30" t="s">
        <v>1014</v>
      </c>
      <c r="E803" s="31">
        <v>43022</v>
      </c>
      <c r="F803" s="30" t="s">
        <v>293</v>
      </c>
      <c r="G803" s="30" t="s">
        <v>294</v>
      </c>
      <c r="H803" s="30" t="s">
        <v>134</v>
      </c>
      <c r="I803" s="29">
        <v>4431818</v>
      </c>
      <c r="J803" s="29">
        <v>10</v>
      </c>
      <c r="K803" s="29">
        <v>443182</v>
      </c>
      <c r="L803" s="38"/>
      <c r="M803" s="39"/>
      <c r="N803" s="40"/>
      <c r="O803" s="35"/>
      <c r="P803" s="36"/>
      <c r="Q803" s="36"/>
      <c r="T803" s="36"/>
    </row>
    <row r="804" spans="1:20" s="37" customFormat="1" ht="18.75" customHeight="1">
      <c r="A804" s="29">
        <f t="shared" si="15"/>
        <v>783</v>
      </c>
      <c r="B804" s="30"/>
      <c r="C804" s="30" t="s">
        <v>1346</v>
      </c>
      <c r="D804" s="30" t="s">
        <v>1347</v>
      </c>
      <c r="E804" s="31">
        <v>43023</v>
      </c>
      <c r="F804" s="30" t="s">
        <v>546</v>
      </c>
      <c r="G804" s="30" t="s">
        <v>547</v>
      </c>
      <c r="H804" s="30" t="s">
        <v>134</v>
      </c>
      <c r="I804" s="29">
        <v>851000</v>
      </c>
      <c r="J804" s="29">
        <v>10</v>
      </c>
      <c r="K804" s="29">
        <v>85100</v>
      </c>
      <c r="L804" s="38"/>
      <c r="M804" s="39"/>
      <c r="N804" s="40"/>
      <c r="O804" s="35"/>
      <c r="P804" s="36"/>
      <c r="Q804" s="36"/>
      <c r="T804" s="36"/>
    </row>
    <row r="805" spans="1:20" s="37" customFormat="1" ht="18.75" customHeight="1">
      <c r="A805" s="29">
        <f t="shared" si="15"/>
        <v>784</v>
      </c>
      <c r="B805" s="30"/>
      <c r="C805" s="30" t="s">
        <v>54</v>
      </c>
      <c r="D805" s="30" t="s">
        <v>1348</v>
      </c>
      <c r="E805" s="31">
        <v>43026</v>
      </c>
      <c r="F805" s="30" t="s">
        <v>56</v>
      </c>
      <c r="G805" s="30" t="s">
        <v>57</v>
      </c>
      <c r="H805" s="30" t="s">
        <v>1198</v>
      </c>
      <c r="I805" s="29">
        <v>11485000</v>
      </c>
      <c r="J805" s="29">
        <v>10</v>
      </c>
      <c r="K805" s="29">
        <v>1148500</v>
      </c>
      <c r="L805" s="38"/>
      <c r="M805" s="39"/>
      <c r="N805" s="40"/>
      <c r="O805" s="35"/>
      <c r="P805" s="36"/>
      <c r="Q805" s="36"/>
      <c r="T805" s="36"/>
    </row>
    <row r="806" spans="1:20" s="37" customFormat="1" ht="18.75" customHeight="1">
      <c r="A806" s="29">
        <f t="shared" si="15"/>
        <v>785</v>
      </c>
      <c r="B806" s="30"/>
      <c r="C806" s="30" t="s">
        <v>69</v>
      </c>
      <c r="D806" s="30" t="s">
        <v>1349</v>
      </c>
      <c r="E806" s="31">
        <v>43026</v>
      </c>
      <c r="F806" s="30" t="s">
        <v>71</v>
      </c>
      <c r="G806" s="30" t="s">
        <v>72</v>
      </c>
      <c r="H806" s="30" t="s">
        <v>1350</v>
      </c>
      <c r="I806" s="29">
        <v>1600000</v>
      </c>
      <c r="J806" s="29">
        <v>10</v>
      </c>
      <c r="K806" s="29">
        <v>160000</v>
      </c>
      <c r="L806" s="38"/>
      <c r="M806" s="39"/>
      <c r="N806" s="40"/>
      <c r="O806" s="35"/>
      <c r="P806" s="36"/>
      <c r="Q806" s="36"/>
      <c r="T806" s="36"/>
    </row>
    <row r="807" spans="1:20" s="37" customFormat="1" ht="18.75" customHeight="1">
      <c r="A807" s="29">
        <f t="shared" si="15"/>
        <v>786</v>
      </c>
      <c r="B807" s="30"/>
      <c r="C807" s="30" t="s">
        <v>93</v>
      </c>
      <c r="D807" s="30" t="s">
        <v>626</v>
      </c>
      <c r="E807" s="31">
        <v>43031</v>
      </c>
      <c r="F807" s="30" t="s">
        <v>49</v>
      </c>
      <c r="G807" s="30" t="s">
        <v>50</v>
      </c>
      <c r="H807" s="30" t="s">
        <v>864</v>
      </c>
      <c r="I807" s="29">
        <v>63960000</v>
      </c>
      <c r="J807" s="29">
        <v>10</v>
      </c>
      <c r="K807" s="29">
        <v>6396000</v>
      </c>
      <c r="L807" s="38" t="s">
        <v>52</v>
      </c>
      <c r="M807" s="39">
        <v>43074</v>
      </c>
      <c r="N807" s="40" t="s">
        <v>1341</v>
      </c>
      <c r="O807" s="35"/>
      <c r="P807" s="36"/>
      <c r="Q807" s="36"/>
      <c r="T807" s="36"/>
    </row>
    <row r="808" spans="1:20" s="37" customFormat="1" ht="18.75" customHeight="1">
      <c r="A808" s="29">
        <f t="shared" si="15"/>
        <v>787</v>
      </c>
      <c r="B808" s="30"/>
      <c r="C808" s="30" t="s">
        <v>54</v>
      </c>
      <c r="D808" s="30" t="s">
        <v>1351</v>
      </c>
      <c r="E808" s="31">
        <v>43032</v>
      </c>
      <c r="F808" s="30" t="s">
        <v>56</v>
      </c>
      <c r="G808" s="30" t="s">
        <v>57</v>
      </c>
      <c r="H808" s="30" t="s">
        <v>1198</v>
      </c>
      <c r="I808" s="29">
        <v>11487300</v>
      </c>
      <c r="J808" s="29">
        <v>10</v>
      </c>
      <c r="K808" s="29">
        <v>1148730</v>
      </c>
      <c r="L808" s="38"/>
      <c r="M808" s="39"/>
      <c r="N808" s="40"/>
      <c r="O808" s="35"/>
      <c r="P808" s="36"/>
      <c r="Q808" s="36"/>
      <c r="T808" s="36"/>
    </row>
    <row r="809" spans="1:20" s="37" customFormat="1" ht="18.75" customHeight="1">
      <c r="A809" s="29">
        <f t="shared" si="15"/>
        <v>788</v>
      </c>
      <c r="B809" s="30"/>
      <c r="C809" s="30" t="s">
        <v>1250</v>
      </c>
      <c r="D809" s="30" t="s">
        <v>1352</v>
      </c>
      <c r="E809" s="31">
        <v>43033</v>
      </c>
      <c r="F809" s="30" t="s">
        <v>333</v>
      </c>
      <c r="G809" s="30" t="s">
        <v>334</v>
      </c>
      <c r="H809" s="30" t="s">
        <v>134</v>
      </c>
      <c r="I809" s="29">
        <v>1797000</v>
      </c>
      <c r="J809" s="29">
        <v>10</v>
      </c>
      <c r="K809" s="29">
        <v>179700</v>
      </c>
      <c r="L809" s="38"/>
      <c r="M809" s="39"/>
      <c r="N809" s="40"/>
      <c r="O809" s="35"/>
      <c r="P809" s="36"/>
      <c r="Q809" s="36"/>
      <c r="T809" s="36"/>
    </row>
    <row r="810" spans="1:20" s="37" customFormat="1" ht="18.75" customHeight="1">
      <c r="A810" s="29">
        <f t="shared" si="15"/>
        <v>789</v>
      </c>
      <c r="B810" s="30"/>
      <c r="C810" s="30" t="s">
        <v>54</v>
      </c>
      <c r="D810" s="30" t="s">
        <v>1353</v>
      </c>
      <c r="E810" s="31">
        <v>43034</v>
      </c>
      <c r="F810" s="30" t="s">
        <v>56</v>
      </c>
      <c r="G810" s="30" t="s">
        <v>57</v>
      </c>
      <c r="H810" s="30" t="s">
        <v>1198</v>
      </c>
      <c r="I810" s="29">
        <v>6528750</v>
      </c>
      <c r="J810" s="29">
        <v>10</v>
      </c>
      <c r="K810" s="29">
        <v>652875</v>
      </c>
      <c r="L810" s="38"/>
      <c r="M810" s="39"/>
      <c r="N810" s="40"/>
      <c r="O810" s="35"/>
      <c r="P810" s="36"/>
      <c r="Q810" s="36"/>
      <c r="T810" s="36"/>
    </row>
    <row r="811" spans="1:20" s="37" customFormat="1" ht="18.75" customHeight="1">
      <c r="A811" s="29">
        <f t="shared" si="15"/>
        <v>790</v>
      </c>
      <c r="B811" s="30"/>
      <c r="C811" s="30" t="s">
        <v>69</v>
      </c>
      <c r="D811" s="30" t="s">
        <v>1354</v>
      </c>
      <c r="E811" s="31">
        <v>43035</v>
      </c>
      <c r="F811" s="30" t="s">
        <v>71</v>
      </c>
      <c r="G811" s="30" t="s">
        <v>72</v>
      </c>
      <c r="H811" s="30" t="s">
        <v>1350</v>
      </c>
      <c r="I811" s="29">
        <v>1200000</v>
      </c>
      <c r="J811" s="29">
        <v>10</v>
      </c>
      <c r="K811" s="29">
        <v>120000</v>
      </c>
      <c r="L811" s="38"/>
      <c r="M811" s="39"/>
      <c r="N811" s="40"/>
      <c r="O811" s="35"/>
      <c r="P811" s="36"/>
      <c r="Q811" s="36"/>
      <c r="T811" s="36"/>
    </row>
    <row r="812" spans="1:20" s="37" customFormat="1" ht="18.75" customHeight="1">
      <c r="A812" s="29">
        <f t="shared" si="15"/>
        <v>791</v>
      </c>
      <c r="B812" s="30"/>
      <c r="C812" s="30" t="s">
        <v>726</v>
      </c>
      <c r="D812" s="30" t="s">
        <v>1355</v>
      </c>
      <c r="E812" s="31">
        <v>43039</v>
      </c>
      <c r="F812" s="30" t="s">
        <v>63</v>
      </c>
      <c r="G812" s="30" t="s">
        <v>64</v>
      </c>
      <c r="H812" s="30" t="s">
        <v>1356</v>
      </c>
      <c r="I812" s="29">
        <v>32236364</v>
      </c>
      <c r="J812" s="29">
        <v>10</v>
      </c>
      <c r="K812" s="29">
        <v>3223636</v>
      </c>
      <c r="L812" s="38" t="s">
        <v>52</v>
      </c>
      <c r="M812" s="39">
        <v>43061</v>
      </c>
      <c r="N812" s="40" t="s">
        <v>1341</v>
      </c>
      <c r="O812" s="35"/>
      <c r="P812" s="36"/>
      <c r="Q812" s="36"/>
      <c r="T812" s="36"/>
    </row>
    <row r="813" spans="1:20" s="37" customFormat="1" ht="18.75" customHeight="1">
      <c r="A813" s="29">
        <f t="shared" si="15"/>
        <v>792</v>
      </c>
      <c r="B813" s="30"/>
      <c r="C813" s="30" t="s">
        <v>93</v>
      </c>
      <c r="D813" s="30" t="s">
        <v>1357</v>
      </c>
      <c r="E813" s="31">
        <v>43039</v>
      </c>
      <c r="F813" s="30" t="s">
        <v>49</v>
      </c>
      <c r="G813" s="30" t="s">
        <v>50</v>
      </c>
      <c r="H813" s="30" t="s">
        <v>864</v>
      </c>
      <c r="I813" s="29">
        <v>123840000</v>
      </c>
      <c r="J813" s="29">
        <v>10</v>
      </c>
      <c r="K813" s="29">
        <v>12384000</v>
      </c>
      <c r="L813" s="38" t="s">
        <v>52</v>
      </c>
      <c r="M813" s="39">
        <v>43074</v>
      </c>
      <c r="N813" s="40" t="s">
        <v>1341</v>
      </c>
      <c r="O813" s="35"/>
      <c r="P813" s="36"/>
      <c r="Q813" s="36"/>
      <c r="T813" s="36"/>
    </row>
    <row r="814" spans="1:20" s="37" customFormat="1" ht="18.75" customHeight="1">
      <c r="A814" s="29">
        <f t="shared" si="15"/>
        <v>793</v>
      </c>
      <c r="B814" s="30"/>
      <c r="C814" s="30" t="s">
        <v>1358</v>
      </c>
      <c r="D814" s="30" t="s">
        <v>1359</v>
      </c>
      <c r="E814" s="31">
        <v>43040</v>
      </c>
      <c r="F814" s="30" t="s">
        <v>89</v>
      </c>
      <c r="G814" s="30" t="s">
        <v>90</v>
      </c>
      <c r="H814" s="30" t="s">
        <v>858</v>
      </c>
      <c r="I814" s="29">
        <v>472149</v>
      </c>
      <c r="J814" s="29">
        <v>10</v>
      </c>
      <c r="K814" s="29">
        <v>47215</v>
      </c>
      <c r="L814" s="38"/>
      <c r="M814" s="39"/>
      <c r="N814" s="40"/>
      <c r="O814" s="35"/>
      <c r="P814" s="36"/>
      <c r="Q814" s="36"/>
      <c r="T814" s="36"/>
    </row>
    <row r="815" spans="1:20" s="37" customFormat="1" ht="18.75" customHeight="1">
      <c r="A815" s="29">
        <f t="shared" si="15"/>
        <v>794</v>
      </c>
      <c r="B815" s="30"/>
      <c r="C815" s="30" t="s">
        <v>1358</v>
      </c>
      <c r="D815" s="30" t="s">
        <v>1360</v>
      </c>
      <c r="E815" s="31">
        <v>43040</v>
      </c>
      <c r="F815" s="30" t="s">
        <v>89</v>
      </c>
      <c r="G815" s="30" t="s">
        <v>90</v>
      </c>
      <c r="H815" s="30" t="s">
        <v>858</v>
      </c>
      <c r="I815" s="29">
        <v>179480</v>
      </c>
      <c r="J815" s="29">
        <v>10</v>
      </c>
      <c r="K815" s="29">
        <v>17948</v>
      </c>
      <c r="L815" s="38"/>
      <c r="M815" s="39"/>
      <c r="N815" s="40"/>
      <c r="O815" s="35"/>
      <c r="P815" s="36"/>
      <c r="Q815" s="36"/>
      <c r="T815" s="36"/>
    </row>
    <row r="816" spans="1:20" s="37" customFormat="1" ht="18.75" customHeight="1">
      <c r="A816" s="29">
        <f t="shared" si="15"/>
        <v>795</v>
      </c>
      <c r="B816" s="30"/>
      <c r="C816" s="30" t="s">
        <v>444</v>
      </c>
      <c r="D816" s="30" t="s">
        <v>1361</v>
      </c>
      <c r="E816" s="31">
        <v>43041</v>
      </c>
      <c r="F816" s="30" t="s">
        <v>638</v>
      </c>
      <c r="G816" s="30" t="s">
        <v>447</v>
      </c>
      <c r="H816" s="30" t="s">
        <v>1362</v>
      </c>
      <c r="I816" s="29">
        <f>65473140+3273657</f>
        <v>68746797</v>
      </c>
      <c r="J816" s="29">
        <v>10</v>
      </c>
      <c r="K816" s="29">
        <f>6547314/2</f>
        <v>3273657</v>
      </c>
      <c r="L816" s="38" t="s">
        <v>52</v>
      </c>
      <c r="M816" s="39">
        <v>43069</v>
      </c>
      <c r="N816" s="40" t="s">
        <v>1341</v>
      </c>
      <c r="O816" s="35"/>
      <c r="P816" s="36"/>
      <c r="Q816" s="36"/>
      <c r="T816" s="36"/>
    </row>
    <row r="817" spans="1:20" s="37" customFormat="1" ht="18.75" customHeight="1">
      <c r="A817" s="29">
        <f t="shared" si="15"/>
        <v>796</v>
      </c>
      <c r="B817" s="30"/>
      <c r="C817" s="30" t="s">
        <v>54</v>
      </c>
      <c r="D817" s="30" t="s">
        <v>1363</v>
      </c>
      <c r="E817" s="31">
        <v>43042</v>
      </c>
      <c r="F817" s="30" t="s">
        <v>56</v>
      </c>
      <c r="G817" s="30" t="s">
        <v>57</v>
      </c>
      <c r="H817" s="30" t="s">
        <v>1198</v>
      </c>
      <c r="I817" s="29">
        <v>11485000</v>
      </c>
      <c r="J817" s="29">
        <v>10</v>
      </c>
      <c r="K817" s="29">
        <v>1148500</v>
      </c>
      <c r="L817" s="38"/>
      <c r="M817" s="39"/>
      <c r="N817" s="40"/>
      <c r="O817" s="35"/>
      <c r="P817" s="36"/>
      <c r="Q817" s="36"/>
      <c r="T817" s="36"/>
    </row>
    <row r="818" spans="1:20" s="37" customFormat="1" ht="18.75" customHeight="1">
      <c r="A818" s="29">
        <f t="shared" si="15"/>
        <v>797</v>
      </c>
      <c r="B818" s="30"/>
      <c r="C818" s="30" t="s">
        <v>93</v>
      </c>
      <c r="D818" s="30" t="s">
        <v>1364</v>
      </c>
      <c r="E818" s="31">
        <v>43043</v>
      </c>
      <c r="F818" s="30" t="s">
        <v>49</v>
      </c>
      <c r="G818" s="30" t="s">
        <v>50</v>
      </c>
      <c r="H818" s="30" t="s">
        <v>864</v>
      </c>
      <c r="I818" s="29">
        <v>62880000</v>
      </c>
      <c r="J818" s="29">
        <v>10</v>
      </c>
      <c r="K818" s="29">
        <v>6288000</v>
      </c>
      <c r="L818" s="38" t="s">
        <v>52</v>
      </c>
      <c r="M818" s="39">
        <v>43074</v>
      </c>
      <c r="N818" s="40" t="s">
        <v>1341</v>
      </c>
      <c r="O818" s="35"/>
      <c r="P818" s="36"/>
      <c r="Q818" s="36"/>
      <c r="T818" s="36"/>
    </row>
    <row r="819" spans="1:20" s="37" customFormat="1" ht="18.75" customHeight="1">
      <c r="A819" s="29">
        <f t="shared" si="15"/>
        <v>798</v>
      </c>
      <c r="B819" s="30"/>
      <c r="C819" s="30" t="s">
        <v>162</v>
      </c>
      <c r="D819" s="30" t="s">
        <v>1365</v>
      </c>
      <c r="E819" s="31">
        <v>43043</v>
      </c>
      <c r="F819" s="30" t="s">
        <v>164</v>
      </c>
      <c r="G819" s="30" t="s">
        <v>165</v>
      </c>
      <c r="H819" s="30" t="s">
        <v>166</v>
      </c>
      <c r="I819" s="29">
        <v>35477550</v>
      </c>
      <c r="J819" s="29">
        <v>10</v>
      </c>
      <c r="K819" s="29">
        <v>3547756</v>
      </c>
      <c r="L819" s="38" t="s">
        <v>52</v>
      </c>
      <c r="M819" s="39">
        <v>43089</v>
      </c>
      <c r="N819" s="40" t="s">
        <v>1341</v>
      </c>
      <c r="O819" s="35"/>
      <c r="P819" s="36"/>
      <c r="Q819" s="36"/>
      <c r="T819" s="36"/>
    </row>
    <row r="820" spans="1:20" s="37" customFormat="1" ht="18.75" customHeight="1">
      <c r="A820" s="29">
        <f t="shared" si="15"/>
        <v>799</v>
      </c>
      <c r="B820" s="30"/>
      <c r="C820" s="30" t="s">
        <v>100</v>
      </c>
      <c r="D820" s="30" t="s">
        <v>1366</v>
      </c>
      <c r="E820" s="31">
        <v>43045</v>
      </c>
      <c r="F820" s="30" t="s">
        <v>102</v>
      </c>
      <c r="G820" s="30" t="s">
        <v>103</v>
      </c>
      <c r="H820" s="30" t="s">
        <v>377</v>
      </c>
      <c r="I820" s="29">
        <v>26860000</v>
      </c>
      <c r="J820" s="29">
        <v>10</v>
      </c>
      <c r="K820" s="29">
        <v>2686000</v>
      </c>
      <c r="L820" s="38" t="s">
        <v>52</v>
      </c>
      <c r="M820" s="39">
        <v>43089</v>
      </c>
      <c r="N820" s="40" t="s">
        <v>1341</v>
      </c>
      <c r="O820" s="35"/>
      <c r="P820" s="36"/>
      <c r="Q820" s="36"/>
      <c r="T820" s="36"/>
    </row>
    <row r="821" spans="1:20" s="37" customFormat="1" ht="18.75" customHeight="1">
      <c r="A821" s="29">
        <f t="shared" si="15"/>
        <v>800</v>
      </c>
      <c r="B821" s="30"/>
      <c r="C821" s="30" t="s">
        <v>69</v>
      </c>
      <c r="D821" s="30" t="s">
        <v>1367</v>
      </c>
      <c r="E821" s="31">
        <v>43045</v>
      </c>
      <c r="F821" s="30" t="s">
        <v>71</v>
      </c>
      <c r="G821" s="30" t="s">
        <v>72</v>
      </c>
      <c r="H821" s="30" t="s">
        <v>1350</v>
      </c>
      <c r="I821" s="29">
        <v>800000</v>
      </c>
      <c r="J821" s="29">
        <v>10</v>
      </c>
      <c r="K821" s="29">
        <v>80000</v>
      </c>
      <c r="L821" s="38"/>
      <c r="M821" s="39"/>
      <c r="N821" s="40"/>
      <c r="O821" s="35"/>
      <c r="P821" s="36"/>
      <c r="Q821" s="36"/>
      <c r="T821" s="36"/>
    </row>
    <row r="822" spans="1:20" s="37" customFormat="1" ht="18.75" customHeight="1">
      <c r="A822" s="29">
        <f t="shared" si="15"/>
        <v>801</v>
      </c>
      <c r="B822" s="30"/>
      <c r="C822" s="30" t="s">
        <v>93</v>
      </c>
      <c r="D822" s="30" t="s">
        <v>1368</v>
      </c>
      <c r="E822" s="31">
        <v>43046</v>
      </c>
      <c r="F822" s="30" t="s">
        <v>49</v>
      </c>
      <c r="G822" s="30" t="s">
        <v>50</v>
      </c>
      <c r="H822" s="30" t="s">
        <v>864</v>
      </c>
      <c r="I822" s="29">
        <v>60640000</v>
      </c>
      <c r="J822" s="29">
        <v>10</v>
      </c>
      <c r="K822" s="29">
        <v>6064000</v>
      </c>
      <c r="L822" s="38" t="s">
        <v>52</v>
      </c>
      <c r="M822" s="39">
        <v>43074</v>
      </c>
      <c r="N822" s="40" t="s">
        <v>1341</v>
      </c>
      <c r="O822" s="35"/>
      <c r="P822" s="36"/>
      <c r="Q822" s="36"/>
      <c r="T822" s="36"/>
    </row>
    <row r="823" spans="1:20" s="37" customFormat="1" ht="18.75" customHeight="1">
      <c r="A823" s="29">
        <f t="shared" si="15"/>
        <v>802</v>
      </c>
      <c r="B823" s="30"/>
      <c r="C823" s="30" t="s">
        <v>502</v>
      </c>
      <c r="D823" s="30" t="s">
        <v>1369</v>
      </c>
      <c r="E823" s="31">
        <v>43046</v>
      </c>
      <c r="F823" s="30" t="s">
        <v>127</v>
      </c>
      <c r="G823" s="30" t="s">
        <v>128</v>
      </c>
      <c r="H823" s="30" t="s">
        <v>129</v>
      </c>
      <c r="I823" s="29">
        <v>454545</v>
      </c>
      <c r="J823" s="29">
        <v>10</v>
      </c>
      <c r="K823" s="29">
        <v>45455</v>
      </c>
      <c r="L823" s="38"/>
      <c r="M823" s="39"/>
      <c r="N823" s="40"/>
      <c r="O823" s="35"/>
      <c r="P823" s="36"/>
      <c r="Q823" s="36"/>
      <c r="T823" s="36"/>
    </row>
    <row r="824" spans="1:20" s="37" customFormat="1" ht="18.75" customHeight="1">
      <c r="A824" s="29">
        <f t="shared" si="15"/>
        <v>803</v>
      </c>
      <c r="B824" s="30"/>
      <c r="C824" s="30" t="s">
        <v>833</v>
      </c>
      <c r="D824" s="30" t="s">
        <v>1370</v>
      </c>
      <c r="E824" s="31">
        <v>43046</v>
      </c>
      <c r="F824" s="30" t="s">
        <v>835</v>
      </c>
      <c r="G824" s="30" t="s">
        <v>836</v>
      </c>
      <c r="H824" s="30" t="s">
        <v>858</v>
      </c>
      <c r="I824" s="29">
        <v>320078</v>
      </c>
      <c r="J824" s="29">
        <v>10</v>
      </c>
      <c r="K824" s="29">
        <v>32008</v>
      </c>
      <c r="L824" s="38"/>
      <c r="M824" s="39"/>
      <c r="N824" s="40"/>
      <c r="O824" s="35"/>
      <c r="P824" s="36"/>
      <c r="Q824" s="36"/>
      <c r="T824" s="36"/>
    </row>
    <row r="825" spans="1:20" s="37" customFormat="1" ht="18.75" customHeight="1">
      <c r="A825" s="29">
        <f t="shared" si="15"/>
        <v>804</v>
      </c>
      <c r="B825" s="30"/>
      <c r="C825" s="30" t="s">
        <v>833</v>
      </c>
      <c r="D825" s="30" t="s">
        <v>1371</v>
      </c>
      <c r="E825" s="31">
        <v>43046</v>
      </c>
      <c r="F825" s="30" t="s">
        <v>835</v>
      </c>
      <c r="G825" s="30" t="s">
        <v>836</v>
      </c>
      <c r="H825" s="30" t="s">
        <v>858</v>
      </c>
      <c r="I825" s="29">
        <v>342688</v>
      </c>
      <c r="J825" s="29">
        <v>10</v>
      </c>
      <c r="K825" s="29">
        <v>34270</v>
      </c>
      <c r="L825" s="38"/>
      <c r="M825" s="39"/>
      <c r="N825" s="40"/>
      <c r="O825" s="35"/>
      <c r="P825" s="36"/>
      <c r="Q825" s="36"/>
      <c r="T825" s="36"/>
    </row>
    <row r="826" spans="1:20" s="37" customFormat="1" ht="18.75" customHeight="1">
      <c r="A826" s="29">
        <f t="shared" si="15"/>
        <v>805</v>
      </c>
      <c r="B826" s="30"/>
      <c r="C826" s="30" t="s">
        <v>112</v>
      </c>
      <c r="D826" s="30" t="s">
        <v>1372</v>
      </c>
      <c r="E826" s="31">
        <v>43046</v>
      </c>
      <c r="F826" s="30" t="s">
        <v>114</v>
      </c>
      <c r="G826" s="30" t="s">
        <v>115</v>
      </c>
      <c r="H826" s="30" t="s">
        <v>116</v>
      </c>
      <c r="I826" s="29">
        <v>10000</v>
      </c>
      <c r="J826" s="29">
        <v>10</v>
      </c>
      <c r="K826" s="29">
        <v>1000</v>
      </c>
      <c r="L826" s="38"/>
      <c r="M826" s="39"/>
      <c r="N826" s="40"/>
      <c r="O826" s="35"/>
      <c r="P826" s="36"/>
      <c r="Q826" s="36"/>
      <c r="T826" s="36"/>
    </row>
    <row r="827" spans="1:20" s="37" customFormat="1" ht="18.75" customHeight="1">
      <c r="A827" s="29">
        <f t="shared" si="15"/>
        <v>806</v>
      </c>
      <c r="B827" s="30"/>
      <c r="C827" s="30" t="s">
        <v>112</v>
      </c>
      <c r="D827" s="30" t="s">
        <v>1373</v>
      </c>
      <c r="E827" s="31">
        <v>43046</v>
      </c>
      <c r="F827" s="30" t="s">
        <v>114</v>
      </c>
      <c r="G827" s="30" t="s">
        <v>115</v>
      </c>
      <c r="H827" s="30" t="s">
        <v>116</v>
      </c>
      <c r="I827" s="29">
        <v>10000</v>
      </c>
      <c r="J827" s="29">
        <v>10</v>
      </c>
      <c r="K827" s="29">
        <v>1000</v>
      </c>
      <c r="L827" s="38"/>
      <c r="M827" s="39"/>
      <c r="N827" s="40"/>
      <c r="O827" s="35"/>
      <c r="P827" s="36"/>
      <c r="Q827" s="36"/>
      <c r="T827" s="36"/>
    </row>
    <row r="828" spans="1:20" s="37" customFormat="1" ht="18.75" customHeight="1">
      <c r="A828" s="29">
        <f t="shared" si="15"/>
        <v>807</v>
      </c>
      <c r="B828" s="30"/>
      <c r="C828" s="30" t="s">
        <v>119</v>
      </c>
      <c r="D828" s="30" t="s">
        <v>1374</v>
      </c>
      <c r="E828" s="31">
        <v>43047</v>
      </c>
      <c r="F828" s="30" t="s">
        <v>121</v>
      </c>
      <c r="G828" s="30" t="s">
        <v>122</v>
      </c>
      <c r="H828" s="30" t="s">
        <v>1375</v>
      </c>
      <c r="I828" s="29">
        <v>237701328</v>
      </c>
      <c r="J828" s="29">
        <v>10</v>
      </c>
      <c r="K828" s="29">
        <v>23770132</v>
      </c>
      <c r="L828" s="38" t="s">
        <v>52</v>
      </c>
      <c r="M828" s="39">
        <v>43052</v>
      </c>
      <c r="N828" s="40" t="s">
        <v>1341</v>
      </c>
      <c r="O828" s="35"/>
      <c r="P828" s="36"/>
      <c r="Q828" s="36"/>
      <c r="T828" s="36"/>
    </row>
    <row r="829" spans="1:20" s="37" customFormat="1" ht="18.75" customHeight="1">
      <c r="A829" s="29">
        <f t="shared" si="15"/>
        <v>808</v>
      </c>
      <c r="B829" s="30"/>
      <c r="C829" s="30" t="s">
        <v>119</v>
      </c>
      <c r="D829" s="30" t="s">
        <v>1300</v>
      </c>
      <c r="E829" s="31">
        <v>43047</v>
      </c>
      <c r="F829" s="30" t="s">
        <v>121</v>
      </c>
      <c r="G829" s="30" t="s">
        <v>122</v>
      </c>
      <c r="H829" s="30" t="s">
        <v>1288</v>
      </c>
      <c r="I829" s="29">
        <v>314192743</v>
      </c>
      <c r="J829" s="29">
        <v>10</v>
      </c>
      <c r="K829" s="29">
        <v>31419274</v>
      </c>
      <c r="L829" s="38" t="s">
        <v>52</v>
      </c>
      <c r="M829" s="39">
        <v>43052</v>
      </c>
      <c r="N829" s="40" t="s">
        <v>1341</v>
      </c>
      <c r="O829" s="35"/>
      <c r="P829" s="36"/>
      <c r="Q829" s="36"/>
      <c r="T829" s="36"/>
    </row>
    <row r="830" spans="1:20" s="37" customFormat="1" ht="18.75" customHeight="1">
      <c r="A830" s="29">
        <f t="shared" si="15"/>
        <v>809</v>
      </c>
      <c r="B830" s="30"/>
      <c r="C830" s="30" t="s">
        <v>833</v>
      </c>
      <c r="D830" s="30" t="s">
        <v>1376</v>
      </c>
      <c r="E830" s="31">
        <v>43047</v>
      </c>
      <c r="F830" s="30" t="s">
        <v>835</v>
      </c>
      <c r="G830" s="30" t="s">
        <v>836</v>
      </c>
      <c r="H830" s="30" t="s">
        <v>858</v>
      </c>
      <c r="I830" s="29">
        <v>513143</v>
      </c>
      <c r="J830" s="29">
        <v>10</v>
      </c>
      <c r="K830" s="29">
        <v>51314</v>
      </c>
      <c r="L830" s="38"/>
      <c r="M830" s="39"/>
      <c r="N830" s="40"/>
      <c r="O830" s="35"/>
      <c r="P830" s="36"/>
      <c r="Q830" s="36"/>
      <c r="T830" s="36"/>
    </row>
    <row r="831" spans="1:20" s="37" customFormat="1" ht="18.75" customHeight="1">
      <c r="A831" s="29">
        <f t="shared" si="15"/>
        <v>810</v>
      </c>
      <c r="B831" s="30"/>
      <c r="C831" s="30" t="s">
        <v>204</v>
      </c>
      <c r="D831" s="30" t="s">
        <v>1377</v>
      </c>
      <c r="E831" s="31">
        <v>43048</v>
      </c>
      <c r="F831" s="30" t="s">
        <v>206</v>
      </c>
      <c r="G831" s="30" t="s">
        <v>207</v>
      </c>
      <c r="H831" s="30" t="s">
        <v>1378</v>
      </c>
      <c r="I831" s="29">
        <v>139233185</v>
      </c>
      <c r="J831" s="29">
        <v>10</v>
      </c>
      <c r="K831" s="29">
        <v>13923319</v>
      </c>
      <c r="L831" s="38" t="s">
        <v>52</v>
      </c>
      <c r="M831" s="39">
        <v>43061</v>
      </c>
      <c r="N831" s="40" t="s">
        <v>1341</v>
      </c>
      <c r="O831" s="35"/>
      <c r="P831" s="36"/>
      <c r="Q831" s="36"/>
      <c r="T831" s="36"/>
    </row>
    <row r="832" spans="1:20" s="37" customFormat="1" ht="18.75" customHeight="1">
      <c r="A832" s="29">
        <f t="shared" si="15"/>
        <v>811</v>
      </c>
      <c r="B832" s="30"/>
      <c r="C832" s="30" t="s">
        <v>226</v>
      </c>
      <c r="D832" s="30" t="s">
        <v>1379</v>
      </c>
      <c r="E832" s="31">
        <v>43048</v>
      </c>
      <c r="F832" s="30" t="s">
        <v>228</v>
      </c>
      <c r="G832" s="30" t="s">
        <v>229</v>
      </c>
      <c r="H832" s="30" t="s">
        <v>1380</v>
      </c>
      <c r="I832" s="29">
        <v>14877000</v>
      </c>
      <c r="J832" s="29">
        <v>10</v>
      </c>
      <c r="K832" s="29">
        <v>1487700</v>
      </c>
      <c r="L832" s="38"/>
      <c r="M832" s="39"/>
      <c r="N832" s="40"/>
      <c r="O832" s="35"/>
      <c r="P832" s="36"/>
      <c r="Q832" s="36"/>
      <c r="T832" s="36"/>
    </row>
    <row r="833" spans="1:20" s="37" customFormat="1" ht="18.75" customHeight="1">
      <c r="A833" s="29">
        <f t="shared" si="15"/>
        <v>812</v>
      </c>
      <c r="B833" s="30"/>
      <c r="C833" s="30" t="s">
        <v>1335</v>
      </c>
      <c r="D833" s="30" t="s">
        <v>1381</v>
      </c>
      <c r="E833" s="31">
        <v>43048</v>
      </c>
      <c r="F833" s="30" t="s">
        <v>1337</v>
      </c>
      <c r="G833" s="30" t="s">
        <v>1338</v>
      </c>
      <c r="H833" s="30" t="s">
        <v>667</v>
      </c>
      <c r="I833" s="29">
        <v>398455</v>
      </c>
      <c r="J833" s="29">
        <v>10</v>
      </c>
      <c r="K833" s="29">
        <v>39846</v>
      </c>
      <c r="L833" s="38"/>
      <c r="M833" s="39"/>
      <c r="N833" s="40"/>
      <c r="O833" s="35"/>
      <c r="P833" s="36"/>
      <c r="Q833" s="36"/>
      <c r="T833" s="36"/>
    </row>
    <row r="834" spans="1:20" s="37" customFormat="1" ht="18.75" customHeight="1">
      <c r="A834" s="29">
        <f t="shared" si="15"/>
        <v>813</v>
      </c>
      <c r="B834" s="30"/>
      <c r="C834" s="30" t="s">
        <v>100</v>
      </c>
      <c r="D834" s="30" t="s">
        <v>1382</v>
      </c>
      <c r="E834" s="31">
        <v>43048</v>
      </c>
      <c r="F834" s="30" t="s">
        <v>102</v>
      </c>
      <c r="G834" s="30" t="s">
        <v>103</v>
      </c>
      <c r="H834" s="30" t="s">
        <v>377</v>
      </c>
      <c r="I834" s="29">
        <v>1750000</v>
      </c>
      <c r="J834" s="29">
        <v>10</v>
      </c>
      <c r="K834" s="29">
        <v>175000</v>
      </c>
      <c r="L834" s="38"/>
      <c r="M834" s="39"/>
      <c r="N834" s="40"/>
      <c r="O834" s="35"/>
      <c r="P834" s="36"/>
      <c r="Q834" s="36"/>
      <c r="T834" s="36"/>
    </row>
    <row r="835" spans="1:20" s="37" customFormat="1" ht="18.75" customHeight="1">
      <c r="A835" s="29">
        <f t="shared" si="15"/>
        <v>814</v>
      </c>
      <c r="B835" s="30"/>
      <c r="C835" s="30" t="s">
        <v>762</v>
      </c>
      <c r="D835" s="30" t="s">
        <v>1383</v>
      </c>
      <c r="E835" s="31">
        <v>43049</v>
      </c>
      <c r="F835" s="30" t="s">
        <v>764</v>
      </c>
      <c r="G835" s="30" t="s">
        <v>765</v>
      </c>
      <c r="H835" s="30" t="s">
        <v>781</v>
      </c>
      <c r="I835" s="29">
        <v>18000000</v>
      </c>
      <c r="J835" s="29">
        <v>10</v>
      </c>
      <c r="K835" s="29">
        <v>1800000</v>
      </c>
      <c r="L835" s="38"/>
      <c r="M835" s="39"/>
      <c r="N835" s="40"/>
      <c r="O835" s="35"/>
      <c r="P835" s="36"/>
      <c r="Q835" s="36"/>
      <c r="T835" s="36"/>
    </row>
    <row r="836" spans="1:20" s="37" customFormat="1" ht="18.75" customHeight="1">
      <c r="A836" s="29">
        <f t="shared" si="15"/>
        <v>815</v>
      </c>
      <c r="B836" s="30"/>
      <c r="C836" s="30" t="s">
        <v>162</v>
      </c>
      <c r="D836" s="30" t="s">
        <v>1384</v>
      </c>
      <c r="E836" s="31">
        <v>43049</v>
      </c>
      <c r="F836" s="30" t="s">
        <v>164</v>
      </c>
      <c r="G836" s="30" t="s">
        <v>165</v>
      </c>
      <c r="H836" s="30" t="s">
        <v>166</v>
      </c>
      <c r="I836" s="29">
        <v>33830806</v>
      </c>
      <c r="J836" s="29">
        <v>10</v>
      </c>
      <c r="K836" s="29">
        <v>3383081</v>
      </c>
      <c r="L836" s="38" t="s">
        <v>52</v>
      </c>
      <c r="M836" s="39">
        <v>43089</v>
      </c>
      <c r="N836" s="40" t="s">
        <v>1341</v>
      </c>
      <c r="O836" s="35"/>
      <c r="P836" s="36"/>
      <c r="Q836" s="36"/>
      <c r="T836" s="36"/>
    </row>
    <row r="837" spans="1:20" s="37" customFormat="1" ht="18.75" customHeight="1">
      <c r="A837" s="29">
        <f t="shared" si="15"/>
        <v>816</v>
      </c>
      <c r="B837" s="30"/>
      <c r="C837" s="30" t="s">
        <v>502</v>
      </c>
      <c r="D837" s="30" t="s">
        <v>1385</v>
      </c>
      <c r="E837" s="31">
        <v>43049</v>
      </c>
      <c r="F837" s="30" t="s">
        <v>666</v>
      </c>
      <c r="G837" s="30" t="s">
        <v>363</v>
      </c>
      <c r="H837" s="30" t="s">
        <v>667</v>
      </c>
      <c r="I837" s="29">
        <v>2656364</v>
      </c>
      <c r="J837" s="29">
        <v>10</v>
      </c>
      <c r="K837" s="29">
        <v>265636</v>
      </c>
      <c r="L837" s="38"/>
      <c r="M837" s="39"/>
      <c r="N837" s="40"/>
      <c r="O837" s="35"/>
      <c r="P837" s="36"/>
      <c r="Q837" s="36"/>
      <c r="T837" s="36"/>
    </row>
    <row r="838" spans="1:20" s="37" customFormat="1" ht="18.75" customHeight="1">
      <c r="A838" s="29">
        <f t="shared" si="15"/>
        <v>817</v>
      </c>
      <c r="B838" s="30"/>
      <c r="C838" s="30" t="s">
        <v>502</v>
      </c>
      <c r="D838" s="30" t="s">
        <v>1386</v>
      </c>
      <c r="E838" s="31">
        <v>43050</v>
      </c>
      <c r="F838" s="30" t="s">
        <v>127</v>
      </c>
      <c r="G838" s="30" t="s">
        <v>128</v>
      </c>
      <c r="H838" s="30" t="s">
        <v>129</v>
      </c>
      <c r="I838" s="29">
        <v>454545</v>
      </c>
      <c r="J838" s="29">
        <v>10</v>
      </c>
      <c r="K838" s="29">
        <v>45455</v>
      </c>
      <c r="L838" s="38"/>
      <c r="M838" s="39"/>
      <c r="N838" s="40"/>
      <c r="O838" s="35"/>
      <c r="P838" s="36"/>
      <c r="Q838" s="36"/>
      <c r="T838" s="36"/>
    </row>
    <row r="839" spans="1:20" s="37" customFormat="1" ht="18.75" customHeight="1">
      <c r="A839" s="29">
        <f t="shared" si="15"/>
        <v>818</v>
      </c>
      <c r="B839" s="30"/>
      <c r="C839" s="30" t="s">
        <v>726</v>
      </c>
      <c r="D839" s="30" t="s">
        <v>1387</v>
      </c>
      <c r="E839" s="31">
        <v>43052</v>
      </c>
      <c r="F839" s="30" t="s">
        <v>63</v>
      </c>
      <c r="G839" s="30" t="s">
        <v>64</v>
      </c>
      <c r="H839" s="30" t="s">
        <v>1388</v>
      </c>
      <c r="I839" s="29">
        <v>11636364</v>
      </c>
      <c r="J839" s="29">
        <v>10</v>
      </c>
      <c r="K839" s="29">
        <v>1163636</v>
      </c>
      <c r="L839" s="38"/>
      <c r="M839" s="39"/>
      <c r="N839" s="40"/>
      <c r="O839" s="35"/>
      <c r="P839" s="36"/>
      <c r="Q839" s="36"/>
      <c r="T839" s="36"/>
    </row>
    <row r="840" spans="1:20" s="37" customFormat="1" ht="18.75" customHeight="1">
      <c r="A840" s="29">
        <f t="shared" si="15"/>
        <v>819</v>
      </c>
      <c r="B840" s="30"/>
      <c r="C840" s="30" t="s">
        <v>1389</v>
      </c>
      <c r="D840" s="30" t="s">
        <v>1390</v>
      </c>
      <c r="E840" s="31">
        <v>43052</v>
      </c>
      <c r="F840" s="30" t="s">
        <v>1391</v>
      </c>
      <c r="G840" s="30" t="s">
        <v>1392</v>
      </c>
      <c r="H840" s="30" t="s">
        <v>1393</v>
      </c>
      <c r="I840" s="29">
        <v>12915000</v>
      </c>
      <c r="J840" s="29">
        <v>10</v>
      </c>
      <c r="K840" s="29">
        <v>1291500</v>
      </c>
      <c r="L840" s="38"/>
      <c r="M840" s="39"/>
      <c r="N840" s="40"/>
      <c r="O840" s="35"/>
      <c r="P840" s="36"/>
      <c r="Q840" s="36"/>
      <c r="T840" s="36"/>
    </row>
    <row r="841" spans="1:20" s="37" customFormat="1" ht="18.75" customHeight="1">
      <c r="A841" s="29">
        <f t="shared" si="15"/>
        <v>820</v>
      </c>
      <c r="B841" s="30"/>
      <c r="C841" s="30" t="s">
        <v>204</v>
      </c>
      <c r="D841" s="30" t="s">
        <v>1394</v>
      </c>
      <c r="E841" s="31">
        <v>43052</v>
      </c>
      <c r="F841" s="30" t="s">
        <v>206</v>
      </c>
      <c r="G841" s="30" t="s">
        <v>207</v>
      </c>
      <c r="H841" s="30" t="s">
        <v>1395</v>
      </c>
      <c r="I841" s="29">
        <v>528801000</v>
      </c>
      <c r="J841" s="29">
        <v>10</v>
      </c>
      <c r="K841" s="29">
        <v>52880100</v>
      </c>
      <c r="L841" s="38" t="s">
        <v>52</v>
      </c>
      <c r="M841" s="39">
        <v>43061</v>
      </c>
      <c r="N841" s="40" t="s">
        <v>1341</v>
      </c>
      <c r="O841" s="35"/>
      <c r="P841" s="36"/>
      <c r="Q841" s="36"/>
      <c r="T841" s="36"/>
    </row>
    <row r="842" spans="1:20" s="37" customFormat="1" ht="18.75" customHeight="1">
      <c r="A842" s="29">
        <f t="shared" si="15"/>
        <v>821</v>
      </c>
      <c r="B842" s="30"/>
      <c r="C842" s="30" t="s">
        <v>119</v>
      </c>
      <c r="D842" s="30" t="s">
        <v>1396</v>
      </c>
      <c r="E842" s="31">
        <v>43052</v>
      </c>
      <c r="F842" s="30" t="s">
        <v>121</v>
      </c>
      <c r="G842" s="30" t="s">
        <v>122</v>
      </c>
      <c r="H842" s="30" t="s">
        <v>1397</v>
      </c>
      <c r="I842" s="29">
        <v>322327460</v>
      </c>
      <c r="J842" s="29">
        <v>10</v>
      </c>
      <c r="K842" s="29">
        <v>32232746</v>
      </c>
      <c r="L842" s="38" t="s">
        <v>52</v>
      </c>
      <c r="M842" s="39">
        <v>43056</v>
      </c>
      <c r="N842" s="40" t="s">
        <v>1341</v>
      </c>
      <c r="O842" s="35"/>
      <c r="P842" s="36"/>
      <c r="Q842" s="36"/>
      <c r="T842" s="36"/>
    </row>
    <row r="843" spans="1:20" s="37" customFormat="1" ht="18.75" customHeight="1">
      <c r="A843" s="29">
        <f t="shared" si="15"/>
        <v>822</v>
      </c>
      <c r="B843" s="30"/>
      <c r="C843" s="30" t="s">
        <v>291</v>
      </c>
      <c r="D843" s="30" t="s">
        <v>1398</v>
      </c>
      <c r="E843" s="31">
        <v>43052</v>
      </c>
      <c r="F843" s="30" t="s">
        <v>293</v>
      </c>
      <c r="G843" s="30" t="s">
        <v>294</v>
      </c>
      <c r="H843" s="30" t="s">
        <v>134</v>
      </c>
      <c r="I843" s="29">
        <v>1470000</v>
      </c>
      <c r="J843" s="29">
        <v>10</v>
      </c>
      <c r="K843" s="29">
        <v>147000</v>
      </c>
      <c r="L843" s="38"/>
      <c r="M843" s="39"/>
      <c r="N843" s="40"/>
      <c r="O843" s="35"/>
      <c r="P843" s="36"/>
      <c r="Q843" s="36"/>
      <c r="T843" s="36"/>
    </row>
    <row r="844" spans="1:20" s="37" customFormat="1" ht="18.75" customHeight="1">
      <c r="A844" s="29">
        <f t="shared" si="15"/>
        <v>823</v>
      </c>
      <c r="B844" s="30"/>
      <c r="C844" s="30" t="s">
        <v>468</v>
      </c>
      <c r="D844" s="30" t="s">
        <v>1399</v>
      </c>
      <c r="E844" s="31">
        <v>43052</v>
      </c>
      <c r="F844" s="30" t="s">
        <v>159</v>
      </c>
      <c r="G844" s="30" t="s">
        <v>160</v>
      </c>
      <c r="H844" s="30" t="s">
        <v>161</v>
      </c>
      <c r="I844" s="29">
        <v>9000000</v>
      </c>
      <c r="J844" s="29">
        <v>10</v>
      </c>
      <c r="K844" s="29">
        <v>900000</v>
      </c>
      <c r="L844" s="38"/>
      <c r="M844" s="39"/>
      <c r="N844" s="40"/>
      <c r="O844" s="35"/>
      <c r="P844" s="36"/>
      <c r="Q844" s="36"/>
      <c r="T844" s="36"/>
    </row>
    <row r="845" spans="1:20" s="37" customFormat="1" ht="18.75" customHeight="1">
      <c r="A845" s="29">
        <f t="shared" si="15"/>
        <v>824</v>
      </c>
      <c r="B845" s="30"/>
      <c r="C845" s="30" t="s">
        <v>112</v>
      </c>
      <c r="D845" s="30" t="s">
        <v>1400</v>
      </c>
      <c r="E845" s="31">
        <v>43052</v>
      </c>
      <c r="F845" s="30" t="s">
        <v>114</v>
      </c>
      <c r="G845" s="30" t="s">
        <v>115</v>
      </c>
      <c r="H845" s="30" t="s">
        <v>116</v>
      </c>
      <c r="I845" s="29">
        <v>30000</v>
      </c>
      <c r="J845" s="29">
        <v>10</v>
      </c>
      <c r="K845" s="29">
        <v>3000</v>
      </c>
      <c r="L845" s="38"/>
      <c r="M845" s="39"/>
      <c r="N845" s="40"/>
      <c r="O845" s="35"/>
      <c r="P845" s="36"/>
      <c r="Q845" s="36"/>
      <c r="T845" s="36"/>
    </row>
    <row r="846" spans="1:20" s="37" customFormat="1" ht="18.75" customHeight="1">
      <c r="A846" s="29">
        <f t="shared" si="15"/>
        <v>825</v>
      </c>
      <c r="B846" s="30"/>
      <c r="C846" s="30" t="s">
        <v>112</v>
      </c>
      <c r="D846" s="30" t="s">
        <v>1401</v>
      </c>
      <c r="E846" s="31">
        <v>43052</v>
      </c>
      <c r="F846" s="30" t="s">
        <v>114</v>
      </c>
      <c r="G846" s="30" t="s">
        <v>115</v>
      </c>
      <c r="H846" s="30" t="s">
        <v>116</v>
      </c>
      <c r="I846" s="29">
        <v>20000</v>
      </c>
      <c r="J846" s="29">
        <v>10</v>
      </c>
      <c r="K846" s="29">
        <v>2000</v>
      </c>
      <c r="L846" s="38"/>
      <c r="M846" s="39"/>
      <c r="N846" s="40"/>
      <c r="O846" s="35"/>
      <c r="P846" s="36"/>
      <c r="Q846" s="36"/>
      <c r="T846" s="36"/>
    </row>
    <row r="847" spans="1:20" s="37" customFormat="1" ht="18.75" customHeight="1">
      <c r="A847" s="29">
        <f t="shared" si="15"/>
        <v>826</v>
      </c>
      <c r="B847" s="30"/>
      <c r="C847" s="30" t="s">
        <v>112</v>
      </c>
      <c r="D847" s="30" t="s">
        <v>1402</v>
      </c>
      <c r="E847" s="31">
        <v>43052</v>
      </c>
      <c r="F847" s="30" t="s">
        <v>114</v>
      </c>
      <c r="G847" s="30" t="s">
        <v>115</v>
      </c>
      <c r="H847" s="30" t="s">
        <v>116</v>
      </c>
      <c r="I847" s="29">
        <v>20000</v>
      </c>
      <c r="J847" s="29">
        <v>10</v>
      </c>
      <c r="K847" s="29">
        <v>2000</v>
      </c>
      <c r="L847" s="38"/>
      <c r="M847" s="39"/>
      <c r="N847" s="40"/>
      <c r="O847" s="35"/>
      <c r="P847" s="36"/>
      <c r="Q847" s="36"/>
      <c r="T847" s="36"/>
    </row>
    <row r="848" spans="1:20" s="37" customFormat="1" ht="18.75" customHeight="1">
      <c r="A848" s="29">
        <f t="shared" si="15"/>
        <v>827</v>
      </c>
      <c r="B848" s="30"/>
      <c r="C848" s="30" t="s">
        <v>112</v>
      </c>
      <c r="D848" s="30" t="s">
        <v>1403</v>
      </c>
      <c r="E848" s="31">
        <v>43052</v>
      </c>
      <c r="F848" s="30" t="s">
        <v>114</v>
      </c>
      <c r="G848" s="30" t="s">
        <v>115</v>
      </c>
      <c r="H848" s="30" t="s">
        <v>116</v>
      </c>
      <c r="I848" s="29">
        <v>20000</v>
      </c>
      <c r="J848" s="29">
        <v>10</v>
      </c>
      <c r="K848" s="29">
        <v>2000</v>
      </c>
      <c r="L848" s="38"/>
      <c r="M848" s="39"/>
      <c r="N848" s="40"/>
      <c r="O848" s="35"/>
      <c r="P848" s="36"/>
      <c r="Q848" s="36"/>
      <c r="T848" s="36"/>
    </row>
    <row r="849" spans="1:20" s="37" customFormat="1" ht="18.75" customHeight="1">
      <c r="A849" s="29">
        <f t="shared" si="15"/>
        <v>828</v>
      </c>
      <c r="B849" s="30"/>
      <c r="C849" s="30" t="s">
        <v>261</v>
      </c>
      <c r="D849" s="30" t="s">
        <v>1404</v>
      </c>
      <c r="E849" s="31">
        <v>43053</v>
      </c>
      <c r="F849" s="30" t="s">
        <v>139</v>
      </c>
      <c r="G849" s="30" t="s">
        <v>140</v>
      </c>
      <c r="H849" s="30" t="s">
        <v>1405</v>
      </c>
      <c r="I849" s="29">
        <v>1208352</v>
      </c>
      <c r="J849" s="29">
        <v>10</v>
      </c>
      <c r="K849" s="29">
        <v>120835</v>
      </c>
      <c r="L849" s="38"/>
      <c r="M849" s="39"/>
      <c r="N849" s="40"/>
      <c r="O849" s="35"/>
      <c r="P849" s="36"/>
      <c r="Q849" s="36"/>
      <c r="T849" s="36"/>
    </row>
    <row r="850" spans="1:20" s="37" customFormat="1" ht="18.75" customHeight="1">
      <c r="A850" s="29">
        <f t="shared" si="15"/>
        <v>829</v>
      </c>
      <c r="B850" s="30"/>
      <c r="C850" s="30" t="s">
        <v>261</v>
      </c>
      <c r="D850" s="30" t="s">
        <v>1406</v>
      </c>
      <c r="E850" s="31">
        <v>43053</v>
      </c>
      <c r="F850" s="30" t="s">
        <v>139</v>
      </c>
      <c r="G850" s="30" t="s">
        <v>140</v>
      </c>
      <c r="H850" s="30" t="s">
        <v>1405</v>
      </c>
      <c r="I850" s="29">
        <v>426364</v>
      </c>
      <c r="J850" s="29">
        <v>10</v>
      </c>
      <c r="K850" s="29">
        <v>42636</v>
      </c>
      <c r="L850" s="38"/>
      <c r="M850" s="39"/>
      <c r="N850" s="40"/>
      <c r="O850" s="35"/>
      <c r="P850" s="36"/>
      <c r="Q850" s="36"/>
      <c r="T850" s="36"/>
    </row>
    <row r="851" spans="1:20" s="37" customFormat="1" ht="18.75" customHeight="1">
      <c r="A851" s="29">
        <f t="shared" si="15"/>
        <v>830</v>
      </c>
      <c r="B851" s="30"/>
      <c r="C851" s="30" t="s">
        <v>261</v>
      </c>
      <c r="D851" s="30" t="s">
        <v>1407</v>
      </c>
      <c r="E851" s="31">
        <v>43053</v>
      </c>
      <c r="F851" s="30" t="s">
        <v>139</v>
      </c>
      <c r="G851" s="30" t="s">
        <v>140</v>
      </c>
      <c r="H851" s="30" t="s">
        <v>1405</v>
      </c>
      <c r="I851" s="29">
        <v>308564</v>
      </c>
      <c r="J851" s="29">
        <v>10</v>
      </c>
      <c r="K851" s="29">
        <v>30856</v>
      </c>
      <c r="L851" s="38"/>
      <c r="M851" s="39"/>
      <c r="N851" s="40"/>
      <c r="O851" s="35"/>
      <c r="P851" s="36"/>
      <c r="Q851" s="36"/>
      <c r="T851" s="36"/>
    </row>
    <row r="852" spans="1:20" s="37" customFormat="1" ht="18.75" customHeight="1">
      <c r="A852" s="29">
        <f t="shared" si="15"/>
        <v>831</v>
      </c>
      <c r="B852" s="30"/>
      <c r="C852" s="30" t="s">
        <v>119</v>
      </c>
      <c r="D852" s="30" t="s">
        <v>1408</v>
      </c>
      <c r="E852" s="31">
        <v>43054</v>
      </c>
      <c r="F852" s="30" t="s">
        <v>121</v>
      </c>
      <c r="G852" s="30" t="s">
        <v>122</v>
      </c>
      <c r="H852" s="30" t="s">
        <v>212</v>
      </c>
      <c r="I852" s="29">
        <v>495458770</v>
      </c>
      <c r="J852" s="29">
        <v>10</v>
      </c>
      <c r="K852" s="29">
        <v>49545877</v>
      </c>
      <c r="L852" s="38" t="s">
        <v>52</v>
      </c>
      <c r="M852" s="39">
        <v>43056</v>
      </c>
      <c r="N852" s="40" t="s">
        <v>1341</v>
      </c>
      <c r="O852" s="35"/>
      <c r="P852" s="36"/>
      <c r="Q852" s="36"/>
      <c r="T852" s="36"/>
    </row>
    <row r="853" spans="1:20" s="37" customFormat="1" ht="18.75" customHeight="1">
      <c r="A853" s="29">
        <f t="shared" si="15"/>
        <v>832</v>
      </c>
      <c r="B853" s="30"/>
      <c r="C853" s="30" t="s">
        <v>93</v>
      </c>
      <c r="D853" s="30" t="s">
        <v>1409</v>
      </c>
      <c r="E853" s="31">
        <v>43054</v>
      </c>
      <c r="F853" s="30" t="s">
        <v>49</v>
      </c>
      <c r="G853" s="30" t="s">
        <v>50</v>
      </c>
      <c r="H853" s="30" t="s">
        <v>864</v>
      </c>
      <c r="I853" s="29">
        <v>144480000</v>
      </c>
      <c r="J853" s="29">
        <v>10</v>
      </c>
      <c r="K853" s="29">
        <v>14448000</v>
      </c>
      <c r="L853" s="38" t="s">
        <v>52</v>
      </c>
      <c r="M853" s="39">
        <v>43074</v>
      </c>
      <c r="N853" s="40" t="s">
        <v>1341</v>
      </c>
      <c r="O853" s="35"/>
      <c r="P853" s="36"/>
      <c r="Q853" s="36"/>
      <c r="T853" s="36"/>
    </row>
    <row r="854" spans="1:20" s="37" customFormat="1" ht="18.75" customHeight="1">
      <c r="A854" s="29">
        <f t="shared" si="15"/>
        <v>833</v>
      </c>
      <c r="B854" s="30"/>
      <c r="C854" s="30" t="s">
        <v>119</v>
      </c>
      <c r="D854" s="30" t="s">
        <v>1410</v>
      </c>
      <c r="E854" s="31">
        <v>43055</v>
      </c>
      <c r="F854" s="30" t="s">
        <v>121</v>
      </c>
      <c r="G854" s="30" t="s">
        <v>122</v>
      </c>
      <c r="H854" s="30" t="s">
        <v>1411</v>
      </c>
      <c r="I854" s="29">
        <v>300278580</v>
      </c>
      <c r="J854" s="29">
        <v>10</v>
      </c>
      <c r="K854" s="29">
        <v>30027858</v>
      </c>
      <c r="L854" s="38" t="s">
        <v>52</v>
      </c>
      <c r="M854" s="39">
        <v>43056</v>
      </c>
      <c r="N854" s="40" t="s">
        <v>1341</v>
      </c>
      <c r="O854" s="35"/>
      <c r="P854" s="36"/>
      <c r="Q854" s="36"/>
      <c r="T854" s="36"/>
    </row>
    <row r="855" spans="1:20" s="37" customFormat="1" ht="18.75" customHeight="1">
      <c r="A855" s="29">
        <f t="shared" si="15"/>
        <v>834</v>
      </c>
      <c r="B855" s="30"/>
      <c r="C855" s="30" t="s">
        <v>119</v>
      </c>
      <c r="D855" s="30" t="s">
        <v>1412</v>
      </c>
      <c r="E855" s="31">
        <v>43055</v>
      </c>
      <c r="F855" s="30" t="s">
        <v>121</v>
      </c>
      <c r="G855" s="30" t="s">
        <v>122</v>
      </c>
      <c r="H855" s="30" t="s">
        <v>1413</v>
      </c>
      <c r="I855" s="29">
        <v>247701466</v>
      </c>
      <c r="J855" s="29">
        <v>10</v>
      </c>
      <c r="K855" s="29">
        <v>24770146</v>
      </c>
      <c r="L855" s="38" t="s">
        <v>52</v>
      </c>
      <c r="M855" s="39">
        <v>43056</v>
      </c>
      <c r="N855" s="40" t="s">
        <v>1341</v>
      </c>
      <c r="O855" s="35"/>
      <c r="P855" s="36"/>
      <c r="Q855" s="36"/>
      <c r="T855" s="36"/>
    </row>
    <row r="856" spans="1:20" s="37" customFormat="1" ht="18.75" customHeight="1">
      <c r="A856" s="29">
        <f t="shared" si="15"/>
        <v>835</v>
      </c>
      <c r="B856" s="30"/>
      <c r="C856" s="30" t="s">
        <v>167</v>
      </c>
      <c r="D856" s="30" t="s">
        <v>1414</v>
      </c>
      <c r="E856" s="31">
        <v>43056</v>
      </c>
      <c r="F856" s="30" t="s">
        <v>336</v>
      </c>
      <c r="G856" s="30" t="s">
        <v>337</v>
      </c>
      <c r="H856" s="30" t="s">
        <v>1415</v>
      </c>
      <c r="I856" s="29">
        <v>494834340</v>
      </c>
      <c r="J856" s="29">
        <v>10</v>
      </c>
      <c r="K856" s="29">
        <v>49483434</v>
      </c>
      <c r="L856" s="38" t="s">
        <v>52</v>
      </c>
      <c r="M856" s="39">
        <v>43061</v>
      </c>
      <c r="N856" s="40" t="s">
        <v>1341</v>
      </c>
      <c r="O856" s="35"/>
      <c r="P856" s="36"/>
      <c r="Q856" s="36"/>
      <c r="T856" s="36"/>
    </row>
    <row r="857" spans="1:20" s="37" customFormat="1" ht="18.75" customHeight="1">
      <c r="A857" s="29">
        <f t="shared" si="15"/>
        <v>836</v>
      </c>
      <c r="B857" s="30"/>
      <c r="C857" s="30" t="s">
        <v>119</v>
      </c>
      <c r="D857" s="30" t="s">
        <v>1416</v>
      </c>
      <c r="E857" s="31">
        <v>43056</v>
      </c>
      <c r="F857" s="30" t="s">
        <v>121</v>
      </c>
      <c r="G857" s="30" t="s">
        <v>122</v>
      </c>
      <c r="H857" s="30" t="s">
        <v>212</v>
      </c>
      <c r="I857" s="29">
        <v>476610103</v>
      </c>
      <c r="J857" s="29">
        <v>10</v>
      </c>
      <c r="K857" s="29">
        <v>47661010</v>
      </c>
      <c r="L857" s="38" t="s">
        <v>52</v>
      </c>
      <c r="M857" s="39">
        <v>43074</v>
      </c>
      <c r="N857" s="40" t="s">
        <v>1341</v>
      </c>
      <c r="O857" s="35"/>
      <c r="P857" s="36"/>
      <c r="Q857" s="36"/>
      <c r="T857" s="36"/>
    </row>
    <row r="858" spans="1:20" s="37" customFormat="1" ht="18.75" customHeight="1">
      <c r="A858" s="29">
        <f t="shared" si="15"/>
        <v>837</v>
      </c>
      <c r="B858" s="30"/>
      <c r="C858" s="30" t="s">
        <v>502</v>
      </c>
      <c r="D858" s="30" t="s">
        <v>1417</v>
      </c>
      <c r="E858" s="31">
        <v>43056</v>
      </c>
      <c r="F858" s="30" t="s">
        <v>127</v>
      </c>
      <c r="G858" s="30" t="s">
        <v>128</v>
      </c>
      <c r="H858" s="30" t="s">
        <v>129</v>
      </c>
      <c r="I858" s="29">
        <v>454545</v>
      </c>
      <c r="J858" s="29">
        <v>10</v>
      </c>
      <c r="K858" s="29">
        <v>45455</v>
      </c>
      <c r="L858" s="38"/>
      <c r="M858" s="39"/>
      <c r="N858" s="40"/>
      <c r="O858" s="35"/>
      <c r="P858" s="36"/>
      <c r="Q858" s="36"/>
      <c r="T858" s="36"/>
    </row>
    <row r="859" spans="1:20" s="37" customFormat="1" ht="18.75" customHeight="1">
      <c r="A859" s="29">
        <f t="shared" si="15"/>
        <v>838</v>
      </c>
      <c r="B859" s="30"/>
      <c r="C859" s="30" t="s">
        <v>112</v>
      </c>
      <c r="D859" s="30" t="s">
        <v>1418</v>
      </c>
      <c r="E859" s="31">
        <v>43056</v>
      </c>
      <c r="F859" s="30" t="s">
        <v>114</v>
      </c>
      <c r="G859" s="30" t="s">
        <v>115</v>
      </c>
      <c r="H859" s="30" t="s">
        <v>116</v>
      </c>
      <c r="I859" s="29">
        <v>20000</v>
      </c>
      <c r="J859" s="29">
        <v>10</v>
      </c>
      <c r="K859" s="29">
        <v>2000</v>
      </c>
      <c r="L859" s="38"/>
      <c r="M859" s="39"/>
      <c r="N859" s="40"/>
      <c r="O859" s="35"/>
      <c r="P859" s="36"/>
      <c r="Q859" s="36"/>
      <c r="T859" s="36"/>
    </row>
    <row r="860" spans="1:20" s="37" customFormat="1" ht="18.75" customHeight="1">
      <c r="A860" s="29">
        <f t="shared" si="15"/>
        <v>839</v>
      </c>
      <c r="B860" s="30"/>
      <c r="C860" s="30" t="s">
        <v>112</v>
      </c>
      <c r="D860" s="30" t="s">
        <v>1419</v>
      </c>
      <c r="E860" s="31">
        <v>43056</v>
      </c>
      <c r="F860" s="30" t="s">
        <v>114</v>
      </c>
      <c r="G860" s="30" t="s">
        <v>115</v>
      </c>
      <c r="H860" s="30" t="s">
        <v>116</v>
      </c>
      <c r="I860" s="29">
        <v>10000</v>
      </c>
      <c r="J860" s="29">
        <v>10</v>
      </c>
      <c r="K860" s="29">
        <v>1000</v>
      </c>
      <c r="L860" s="38"/>
      <c r="M860" s="39"/>
      <c r="N860" s="40"/>
      <c r="O860" s="35"/>
      <c r="P860" s="36"/>
      <c r="Q860" s="36"/>
      <c r="T860" s="36"/>
    </row>
    <row r="861" spans="1:20" s="37" customFormat="1" ht="18.75" customHeight="1">
      <c r="A861" s="29">
        <f t="shared" si="15"/>
        <v>840</v>
      </c>
      <c r="B861" s="30"/>
      <c r="C861" s="30" t="s">
        <v>112</v>
      </c>
      <c r="D861" s="30" t="s">
        <v>768</v>
      </c>
      <c r="E861" s="31">
        <v>43056</v>
      </c>
      <c r="F861" s="30" t="s">
        <v>114</v>
      </c>
      <c r="G861" s="30" t="s">
        <v>115</v>
      </c>
      <c r="H861" s="30" t="s">
        <v>116</v>
      </c>
      <c r="I861" s="29">
        <v>20000</v>
      </c>
      <c r="J861" s="29">
        <v>10</v>
      </c>
      <c r="K861" s="29">
        <v>2000</v>
      </c>
      <c r="L861" s="38"/>
      <c r="M861" s="39"/>
      <c r="N861" s="40"/>
      <c r="O861" s="35"/>
      <c r="P861" s="36"/>
      <c r="Q861" s="36"/>
      <c r="T861" s="36"/>
    </row>
    <row r="862" spans="1:20" s="37" customFormat="1" ht="18.75" customHeight="1">
      <c r="A862" s="29">
        <f t="shared" si="15"/>
        <v>841</v>
      </c>
      <c r="B862" s="30"/>
      <c r="C862" s="30" t="s">
        <v>112</v>
      </c>
      <c r="D862" s="30" t="s">
        <v>769</v>
      </c>
      <c r="E862" s="31">
        <v>43056</v>
      </c>
      <c r="F862" s="30" t="s">
        <v>114</v>
      </c>
      <c r="G862" s="30" t="s">
        <v>115</v>
      </c>
      <c r="H862" s="30" t="s">
        <v>116</v>
      </c>
      <c r="I862" s="29">
        <v>20000</v>
      </c>
      <c r="J862" s="29">
        <v>10</v>
      </c>
      <c r="K862" s="29">
        <v>2000</v>
      </c>
      <c r="L862" s="38"/>
      <c r="M862" s="39"/>
      <c r="N862" s="40"/>
      <c r="O862" s="35"/>
      <c r="P862" s="36"/>
      <c r="Q862" s="36"/>
      <c r="T862" s="36"/>
    </row>
    <row r="863" spans="1:20" s="37" customFormat="1" ht="18.75" customHeight="1">
      <c r="A863" s="29">
        <f t="shared" ref="A863:A900" si="16">A862+1</f>
        <v>842</v>
      </c>
      <c r="B863" s="30"/>
      <c r="C863" s="30" t="s">
        <v>112</v>
      </c>
      <c r="D863" s="30" t="s">
        <v>770</v>
      </c>
      <c r="E863" s="31">
        <v>43056</v>
      </c>
      <c r="F863" s="30" t="s">
        <v>114</v>
      </c>
      <c r="G863" s="30" t="s">
        <v>115</v>
      </c>
      <c r="H863" s="30" t="s">
        <v>116</v>
      </c>
      <c r="I863" s="29">
        <v>10000</v>
      </c>
      <c r="J863" s="29">
        <v>10</v>
      </c>
      <c r="K863" s="29">
        <v>1000</v>
      </c>
      <c r="L863" s="38"/>
      <c r="M863" s="39"/>
      <c r="N863" s="40"/>
      <c r="O863" s="35"/>
      <c r="P863" s="36"/>
      <c r="Q863" s="36"/>
      <c r="T863" s="36"/>
    </row>
    <row r="864" spans="1:20" s="37" customFormat="1" ht="18.75" customHeight="1">
      <c r="A864" s="29">
        <f t="shared" si="16"/>
        <v>843</v>
      </c>
      <c r="B864" s="30"/>
      <c r="C864" s="30" t="s">
        <v>112</v>
      </c>
      <c r="D864" s="30" t="s">
        <v>771</v>
      </c>
      <c r="E864" s="31">
        <v>43056</v>
      </c>
      <c r="F864" s="30" t="s">
        <v>114</v>
      </c>
      <c r="G864" s="30" t="s">
        <v>115</v>
      </c>
      <c r="H864" s="30" t="s">
        <v>116</v>
      </c>
      <c r="I864" s="29">
        <v>20000</v>
      </c>
      <c r="J864" s="29">
        <v>10</v>
      </c>
      <c r="K864" s="29">
        <v>2000</v>
      </c>
      <c r="L864" s="38"/>
      <c r="M864" s="39"/>
      <c r="N864" s="40"/>
      <c r="O864" s="35"/>
      <c r="P864" s="36"/>
      <c r="Q864" s="36"/>
      <c r="T864" s="36"/>
    </row>
    <row r="865" spans="1:20" s="37" customFormat="1" ht="18.75" customHeight="1">
      <c r="A865" s="29">
        <f t="shared" si="16"/>
        <v>844</v>
      </c>
      <c r="B865" s="30"/>
      <c r="C865" s="30" t="s">
        <v>320</v>
      </c>
      <c r="D865" s="30" t="s">
        <v>1420</v>
      </c>
      <c r="E865" s="31">
        <v>43057</v>
      </c>
      <c r="F865" s="30" t="s">
        <v>372</v>
      </c>
      <c r="G865" s="30" t="s">
        <v>373</v>
      </c>
      <c r="H865" s="30" t="s">
        <v>1179</v>
      </c>
      <c r="I865" s="29">
        <v>56758127</v>
      </c>
      <c r="J865" s="29">
        <v>10</v>
      </c>
      <c r="K865" s="29">
        <v>5675812</v>
      </c>
      <c r="L865" s="38" t="s">
        <v>52</v>
      </c>
      <c r="M865" s="39">
        <v>43074</v>
      </c>
      <c r="N865" s="40" t="s">
        <v>1341</v>
      </c>
      <c r="O865" s="35"/>
      <c r="P865" s="36"/>
      <c r="Q865" s="36"/>
      <c r="T865" s="36"/>
    </row>
    <row r="866" spans="1:20" s="37" customFormat="1" ht="18.75" customHeight="1">
      <c r="A866" s="29">
        <f t="shared" si="16"/>
        <v>845</v>
      </c>
      <c r="B866" s="30"/>
      <c r="C866" s="30" t="s">
        <v>1421</v>
      </c>
      <c r="D866" s="30" t="s">
        <v>1422</v>
      </c>
      <c r="E866" s="31">
        <v>43058</v>
      </c>
      <c r="F866" s="30" t="s">
        <v>1423</v>
      </c>
      <c r="G866" s="30" t="s">
        <v>1424</v>
      </c>
      <c r="H866" s="30" t="s">
        <v>134</v>
      </c>
      <c r="I866" s="29">
        <v>1448000</v>
      </c>
      <c r="J866" s="29">
        <v>10</v>
      </c>
      <c r="K866" s="29">
        <v>144800</v>
      </c>
      <c r="L866" s="38"/>
      <c r="M866" s="39"/>
      <c r="N866" s="40"/>
      <c r="O866" s="35"/>
      <c r="P866" s="36"/>
      <c r="Q866" s="36"/>
      <c r="T866" s="36"/>
    </row>
    <row r="867" spans="1:20" s="37" customFormat="1" ht="18.75" customHeight="1">
      <c r="A867" s="29">
        <f t="shared" si="16"/>
        <v>846</v>
      </c>
      <c r="B867" s="30"/>
      <c r="C867" s="30" t="s">
        <v>502</v>
      </c>
      <c r="D867" s="30" t="s">
        <v>1425</v>
      </c>
      <c r="E867" s="31">
        <v>43059</v>
      </c>
      <c r="F867" s="30" t="s">
        <v>127</v>
      </c>
      <c r="G867" s="30" t="s">
        <v>128</v>
      </c>
      <c r="H867" s="30" t="s">
        <v>129</v>
      </c>
      <c r="I867" s="29">
        <v>454545</v>
      </c>
      <c r="J867" s="29">
        <v>10</v>
      </c>
      <c r="K867" s="29">
        <v>45455</v>
      </c>
      <c r="L867" s="38"/>
      <c r="M867" s="39"/>
      <c r="N867" s="40"/>
      <c r="O867" s="35"/>
      <c r="P867" s="36"/>
      <c r="Q867" s="36"/>
      <c r="T867" s="36"/>
    </row>
    <row r="868" spans="1:20" s="37" customFormat="1" ht="18.75" customHeight="1">
      <c r="A868" s="29">
        <f t="shared" si="16"/>
        <v>847</v>
      </c>
      <c r="B868" s="30"/>
      <c r="C868" s="30" t="s">
        <v>100</v>
      </c>
      <c r="D868" s="30" t="s">
        <v>1426</v>
      </c>
      <c r="E868" s="31">
        <v>43060</v>
      </c>
      <c r="F868" s="30" t="s">
        <v>102</v>
      </c>
      <c r="G868" s="30" t="s">
        <v>103</v>
      </c>
      <c r="H868" s="30" t="s">
        <v>377</v>
      </c>
      <c r="I868" s="29">
        <v>17020000</v>
      </c>
      <c r="J868" s="29">
        <v>10</v>
      </c>
      <c r="K868" s="29">
        <v>1702000</v>
      </c>
      <c r="L868" s="38"/>
      <c r="M868" s="39"/>
      <c r="N868" s="40"/>
      <c r="O868" s="35"/>
      <c r="P868" s="36"/>
      <c r="Q868" s="36"/>
      <c r="T868" s="36"/>
    </row>
    <row r="869" spans="1:20" s="37" customFormat="1" ht="18.75" customHeight="1">
      <c r="A869" s="29">
        <f t="shared" si="16"/>
        <v>848</v>
      </c>
      <c r="B869" s="30"/>
      <c r="C869" s="30" t="s">
        <v>1250</v>
      </c>
      <c r="D869" s="30" t="s">
        <v>1427</v>
      </c>
      <c r="E869" s="31">
        <v>43060</v>
      </c>
      <c r="F869" s="30" t="s">
        <v>333</v>
      </c>
      <c r="G869" s="30" t="s">
        <v>334</v>
      </c>
      <c r="H869" s="30" t="s">
        <v>134</v>
      </c>
      <c r="I869" s="29">
        <v>4961000</v>
      </c>
      <c r="J869" s="29">
        <v>10</v>
      </c>
      <c r="K869" s="29">
        <v>496100</v>
      </c>
      <c r="L869" s="38"/>
      <c r="M869" s="39"/>
      <c r="N869" s="40"/>
      <c r="O869" s="35"/>
      <c r="P869" s="36"/>
      <c r="Q869" s="36"/>
      <c r="T869" s="36"/>
    </row>
    <row r="870" spans="1:20" s="37" customFormat="1" ht="18.75" customHeight="1">
      <c r="A870" s="29">
        <f t="shared" si="16"/>
        <v>849</v>
      </c>
      <c r="B870" s="30"/>
      <c r="C870" s="30" t="s">
        <v>74</v>
      </c>
      <c r="D870" s="30" t="s">
        <v>1428</v>
      </c>
      <c r="E870" s="31">
        <v>43061</v>
      </c>
      <c r="F870" s="30" t="s">
        <v>76</v>
      </c>
      <c r="G870" s="30" t="s">
        <v>77</v>
      </c>
      <c r="H870" s="30" t="s">
        <v>1429</v>
      </c>
      <c r="I870" s="29">
        <v>3825600</v>
      </c>
      <c r="J870" s="29">
        <v>10</v>
      </c>
      <c r="K870" s="29">
        <v>382560</v>
      </c>
      <c r="L870" s="38"/>
      <c r="M870" s="39"/>
      <c r="N870" s="40"/>
      <c r="O870" s="35"/>
      <c r="P870" s="36"/>
      <c r="Q870" s="36"/>
      <c r="T870" s="36"/>
    </row>
    <row r="871" spans="1:20" s="37" customFormat="1" ht="18.75" customHeight="1">
      <c r="A871" s="29">
        <f t="shared" si="16"/>
        <v>850</v>
      </c>
      <c r="B871" s="30"/>
      <c r="C871" s="30" t="s">
        <v>74</v>
      </c>
      <c r="D871" s="30" t="s">
        <v>1430</v>
      </c>
      <c r="E871" s="31">
        <v>43061</v>
      </c>
      <c r="F871" s="30" t="s">
        <v>76</v>
      </c>
      <c r="G871" s="30" t="s">
        <v>77</v>
      </c>
      <c r="H871" s="30" t="s">
        <v>1431</v>
      </c>
      <c r="I871" s="29">
        <v>2788800</v>
      </c>
      <c r="J871" s="29">
        <v>10</v>
      </c>
      <c r="K871" s="29">
        <v>278880</v>
      </c>
      <c r="L871" s="38"/>
      <c r="M871" s="39"/>
      <c r="N871" s="40"/>
      <c r="O871" s="35"/>
      <c r="P871" s="36"/>
      <c r="Q871" s="36"/>
      <c r="T871" s="36"/>
    </row>
    <row r="872" spans="1:20" s="37" customFormat="1" ht="18.75" customHeight="1">
      <c r="A872" s="29">
        <f t="shared" si="16"/>
        <v>851</v>
      </c>
      <c r="B872" s="30"/>
      <c r="C872" s="30" t="s">
        <v>74</v>
      </c>
      <c r="D872" s="30" t="s">
        <v>1432</v>
      </c>
      <c r="E872" s="31">
        <v>43061</v>
      </c>
      <c r="F872" s="30" t="s">
        <v>76</v>
      </c>
      <c r="G872" s="30" t="s">
        <v>77</v>
      </c>
      <c r="H872" s="30" t="s">
        <v>1433</v>
      </c>
      <c r="I872" s="29">
        <v>2305200</v>
      </c>
      <c r="J872" s="29">
        <v>10</v>
      </c>
      <c r="K872" s="29">
        <v>230520</v>
      </c>
      <c r="L872" s="38"/>
      <c r="M872" s="39"/>
      <c r="N872" s="40"/>
      <c r="O872" s="35"/>
      <c r="P872" s="36"/>
      <c r="Q872" s="36"/>
      <c r="T872" s="36"/>
    </row>
    <row r="873" spans="1:20" s="37" customFormat="1" ht="18.75" customHeight="1">
      <c r="A873" s="29">
        <f t="shared" si="16"/>
        <v>852</v>
      </c>
      <c r="B873" s="30"/>
      <c r="C873" s="30" t="s">
        <v>167</v>
      </c>
      <c r="D873" s="30" t="s">
        <v>326</v>
      </c>
      <c r="E873" s="31">
        <v>43061</v>
      </c>
      <c r="F873" s="30" t="s">
        <v>336</v>
      </c>
      <c r="G873" s="30" t="s">
        <v>337</v>
      </c>
      <c r="H873" s="30" t="s">
        <v>338</v>
      </c>
      <c r="I873" s="29">
        <v>503475750</v>
      </c>
      <c r="J873" s="29">
        <v>10</v>
      </c>
      <c r="K873" s="29">
        <v>50347575</v>
      </c>
      <c r="L873" s="38" t="s">
        <v>52</v>
      </c>
      <c r="M873" s="39">
        <v>43089</v>
      </c>
      <c r="N873" s="40" t="s">
        <v>1341</v>
      </c>
      <c r="O873" s="35"/>
      <c r="P873" s="36"/>
      <c r="Q873" s="36"/>
      <c r="T873" s="36"/>
    </row>
    <row r="874" spans="1:20" s="37" customFormat="1" ht="18.75" customHeight="1">
      <c r="A874" s="29">
        <f t="shared" si="16"/>
        <v>853</v>
      </c>
      <c r="B874" s="30"/>
      <c r="C874" s="30" t="s">
        <v>202</v>
      </c>
      <c r="D874" s="30" t="s">
        <v>1434</v>
      </c>
      <c r="E874" s="31">
        <v>43061</v>
      </c>
      <c r="F874" s="30" t="s">
        <v>84</v>
      </c>
      <c r="G874" s="30" t="s">
        <v>85</v>
      </c>
      <c r="H874" s="30" t="s">
        <v>1055</v>
      </c>
      <c r="I874" s="29">
        <v>4113407</v>
      </c>
      <c r="J874" s="29">
        <v>10</v>
      </c>
      <c r="K874" s="29">
        <v>411341</v>
      </c>
      <c r="L874" s="38"/>
      <c r="M874" s="39"/>
      <c r="N874" s="40"/>
      <c r="O874" s="35"/>
      <c r="P874" s="36"/>
      <c r="Q874" s="36"/>
      <c r="T874" s="36"/>
    </row>
    <row r="875" spans="1:20" s="37" customFormat="1" ht="18.75" customHeight="1">
      <c r="A875" s="29">
        <f t="shared" si="16"/>
        <v>854</v>
      </c>
      <c r="B875" s="30"/>
      <c r="C875" s="30" t="s">
        <v>112</v>
      </c>
      <c r="D875" s="30" t="s">
        <v>1435</v>
      </c>
      <c r="E875" s="31">
        <v>43061</v>
      </c>
      <c r="F875" s="30" t="s">
        <v>114</v>
      </c>
      <c r="G875" s="30" t="s">
        <v>115</v>
      </c>
      <c r="H875" s="30" t="s">
        <v>116</v>
      </c>
      <c r="I875" s="29">
        <v>20000</v>
      </c>
      <c r="J875" s="29">
        <v>10</v>
      </c>
      <c r="K875" s="29">
        <v>2000</v>
      </c>
      <c r="L875" s="38"/>
      <c r="M875" s="39"/>
      <c r="N875" s="40"/>
      <c r="O875" s="35"/>
      <c r="P875" s="36"/>
      <c r="Q875" s="36"/>
      <c r="T875" s="36"/>
    </row>
    <row r="876" spans="1:20" s="37" customFormat="1" ht="18.75" customHeight="1">
      <c r="A876" s="29">
        <f t="shared" si="16"/>
        <v>855</v>
      </c>
      <c r="B876" s="30"/>
      <c r="C876" s="30" t="s">
        <v>112</v>
      </c>
      <c r="D876" s="30" t="s">
        <v>1436</v>
      </c>
      <c r="E876" s="31">
        <v>43061</v>
      </c>
      <c r="F876" s="30" t="s">
        <v>114</v>
      </c>
      <c r="G876" s="30" t="s">
        <v>115</v>
      </c>
      <c r="H876" s="30" t="s">
        <v>116</v>
      </c>
      <c r="I876" s="29">
        <v>10000</v>
      </c>
      <c r="J876" s="29">
        <v>10</v>
      </c>
      <c r="K876" s="29">
        <v>1000</v>
      </c>
      <c r="L876" s="38"/>
      <c r="M876" s="39"/>
      <c r="N876" s="40"/>
      <c r="O876" s="35"/>
      <c r="P876" s="36"/>
      <c r="Q876" s="36"/>
      <c r="T876" s="36"/>
    </row>
    <row r="877" spans="1:20" s="37" customFormat="1" ht="18.75" customHeight="1">
      <c r="A877" s="29">
        <f t="shared" si="16"/>
        <v>856</v>
      </c>
      <c r="B877" s="30"/>
      <c r="C877" s="30" t="s">
        <v>112</v>
      </c>
      <c r="D877" s="30" t="s">
        <v>1437</v>
      </c>
      <c r="E877" s="31">
        <v>43061</v>
      </c>
      <c r="F877" s="30" t="s">
        <v>114</v>
      </c>
      <c r="G877" s="30" t="s">
        <v>115</v>
      </c>
      <c r="H877" s="30" t="s">
        <v>116</v>
      </c>
      <c r="I877" s="29">
        <v>10000</v>
      </c>
      <c r="J877" s="29">
        <v>10</v>
      </c>
      <c r="K877" s="29">
        <v>1000</v>
      </c>
      <c r="L877" s="38"/>
      <c r="M877" s="39"/>
      <c r="N877" s="40"/>
      <c r="O877" s="35"/>
      <c r="P877" s="36"/>
      <c r="Q877" s="36"/>
      <c r="T877" s="36"/>
    </row>
    <row r="878" spans="1:20" s="37" customFormat="1" ht="18.75" customHeight="1">
      <c r="A878" s="29">
        <f t="shared" si="16"/>
        <v>857</v>
      </c>
      <c r="B878" s="30"/>
      <c r="C878" s="30" t="s">
        <v>112</v>
      </c>
      <c r="D878" s="30" t="s">
        <v>1438</v>
      </c>
      <c r="E878" s="31">
        <v>43061</v>
      </c>
      <c r="F878" s="30" t="s">
        <v>114</v>
      </c>
      <c r="G878" s="30" t="s">
        <v>115</v>
      </c>
      <c r="H878" s="30" t="s">
        <v>116</v>
      </c>
      <c r="I878" s="29">
        <v>10000</v>
      </c>
      <c r="J878" s="29">
        <v>10</v>
      </c>
      <c r="K878" s="29">
        <v>1000</v>
      </c>
      <c r="L878" s="38"/>
      <c r="M878" s="39"/>
      <c r="N878" s="40"/>
      <c r="O878" s="35"/>
      <c r="P878" s="36"/>
      <c r="Q878" s="36"/>
      <c r="T878" s="36"/>
    </row>
    <row r="879" spans="1:20" s="37" customFormat="1" ht="18.75" customHeight="1">
      <c r="A879" s="29">
        <f t="shared" si="16"/>
        <v>858</v>
      </c>
      <c r="B879" s="30"/>
      <c r="C879" s="30" t="s">
        <v>167</v>
      </c>
      <c r="D879" s="30" t="s">
        <v>1439</v>
      </c>
      <c r="E879" s="31">
        <v>43062</v>
      </c>
      <c r="F879" s="30" t="s">
        <v>1440</v>
      </c>
      <c r="G879" s="30" t="s">
        <v>1441</v>
      </c>
      <c r="H879" s="30" t="s">
        <v>1442</v>
      </c>
      <c r="I879" s="29">
        <v>709000</v>
      </c>
      <c r="J879" s="29">
        <v>10</v>
      </c>
      <c r="K879" s="29">
        <v>70900</v>
      </c>
      <c r="L879" s="38"/>
      <c r="M879" s="39"/>
      <c r="N879" s="40"/>
      <c r="O879" s="35"/>
      <c r="P879" s="36"/>
      <c r="Q879" s="36"/>
      <c r="T879" s="36"/>
    </row>
    <row r="880" spans="1:20" s="37" customFormat="1" ht="18.75" customHeight="1">
      <c r="A880" s="29">
        <f t="shared" si="16"/>
        <v>859</v>
      </c>
      <c r="B880" s="30"/>
      <c r="C880" s="30" t="s">
        <v>162</v>
      </c>
      <c r="D880" s="30" t="s">
        <v>1443</v>
      </c>
      <c r="E880" s="31">
        <v>43062</v>
      </c>
      <c r="F880" s="30" t="s">
        <v>164</v>
      </c>
      <c r="G880" s="30" t="s">
        <v>165</v>
      </c>
      <c r="H880" s="30" t="s">
        <v>166</v>
      </c>
      <c r="I880" s="29">
        <v>19637384</v>
      </c>
      <c r="J880" s="29">
        <v>10</v>
      </c>
      <c r="K880" s="29">
        <v>1963738</v>
      </c>
      <c r="L880" s="38" t="s">
        <v>52</v>
      </c>
      <c r="M880" s="39">
        <v>43089</v>
      </c>
      <c r="N880" s="40" t="s">
        <v>1341</v>
      </c>
      <c r="O880" s="35"/>
      <c r="P880" s="36"/>
      <c r="Q880" s="36"/>
      <c r="T880" s="36"/>
    </row>
    <row r="881" spans="1:20" s="37" customFormat="1" ht="18.75" customHeight="1">
      <c r="A881" s="29">
        <f t="shared" si="16"/>
        <v>860</v>
      </c>
      <c r="B881" s="30"/>
      <c r="C881" s="30" t="s">
        <v>502</v>
      </c>
      <c r="D881" s="30" t="s">
        <v>1444</v>
      </c>
      <c r="E881" s="31">
        <v>43062</v>
      </c>
      <c r="F881" s="30" t="s">
        <v>127</v>
      </c>
      <c r="G881" s="30" t="s">
        <v>128</v>
      </c>
      <c r="H881" s="30" t="s">
        <v>129</v>
      </c>
      <c r="I881" s="29">
        <v>454545</v>
      </c>
      <c r="J881" s="29">
        <v>10</v>
      </c>
      <c r="K881" s="29">
        <v>45455</v>
      </c>
      <c r="L881" s="38"/>
      <c r="M881" s="39"/>
      <c r="N881" s="40"/>
      <c r="O881" s="35"/>
      <c r="P881" s="36"/>
      <c r="Q881" s="36"/>
      <c r="T881" s="36"/>
    </row>
    <row r="882" spans="1:20" s="37" customFormat="1" ht="18.75" customHeight="1">
      <c r="A882" s="29">
        <f t="shared" si="16"/>
        <v>861</v>
      </c>
      <c r="B882" s="30"/>
      <c r="C882" s="30" t="s">
        <v>726</v>
      </c>
      <c r="D882" s="30" t="s">
        <v>1445</v>
      </c>
      <c r="E882" s="31">
        <v>43063</v>
      </c>
      <c r="F882" s="30" t="s">
        <v>63</v>
      </c>
      <c r="G882" s="30" t="s">
        <v>64</v>
      </c>
      <c r="H882" s="30" t="s">
        <v>1388</v>
      </c>
      <c r="I882" s="29">
        <v>11909091</v>
      </c>
      <c r="J882" s="29">
        <v>10</v>
      </c>
      <c r="K882" s="29">
        <v>1190909</v>
      </c>
      <c r="L882" s="38"/>
      <c r="M882" s="39"/>
      <c r="N882" s="40"/>
      <c r="O882" s="35"/>
      <c r="P882" s="36"/>
      <c r="Q882" s="36"/>
      <c r="T882" s="36"/>
    </row>
    <row r="883" spans="1:20" s="37" customFormat="1" ht="18.75" customHeight="1">
      <c r="A883" s="29">
        <f t="shared" si="16"/>
        <v>862</v>
      </c>
      <c r="B883" s="30"/>
      <c r="C883" s="30" t="s">
        <v>753</v>
      </c>
      <c r="D883" s="30" t="s">
        <v>1446</v>
      </c>
      <c r="E883" s="31">
        <v>43063</v>
      </c>
      <c r="F883" s="30" t="s">
        <v>755</v>
      </c>
      <c r="G883" s="30" t="s">
        <v>756</v>
      </c>
      <c r="H883" s="30" t="s">
        <v>1447</v>
      </c>
      <c r="I883" s="29">
        <v>4885000</v>
      </c>
      <c r="J883" s="29">
        <v>10</v>
      </c>
      <c r="K883" s="29">
        <v>488500</v>
      </c>
      <c r="L883" s="38"/>
      <c r="M883" s="39"/>
      <c r="N883" s="40"/>
      <c r="O883" s="35"/>
      <c r="P883" s="36"/>
      <c r="Q883" s="36"/>
      <c r="T883" s="36"/>
    </row>
    <row r="884" spans="1:20" s="37" customFormat="1" ht="18.75" customHeight="1">
      <c r="A884" s="29">
        <f t="shared" si="16"/>
        <v>863</v>
      </c>
      <c r="B884" s="30"/>
      <c r="C884" s="30" t="s">
        <v>93</v>
      </c>
      <c r="D884" s="30" t="s">
        <v>1173</v>
      </c>
      <c r="E884" s="31">
        <v>43063</v>
      </c>
      <c r="F884" s="30" t="s">
        <v>49</v>
      </c>
      <c r="G884" s="30" t="s">
        <v>50</v>
      </c>
      <c r="H884" s="30" t="s">
        <v>864</v>
      </c>
      <c r="I884" s="29">
        <v>149920000</v>
      </c>
      <c r="J884" s="29">
        <v>10</v>
      </c>
      <c r="K884" s="29">
        <v>14992000</v>
      </c>
      <c r="L884" s="38" t="s">
        <v>52</v>
      </c>
      <c r="M884" s="39">
        <v>43116</v>
      </c>
      <c r="N884" s="40" t="s">
        <v>1341</v>
      </c>
      <c r="O884" s="35"/>
      <c r="P884" s="36"/>
      <c r="Q884" s="36"/>
      <c r="T884" s="36"/>
    </row>
    <row r="885" spans="1:20" s="37" customFormat="1" ht="18.75" customHeight="1">
      <c r="A885" s="29">
        <f t="shared" si="16"/>
        <v>864</v>
      </c>
      <c r="B885" s="30"/>
      <c r="C885" s="30" t="s">
        <v>167</v>
      </c>
      <c r="D885" s="30" t="s">
        <v>1448</v>
      </c>
      <c r="E885" s="31">
        <v>43064</v>
      </c>
      <c r="F885" s="30" t="s">
        <v>336</v>
      </c>
      <c r="G885" s="30" t="s">
        <v>337</v>
      </c>
      <c r="H885" s="30" t="s">
        <v>1449</v>
      </c>
      <c r="I885" s="29">
        <v>130311014</v>
      </c>
      <c r="J885" s="29">
        <v>10</v>
      </c>
      <c r="K885" s="29">
        <v>13031101</v>
      </c>
      <c r="L885" s="38" t="s">
        <v>52</v>
      </c>
      <c r="M885" s="39">
        <v>43074</v>
      </c>
      <c r="N885" s="40" t="s">
        <v>1341</v>
      </c>
      <c r="O885" s="35"/>
      <c r="P885" s="36"/>
      <c r="Q885" s="36"/>
      <c r="T885" s="36"/>
    </row>
    <row r="886" spans="1:20" s="37" customFormat="1" ht="18.75" customHeight="1">
      <c r="A886" s="29">
        <f t="shared" si="16"/>
        <v>865</v>
      </c>
      <c r="B886" s="30"/>
      <c r="C886" s="30" t="s">
        <v>231</v>
      </c>
      <c r="D886" s="30" t="s">
        <v>1450</v>
      </c>
      <c r="E886" s="31">
        <v>43068</v>
      </c>
      <c r="F886" s="30" t="s">
        <v>233</v>
      </c>
      <c r="G886" s="30" t="s">
        <v>234</v>
      </c>
      <c r="H886" s="30" t="s">
        <v>235</v>
      </c>
      <c r="I886" s="29">
        <v>73341400</v>
      </c>
      <c r="J886" s="29">
        <v>10</v>
      </c>
      <c r="K886" s="29">
        <v>7334140</v>
      </c>
      <c r="L886" s="38" t="s">
        <v>52</v>
      </c>
      <c r="M886" s="39">
        <v>43089</v>
      </c>
      <c r="N886" s="40" t="s">
        <v>1341</v>
      </c>
      <c r="O886" s="35"/>
      <c r="P886" s="36"/>
      <c r="Q886" s="36"/>
      <c r="T886" s="36"/>
    </row>
    <row r="887" spans="1:20" s="37" customFormat="1" ht="18.75" customHeight="1">
      <c r="A887" s="29">
        <f t="shared" si="16"/>
        <v>866</v>
      </c>
      <c r="B887" s="30"/>
      <c r="C887" s="30" t="s">
        <v>231</v>
      </c>
      <c r="D887" s="30" t="s">
        <v>1451</v>
      </c>
      <c r="E887" s="31">
        <v>43068</v>
      </c>
      <c r="F887" s="30" t="s">
        <v>239</v>
      </c>
      <c r="G887" s="30" t="s">
        <v>240</v>
      </c>
      <c r="H887" s="30" t="s">
        <v>1452</v>
      </c>
      <c r="I887" s="29">
        <v>204961238</v>
      </c>
      <c r="J887" s="29">
        <v>10</v>
      </c>
      <c r="K887" s="29">
        <v>20496124</v>
      </c>
      <c r="L887" s="38" t="s">
        <v>52</v>
      </c>
      <c r="M887" s="39">
        <v>43089</v>
      </c>
      <c r="N887" s="40" t="s">
        <v>1341</v>
      </c>
      <c r="O887" s="35"/>
      <c r="P887" s="36"/>
      <c r="Q887" s="36"/>
      <c r="T887" s="36"/>
    </row>
    <row r="888" spans="1:20" s="37" customFormat="1" ht="18.75" customHeight="1">
      <c r="A888" s="29">
        <f t="shared" si="16"/>
        <v>867</v>
      </c>
      <c r="B888" s="30"/>
      <c r="C888" s="30" t="s">
        <v>231</v>
      </c>
      <c r="D888" s="30" t="s">
        <v>1453</v>
      </c>
      <c r="E888" s="31">
        <v>43068</v>
      </c>
      <c r="F888" s="30" t="s">
        <v>239</v>
      </c>
      <c r="G888" s="30" t="s">
        <v>240</v>
      </c>
      <c r="H888" s="30" t="s">
        <v>1454</v>
      </c>
      <c r="I888" s="29">
        <v>38214700</v>
      </c>
      <c r="J888" s="29">
        <v>10</v>
      </c>
      <c r="K888" s="29">
        <v>3821470</v>
      </c>
      <c r="L888" s="38" t="s">
        <v>52</v>
      </c>
      <c r="M888" s="39">
        <v>43089</v>
      </c>
      <c r="N888" s="40" t="s">
        <v>1341</v>
      </c>
      <c r="O888" s="35"/>
      <c r="P888" s="36"/>
      <c r="Q888" s="36"/>
      <c r="T888" s="36"/>
    </row>
    <row r="889" spans="1:20" s="37" customFormat="1" ht="18.75" customHeight="1">
      <c r="A889" s="29">
        <f t="shared" si="16"/>
        <v>868</v>
      </c>
      <c r="B889" s="30"/>
      <c r="C889" s="30" t="s">
        <v>167</v>
      </c>
      <c r="D889" s="30" t="s">
        <v>586</v>
      </c>
      <c r="E889" s="31">
        <v>43069</v>
      </c>
      <c r="F889" s="30" t="s">
        <v>409</v>
      </c>
      <c r="G889" s="30" t="s">
        <v>410</v>
      </c>
      <c r="H889" s="30" t="s">
        <v>411</v>
      </c>
      <c r="I889" s="29">
        <v>137226100</v>
      </c>
      <c r="J889" s="29">
        <v>10</v>
      </c>
      <c r="K889" s="29">
        <v>13722610</v>
      </c>
      <c r="L889" s="38" t="s">
        <v>52</v>
      </c>
      <c r="M889" s="39">
        <v>43089</v>
      </c>
      <c r="N889" s="40" t="s">
        <v>1341</v>
      </c>
      <c r="O889" s="35"/>
      <c r="P889" s="36"/>
      <c r="Q889" s="36"/>
      <c r="T889" s="36"/>
    </row>
    <row r="890" spans="1:20" s="37" customFormat="1" ht="18.75" customHeight="1">
      <c r="A890" s="29">
        <f t="shared" si="16"/>
        <v>869</v>
      </c>
      <c r="B890" s="30"/>
      <c r="C890" s="30" t="s">
        <v>100</v>
      </c>
      <c r="D890" s="30" t="s">
        <v>1455</v>
      </c>
      <c r="E890" s="31">
        <v>43069</v>
      </c>
      <c r="F890" s="30" t="s">
        <v>102</v>
      </c>
      <c r="G890" s="30" t="s">
        <v>103</v>
      </c>
      <c r="H890" s="30" t="s">
        <v>377</v>
      </c>
      <c r="I890" s="29">
        <v>19500000</v>
      </c>
      <c r="J890" s="29">
        <v>10</v>
      </c>
      <c r="K890" s="29">
        <v>1950000</v>
      </c>
      <c r="L890" s="38" t="s">
        <v>52</v>
      </c>
      <c r="M890" s="39">
        <v>43089</v>
      </c>
      <c r="N890" s="40" t="s">
        <v>1341</v>
      </c>
      <c r="O890" s="35"/>
      <c r="P890" s="36"/>
      <c r="Q890" s="36"/>
      <c r="T890" s="36"/>
    </row>
    <row r="891" spans="1:20" s="37" customFormat="1" ht="18.75" customHeight="1">
      <c r="A891" s="29">
        <f t="shared" si="16"/>
        <v>870</v>
      </c>
      <c r="B891" s="30"/>
      <c r="C891" s="30" t="s">
        <v>231</v>
      </c>
      <c r="D891" s="30" t="s">
        <v>1456</v>
      </c>
      <c r="E891" s="31">
        <v>43069</v>
      </c>
      <c r="F891" s="30" t="s">
        <v>233</v>
      </c>
      <c r="G891" s="30" t="s">
        <v>234</v>
      </c>
      <c r="H891" s="30" t="s">
        <v>235</v>
      </c>
      <c r="I891" s="29">
        <v>74457700</v>
      </c>
      <c r="J891" s="29">
        <v>10</v>
      </c>
      <c r="K891" s="29">
        <v>7445770</v>
      </c>
      <c r="L891" s="38" t="s">
        <v>52</v>
      </c>
      <c r="M891" s="39">
        <v>43089</v>
      </c>
      <c r="N891" s="40" t="s">
        <v>1341</v>
      </c>
      <c r="O891" s="35"/>
      <c r="P891" s="36"/>
      <c r="Q891" s="36"/>
      <c r="T891" s="36"/>
    </row>
    <row r="892" spans="1:20" s="37" customFormat="1" ht="18.75" customHeight="1">
      <c r="A892" s="29">
        <f t="shared" si="16"/>
        <v>871</v>
      </c>
      <c r="B892" s="30"/>
      <c r="C892" s="30" t="s">
        <v>231</v>
      </c>
      <c r="D892" s="30" t="s">
        <v>1457</v>
      </c>
      <c r="E892" s="31">
        <v>43069</v>
      </c>
      <c r="F892" s="30" t="s">
        <v>233</v>
      </c>
      <c r="G892" s="30" t="s">
        <v>234</v>
      </c>
      <c r="H892" s="30" t="s">
        <v>235</v>
      </c>
      <c r="I892" s="29">
        <v>38492100</v>
      </c>
      <c r="J892" s="29">
        <v>10</v>
      </c>
      <c r="K892" s="29">
        <v>3849210</v>
      </c>
      <c r="L892" s="38" t="s">
        <v>52</v>
      </c>
      <c r="M892" s="39">
        <v>43089</v>
      </c>
      <c r="N892" s="40" t="s">
        <v>1341</v>
      </c>
      <c r="O892" s="35"/>
      <c r="P892" s="36"/>
      <c r="Q892" s="36"/>
      <c r="T892" s="36"/>
    </row>
    <row r="893" spans="1:20" s="37" customFormat="1" ht="18.75" customHeight="1">
      <c r="A893" s="29">
        <f t="shared" si="16"/>
        <v>872</v>
      </c>
      <c r="B893" s="30"/>
      <c r="C893" s="30" t="s">
        <v>248</v>
      </c>
      <c r="D893" s="30" t="s">
        <v>1458</v>
      </c>
      <c r="E893" s="31">
        <v>43069</v>
      </c>
      <c r="F893" s="30" t="s">
        <v>250</v>
      </c>
      <c r="G893" s="30" t="s">
        <v>251</v>
      </c>
      <c r="H893" s="30" t="s">
        <v>1459</v>
      </c>
      <c r="I893" s="29">
        <v>282674000</v>
      </c>
      <c r="J893" s="29">
        <v>10</v>
      </c>
      <c r="K893" s="29">
        <v>28267400</v>
      </c>
      <c r="L893" s="38" t="s">
        <v>52</v>
      </c>
      <c r="M893" s="39">
        <v>43089</v>
      </c>
      <c r="N893" s="40" t="s">
        <v>1341</v>
      </c>
      <c r="O893" s="35"/>
      <c r="P893" s="36"/>
      <c r="Q893" s="36"/>
      <c r="T893" s="36"/>
    </row>
    <row r="894" spans="1:20" s="37" customFormat="1" ht="18.75" customHeight="1">
      <c r="A894" s="29">
        <f t="shared" si="16"/>
        <v>873</v>
      </c>
      <c r="B894" s="30"/>
      <c r="C894" s="30" t="s">
        <v>248</v>
      </c>
      <c r="D894" s="30" t="s">
        <v>1460</v>
      </c>
      <c r="E894" s="31">
        <v>43069</v>
      </c>
      <c r="F894" s="30" t="s">
        <v>250</v>
      </c>
      <c r="G894" s="30" t="s">
        <v>251</v>
      </c>
      <c r="H894" s="30" t="s">
        <v>1461</v>
      </c>
      <c r="I894" s="29">
        <v>14400000</v>
      </c>
      <c r="J894" s="29">
        <v>10</v>
      </c>
      <c r="K894" s="29">
        <v>1440000</v>
      </c>
      <c r="L894" s="38" t="s">
        <v>52</v>
      </c>
      <c r="M894" s="39">
        <v>43089</v>
      </c>
      <c r="N894" s="40" t="s">
        <v>1341</v>
      </c>
      <c r="O894" s="35"/>
      <c r="P894" s="36"/>
      <c r="Q894" s="36"/>
      <c r="T894" s="36"/>
    </row>
    <row r="895" spans="1:20" s="37" customFormat="1" ht="18.75" customHeight="1">
      <c r="A895" s="29">
        <f t="shared" si="16"/>
        <v>874</v>
      </c>
      <c r="B895" s="30"/>
      <c r="C895" s="30" t="s">
        <v>248</v>
      </c>
      <c r="D895" s="30" t="s">
        <v>1462</v>
      </c>
      <c r="E895" s="31">
        <v>43069</v>
      </c>
      <c r="F895" s="30" t="s">
        <v>250</v>
      </c>
      <c r="G895" s="30" t="s">
        <v>251</v>
      </c>
      <c r="H895" s="30" t="s">
        <v>1463</v>
      </c>
      <c r="I895" s="29">
        <v>180000</v>
      </c>
      <c r="J895" s="29">
        <v>10</v>
      </c>
      <c r="K895" s="29">
        <v>18000</v>
      </c>
      <c r="L895" s="38" t="s">
        <v>52</v>
      </c>
      <c r="M895" s="39">
        <v>43089</v>
      </c>
      <c r="N895" s="40" t="s">
        <v>1341</v>
      </c>
      <c r="O895" s="35"/>
      <c r="P895" s="36"/>
      <c r="Q895" s="36"/>
      <c r="T895" s="36"/>
    </row>
    <row r="896" spans="1:20" s="37" customFormat="1" ht="18.75" customHeight="1">
      <c r="A896" s="29">
        <f t="shared" si="16"/>
        <v>875</v>
      </c>
      <c r="B896" s="30"/>
      <c r="C896" s="30" t="s">
        <v>726</v>
      </c>
      <c r="D896" s="30" t="s">
        <v>1464</v>
      </c>
      <c r="E896" s="31">
        <v>43069</v>
      </c>
      <c r="F896" s="30" t="s">
        <v>63</v>
      </c>
      <c r="G896" s="30" t="s">
        <v>64</v>
      </c>
      <c r="H896" s="30" t="s">
        <v>1465</v>
      </c>
      <c r="I896" s="29">
        <v>28645455</v>
      </c>
      <c r="J896" s="29">
        <v>10</v>
      </c>
      <c r="K896" s="29">
        <v>2864545</v>
      </c>
      <c r="L896" s="38" t="s">
        <v>52</v>
      </c>
      <c r="M896" s="39">
        <v>43089</v>
      </c>
      <c r="N896" s="40" t="s">
        <v>1341</v>
      </c>
      <c r="O896" s="35"/>
      <c r="P896" s="36"/>
      <c r="Q896" s="36"/>
      <c r="T896" s="36"/>
    </row>
    <row r="897" spans="1:255" s="37" customFormat="1" ht="18.75" customHeight="1">
      <c r="A897" s="29">
        <f t="shared" si="16"/>
        <v>876</v>
      </c>
      <c r="B897" s="30"/>
      <c r="C897" s="30" t="s">
        <v>93</v>
      </c>
      <c r="D897" s="30" t="s">
        <v>1466</v>
      </c>
      <c r="E897" s="31">
        <v>43069</v>
      </c>
      <c r="F897" s="30" t="s">
        <v>258</v>
      </c>
      <c r="G897" s="30" t="s">
        <v>259</v>
      </c>
      <c r="H897" s="30" t="s">
        <v>1325</v>
      </c>
      <c r="I897" s="29">
        <v>116302585</v>
      </c>
      <c r="J897" s="29">
        <v>10</v>
      </c>
      <c r="K897" s="29">
        <v>11630259</v>
      </c>
      <c r="L897" s="38" t="s">
        <v>52</v>
      </c>
      <c r="M897" s="39">
        <v>43089</v>
      </c>
      <c r="N897" s="40" t="s">
        <v>1341</v>
      </c>
      <c r="O897" s="35"/>
      <c r="P897" s="36"/>
      <c r="Q897" s="36"/>
      <c r="T897" s="36"/>
    </row>
    <row r="898" spans="1:255" s="37" customFormat="1" ht="18.75" customHeight="1">
      <c r="A898" s="29">
        <f t="shared" si="16"/>
        <v>877</v>
      </c>
      <c r="B898" s="30"/>
      <c r="C898" s="30" t="s">
        <v>112</v>
      </c>
      <c r="D898" s="30" t="s">
        <v>187</v>
      </c>
      <c r="E898" s="31">
        <v>43069</v>
      </c>
      <c r="F898" s="30" t="s">
        <v>114</v>
      </c>
      <c r="G898" s="30" t="s">
        <v>115</v>
      </c>
      <c r="H898" s="30" t="s">
        <v>116</v>
      </c>
      <c r="I898" s="29">
        <v>20000</v>
      </c>
      <c r="J898" s="29">
        <v>10</v>
      </c>
      <c r="K898" s="29">
        <v>2000</v>
      </c>
      <c r="L898" s="38"/>
      <c r="M898" s="39"/>
      <c r="N898" s="40"/>
      <c r="O898" s="35"/>
      <c r="P898" s="36"/>
      <c r="Q898" s="36"/>
      <c r="T898" s="36"/>
    </row>
    <row r="899" spans="1:255" s="37" customFormat="1" ht="18.75" customHeight="1">
      <c r="A899" s="29">
        <f t="shared" si="16"/>
        <v>878</v>
      </c>
      <c r="B899" s="30"/>
      <c r="C899" s="30" t="s">
        <v>112</v>
      </c>
      <c r="D899" s="30" t="s">
        <v>1467</v>
      </c>
      <c r="E899" s="31">
        <v>43069</v>
      </c>
      <c r="F899" s="30" t="s">
        <v>114</v>
      </c>
      <c r="G899" s="30" t="s">
        <v>115</v>
      </c>
      <c r="H899" s="30" t="s">
        <v>116</v>
      </c>
      <c r="I899" s="29">
        <v>10000</v>
      </c>
      <c r="J899" s="29">
        <v>10</v>
      </c>
      <c r="K899" s="29">
        <v>1000</v>
      </c>
      <c r="L899" s="38"/>
      <c r="M899" s="39"/>
      <c r="N899" s="40"/>
      <c r="O899" s="35"/>
      <c r="P899" s="36"/>
      <c r="Q899" s="36"/>
      <c r="T899" s="36"/>
    </row>
    <row r="900" spans="1:255" s="37" customFormat="1" ht="18.75" customHeight="1">
      <c r="A900" s="29">
        <f t="shared" si="16"/>
        <v>879</v>
      </c>
      <c r="B900" s="30"/>
      <c r="C900" s="30" t="s">
        <v>112</v>
      </c>
      <c r="D900" s="30" t="s">
        <v>1468</v>
      </c>
      <c r="E900" s="31">
        <v>43069</v>
      </c>
      <c r="F900" s="30" t="s">
        <v>114</v>
      </c>
      <c r="G900" s="30" t="s">
        <v>115</v>
      </c>
      <c r="H900" s="30" t="s">
        <v>116</v>
      </c>
      <c r="I900" s="29">
        <v>20000</v>
      </c>
      <c r="J900" s="29">
        <v>10</v>
      </c>
      <c r="K900" s="29">
        <v>2000</v>
      </c>
      <c r="L900" s="38"/>
      <c r="M900" s="39"/>
      <c r="N900" s="40"/>
      <c r="O900" s="35"/>
      <c r="P900" s="36"/>
      <c r="Q900" s="36"/>
      <c r="T900" s="36"/>
    </row>
    <row r="901" spans="1:255" s="37" customFormat="1" ht="18.75" customHeight="1">
      <c r="A901" s="233" t="s">
        <v>264</v>
      </c>
      <c r="B901" s="234"/>
      <c r="C901" s="234"/>
      <c r="D901" s="234"/>
      <c r="E901" s="234"/>
      <c r="F901" s="234"/>
      <c r="G901" s="234"/>
      <c r="H901" s="235"/>
      <c r="I901" s="43">
        <f>SUM(I797:I900)</f>
        <v>6392068492</v>
      </c>
      <c r="J901" s="43"/>
      <c r="K901" s="43">
        <f>SUM(K797:K900)</f>
        <v>635605828</v>
      </c>
      <c r="L901" s="44"/>
      <c r="M901" s="44"/>
      <c r="N901" s="46"/>
      <c r="O901" s="35"/>
      <c r="P901" s="49"/>
      <c r="Q901" s="36"/>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c r="AR901" s="10"/>
      <c r="AS901" s="10"/>
      <c r="AT901" s="10"/>
      <c r="AU901" s="10"/>
      <c r="AV901" s="10"/>
      <c r="AW901" s="10"/>
      <c r="AX901" s="10"/>
      <c r="AY901" s="10"/>
      <c r="AZ901" s="10"/>
      <c r="BA901" s="10"/>
      <c r="BB901" s="10"/>
      <c r="BC901" s="10"/>
      <c r="BD901" s="10"/>
      <c r="BE901" s="10"/>
      <c r="BF901" s="10"/>
      <c r="BG901" s="10"/>
      <c r="BH901" s="10"/>
      <c r="BI901" s="10"/>
      <c r="BJ901" s="10"/>
      <c r="BK901" s="10"/>
      <c r="BL901" s="10"/>
      <c r="BM901" s="10"/>
      <c r="BN901" s="10"/>
      <c r="BO901" s="10"/>
      <c r="BP901" s="10"/>
      <c r="BQ901" s="10"/>
      <c r="BR901" s="10"/>
      <c r="BS901" s="10"/>
      <c r="BT901" s="10"/>
      <c r="BU901" s="10"/>
      <c r="BV901" s="10"/>
      <c r="BW901" s="10"/>
      <c r="BX901" s="10"/>
      <c r="BY901" s="10"/>
      <c r="BZ901" s="10"/>
      <c r="CA901" s="10"/>
      <c r="CB901" s="10"/>
      <c r="CC901" s="10"/>
      <c r="CD901" s="10"/>
      <c r="CE901" s="10"/>
      <c r="CF901" s="10"/>
      <c r="CG901" s="10"/>
      <c r="CH901" s="10"/>
      <c r="CI901" s="10"/>
      <c r="CJ901" s="10"/>
      <c r="CK901" s="10"/>
      <c r="CL901" s="10"/>
      <c r="CM901" s="10"/>
      <c r="CN901" s="10"/>
      <c r="CO901" s="10"/>
      <c r="CP901" s="10"/>
      <c r="CQ901" s="10"/>
      <c r="CR901" s="10"/>
      <c r="CS901" s="10"/>
      <c r="CT901" s="10"/>
      <c r="CU901" s="10"/>
      <c r="CV901" s="10"/>
      <c r="CW901" s="10"/>
      <c r="CX901" s="10"/>
      <c r="CY901" s="10"/>
      <c r="CZ901" s="10"/>
      <c r="DA901" s="10"/>
      <c r="DB901" s="10"/>
      <c r="DC901" s="10"/>
      <c r="DD901" s="10"/>
      <c r="DE901" s="10"/>
      <c r="DF901" s="10"/>
      <c r="DG901" s="10"/>
      <c r="DH901" s="10"/>
      <c r="DI901" s="10"/>
      <c r="DJ901" s="10"/>
      <c r="DK901" s="10"/>
      <c r="DL901" s="10"/>
      <c r="DM901" s="10"/>
      <c r="DN901" s="10"/>
      <c r="DO901" s="10"/>
      <c r="DP901" s="10"/>
      <c r="DQ901" s="10"/>
      <c r="DR901" s="10"/>
      <c r="DS901" s="10"/>
      <c r="DT901" s="10"/>
      <c r="DU901" s="10"/>
      <c r="DV901" s="10"/>
      <c r="DW901" s="10"/>
      <c r="DX901" s="10"/>
      <c r="DY901" s="10"/>
      <c r="DZ901" s="10"/>
      <c r="EA901" s="10"/>
      <c r="EB901" s="10"/>
      <c r="EC901" s="10"/>
      <c r="ED901" s="10"/>
      <c r="EE901" s="10"/>
      <c r="EF901" s="10"/>
      <c r="EG901" s="10"/>
      <c r="EH901" s="10"/>
      <c r="EI901" s="10"/>
      <c r="EJ901" s="10"/>
      <c r="EK901" s="10"/>
      <c r="EL901" s="10"/>
      <c r="EM901" s="10"/>
      <c r="EN901" s="10"/>
      <c r="EO901" s="10"/>
      <c r="EP901" s="10"/>
      <c r="EQ901" s="10"/>
      <c r="ER901" s="10"/>
      <c r="ES901" s="10"/>
      <c r="ET901" s="10"/>
      <c r="EU901" s="10"/>
      <c r="EV901" s="10"/>
      <c r="EW901" s="10"/>
      <c r="EX901" s="10"/>
      <c r="EY901" s="10"/>
      <c r="EZ901" s="10"/>
      <c r="FA901" s="10"/>
      <c r="FB901" s="10"/>
      <c r="FC901" s="10"/>
      <c r="FD901" s="10"/>
      <c r="FE901" s="10"/>
      <c r="FF901" s="10"/>
      <c r="FG901" s="10"/>
      <c r="FH901" s="10"/>
      <c r="FI901" s="10"/>
      <c r="FJ901" s="10"/>
      <c r="FK901" s="10"/>
      <c r="FL901" s="10"/>
      <c r="FM901" s="10"/>
      <c r="FN901" s="10"/>
      <c r="FO901" s="10"/>
      <c r="FP901" s="10"/>
      <c r="FQ901" s="10"/>
      <c r="FR901" s="10"/>
      <c r="FS901" s="10"/>
      <c r="FT901" s="10"/>
      <c r="FU901" s="10"/>
      <c r="FV901" s="10"/>
      <c r="FW901" s="10"/>
      <c r="FX901" s="10"/>
      <c r="FY901" s="10"/>
      <c r="FZ901" s="10"/>
      <c r="GA901" s="10"/>
      <c r="GB901" s="10"/>
      <c r="GC901" s="10"/>
      <c r="GD901" s="10"/>
      <c r="GE901" s="10"/>
      <c r="GF901" s="10"/>
      <c r="GG901" s="10"/>
      <c r="GH901" s="10"/>
      <c r="GI901" s="10"/>
      <c r="GJ901" s="10"/>
      <c r="GK901" s="10"/>
      <c r="GL901" s="10"/>
      <c r="GM901" s="10"/>
      <c r="GN901" s="10"/>
      <c r="GO901" s="10"/>
      <c r="GP901" s="10"/>
      <c r="GQ901" s="10"/>
      <c r="GR901" s="10"/>
      <c r="GS901" s="10"/>
      <c r="GT901" s="10"/>
      <c r="GU901" s="10"/>
      <c r="GV901" s="10"/>
      <c r="GW901" s="10"/>
      <c r="GX901" s="10"/>
      <c r="GY901" s="10"/>
      <c r="GZ901" s="10"/>
      <c r="HA901" s="10"/>
      <c r="HB901" s="10"/>
      <c r="HC901" s="10"/>
      <c r="HD901" s="10"/>
      <c r="HE901" s="10"/>
      <c r="HF901" s="10"/>
      <c r="HG901" s="10"/>
      <c r="HH901" s="10"/>
      <c r="HI901" s="10"/>
      <c r="HJ901" s="10"/>
      <c r="HK901" s="10"/>
      <c r="HL901" s="10"/>
      <c r="HM901" s="10"/>
      <c r="HN901" s="10"/>
      <c r="HO901" s="10"/>
      <c r="HP901" s="10"/>
      <c r="HQ901" s="10"/>
      <c r="HR901" s="10"/>
      <c r="HS901" s="10"/>
      <c r="HT901" s="10"/>
      <c r="HU901" s="10"/>
      <c r="HV901" s="10"/>
      <c r="HW901" s="10"/>
      <c r="HX901" s="10"/>
      <c r="HY901" s="10"/>
      <c r="HZ901" s="10"/>
      <c r="IA901" s="10"/>
      <c r="IB901" s="10"/>
      <c r="IC901" s="10"/>
      <c r="ID901" s="10"/>
      <c r="IE901" s="10"/>
      <c r="IF901" s="10"/>
      <c r="IG901" s="10"/>
      <c r="IH901" s="10"/>
      <c r="II901" s="10"/>
      <c r="IJ901" s="10"/>
      <c r="IK901" s="10"/>
      <c r="IL901" s="10"/>
      <c r="IM901" s="10"/>
      <c r="IN901" s="10"/>
      <c r="IO901" s="10"/>
      <c r="IP901" s="10"/>
      <c r="IQ901" s="10"/>
      <c r="IR901" s="10"/>
      <c r="IS901" s="10"/>
      <c r="IT901" s="10"/>
      <c r="IU901" s="10"/>
    </row>
    <row r="902" spans="1:255" s="37" customFormat="1" ht="18.75" customHeight="1">
      <c r="A902" s="29">
        <f>A900+1</f>
        <v>880</v>
      </c>
      <c r="B902" s="30"/>
      <c r="C902" s="30" t="s">
        <v>1250</v>
      </c>
      <c r="D902" s="30" t="s">
        <v>1469</v>
      </c>
      <c r="E902" s="31">
        <v>43011</v>
      </c>
      <c r="F902" s="30" t="s">
        <v>333</v>
      </c>
      <c r="G902" s="30" t="s">
        <v>334</v>
      </c>
      <c r="H902" s="30" t="s">
        <v>134</v>
      </c>
      <c r="I902" s="29">
        <v>1319000</v>
      </c>
      <c r="J902" s="29">
        <v>10</v>
      </c>
      <c r="K902" s="29">
        <v>131900</v>
      </c>
      <c r="L902" s="38"/>
      <c r="M902" s="39"/>
      <c r="N902" s="40"/>
      <c r="O902" s="35"/>
      <c r="P902" s="36"/>
      <c r="Q902" s="36"/>
      <c r="T902" s="36"/>
    </row>
    <row r="903" spans="1:255" s="37" customFormat="1" ht="18.75" customHeight="1">
      <c r="A903" s="29">
        <f>A902+1</f>
        <v>881</v>
      </c>
      <c r="B903" s="30"/>
      <c r="C903" s="30" t="s">
        <v>1470</v>
      </c>
      <c r="D903" s="30" t="s">
        <v>1471</v>
      </c>
      <c r="E903" s="31">
        <v>43016</v>
      </c>
      <c r="F903" s="30" t="s">
        <v>546</v>
      </c>
      <c r="G903" s="30" t="s">
        <v>547</v>
      </c>
      <c r="H903" s="30" t="s">
        <v>134</v>
      </c>
      <c r="I903" s="29">
        <v>2517000</v>
      </c>
      <c r="J903" s="29">
        <v>10</v>
      </c>
      <c r="K903" s="29">
        <v>251700</v>
      </c>
      <c r="L903" s="38"/>
      <c r="M903" s="39"/>
      <c r="N903" s="40"/>
      <c r="O903" s="35"/>
      <c r="P903" s="36"/>
      <c r="Q903" s="36"/>
      <c r="T903" s="36"/>
    </row>
    <row r="904" spans="1:255" s="37" customFormat="1" ht="18.75" customHeight="1">
      <c r="A904" s="29">
        <f t="shared" ref="A904:A967" si="17">A903+1</f>
        <v>882</v>
      </c>
      <c r="B904" s="30"/>
      <c r="C904" s="30" t="s">
        <v>291</v>
      </c>
      <c r="D904" s="30" t="s">
        <v>1472</v>
      </c>
      <c r="E904" s="31">
        <v>43018</v>
      </c>
      <c r="F904" s="30" t="s">
        <v>293</v>
      </c>
      <c r="G904" s="30" t="s">
        <v>294</v>
      </c>
      <c r="H904" s="30" t="s">
        <v>134</v>
      </c>
      <c r="I904" s="29">
        <v>3198182</v>
      </c>
      <c r="J904" s="29">
        <v>10</v>
      </c>
      <c r="K904" s="29">
        <v>319818</v>
      </c>
      <c r="L904" s="38"/>
      <c r="M904" s="39"/>
      <c r="N904" s="40"/>
      <c r="O904" s="35"/>
      <c r="P904" s="36"/>
      <c r="Q904" s="36"/>
      <c r="T904" s="36"/>
    </row>
    <row r="905" spans="1:255" s="37" customFormat="1" ht="18.75" customHeight="1">
      <c r="A905" s="29">
        <f t="shared" si="17"/>
        <v>883</v>
      </c>
      <c r="B905" s="30"/>
      <c r="C905" s="30" t="s">
        <v>1250</v>
      </c>
      <c r="D905" s="30" t="s">
        <v>1473</v>
      </c>
      <c r="E905" s="31">
        <v>43027</v>
      </c>
      <c r="F905" s="30" t="s">
        <v>333</v>
      </c>
      <c r="G905" s="30" t="s">
        <v>334</v>
      </c>
      <c r="H905" s="30" t="s">
        <v>134</v>
      </c>
      <c r="I905" s="29">
        <v>2135000</v>
      </c>
      <c r="J905" s="29">
        <v>10</v>
      </c>
      <c r="K905" s="29">
        <v>213500</v>
      </c>
      <c r="L905" s="38"/>
      <c r="M905" s="39"/>
      <c r="N905" s="40"/>
      <c r="O905" s="35"/>
      <c r="P905" s="36"/>
      <c r="Q905" s="36"/>
      <c r="T905" s="36"/>
    </row>
    <row r="906" spans="1:255" s="37" customFormat="1" ht="18.75" customHeight="1">
      <c r="A906" s="29">
        <f t="shared" si="17"/>
        <v>884</v>
      </c>
      <c r="B906" s="30"/>
      <c r="C906" s="30" t="s">
        <v>1474</v>
      </c>
      <c r="D906" s="30" t="s">
        <v>1475</v>
      </c>
      <c r="E906" s="31">
        <v>43030</v>
      </c>
      <c r="F906" s="30" t="s">
        <v>390</v>
      </c>
      <c r="G906" s="30" t="s">
        <v>391</v>
      </c>
      <c r="H906" s="30" t="s">
        <v>134</v>
      </c>
      <c r="I906" s="29">
        <v>1498182</v>
      </c>
      <c r="J906" s="29">
        <v>10</v>
      </c>
      <c r="K906" s="29">
        <v>149818</v>
      </c>
      <c r="L906" s="38"/>
      <c r="M906" s="39"/>
      <c r="N906" s="40"/>
      <c r="O906" s="35"/>
      <c r="P906" s="36"/>
      <c r="Q906" s="36"/>
      <c r="T906" s="36"/>
    </row>
    <row r="907" spans="1:255" s="37" customFormat="1" ht="18.75" customHeight="1">
      <c r="A907" s="29">
        <f t="shared" si="17"/>
        <v>885</v>
      </c>
      <c r="B907" s="30"/>
      <c r="C907" s="30" t="s">
        <v>1033</v>
      </c>
      <c r="D907" s="30" t="s">
        <v>1476</v>
      </c>
      <c r="E907" s="31">
        <v>43036</v>
      </c>
      <c r="F907" s="30" t="s">
        <v>1035</v>
      </c>
      <c r="G907" s="30" t="s">
        <v>1036</v>
      </c>
      <c r="H907" s="30" t="s">
        <v>134</v>
      </c>
      <c r="I907" s="29">
        <v>3231000</v>
      </c>
      <c r="J907" s="29">
        <v>10</v>
      </c>
      <c r="K907" s="29">
        <v>323100</v>
      </c>
      <c r="L907" s="38"/>
      <c r="M907" s="39"/>
      <c r="N907" s="40"/>
      <c r="O907" s="35"/>
      <c r="P907" s="36"/>
      <c r="Q907" s="36"/>
      <c r="T907" s="36"/>
    </row>
    <row r="908" spans="1:255" s="37" customFormat="1" ht="18.75" customHeight="1">
      <c r="A908" s="29">
        <f t="shared" si="17"/>
        <v>886</v>
      </c>
      <c r="B908" s="30"/>
      <c r="C908" s="30" t="s">
        <v>1335</v>
      </c>
      <c r="D908" s="30" t="s">
        <v>1477</v>
      </c>
      <c r="E908" s="31">
        <v>43039</v>
      </c>
      <c r="F908" s="30" t="s">
        <v>1337</v>
      </c>
      <c r="G908" s="30" t="s">
        <v>1338</v>
      </c>
      <c r="H908" s="30" t="s">
        <v>1478</v>
      </c>
      <c r="I908" s="29">
        <v>1688182</v>
      </c>
      <c r="J908" s="29">
        <v>10</v>
      </c>
      <c r="K908" s="29">
        <v>168818</v>
      </c>
      <c r="L908" s="38"/>
      <c r="M908" s="39"/>
      <c r="N908" s="40"/>
      <c r="O908" s="35"/>
      <c r="P908" s="36"/>
      <c r="Q908" s="36"/>
      <c r="T908" s="36"/>
    </row>
    <row r="909" spans="1:255" s="37" customFormat="1" ht="18.75" customHeight="1">
      <c r="A909" s="29">
        <f t="shared" si="17"/>
        <v>887</v>
      </c>
      <c r="B909" s="30"/>
      <c r="C909" s="30" t="s">
        <v>291</v>
      </c>
      <c r="D909" s="30" t="s">
        <v>1479</v>
      </c>
      <c r="E909" s="31">
        <v>43041</v>
      </c>
      <c r="F909" s="30" t="s">
        <v>293</v>
      </c>
      <c r="G909" s="30" t="s">
        <v>294</v>
      </c>
      <c r="H909" s="30" t="s">
        <v>134</v>
      </c>
      <c r="I909" s="29">
        <v>5046364</v>
      </c>
      <c r="J909" s="29">
        <v>10</v>
      </c>
      <c r="K909" s="29">
        <v>504636</v>
      </c>
      <c r="L909" s="38"/>
      <c r="M909" s="39"/>
      <c r="N909" s="40"/>
      <c r="O909" s="35"/>
      <c r="P909" s="36"/>
      <c r="Q909" s="36"/>
      <c r="T909" s="36"/>
    </row>
    <row r="910" spans="1:255" s="37" customFormat="1" ht="18.75" customHeight="1">
      <c r="A910" s="29">
        <f t="shared" si="17"/>
        <v>888</v>
      </c>
      <c r="B910" s="30"/>
      <c r="C910" s="30" t="s">
        <v>93</v>
      </c>
      <c r="D910" s="30" t="s">
        <v>1480</v>
      </c>
      <c r="E910" s="31">
        <v>43045</v>
      </c>
      <c r="F910" s="30" t="s">
        <v>49</v>
      </c>
      <c r="G910" s="30" t="s">
        <v>50</v>
      </c>
      <c r="H910" s="30" t="s">
        <v>864</v>
      </c>
      <c r="I910" s="29">
        <v>167680000</v>
      </c>
      <c r="J910" s="29">
        <v>10</v>
      </c>
      <c r="K910" s="29">
        <v>16768000</v>
      </c>
      <c r="L910" s="38" t="s">
        <v>52</v>
      </c>
      <c r="M910" s="39">
        <v>43116</v>
      </c>
      <c r="N910" s="40" t="s">
        <v>1481</v>
      </c>
      <c r="O910" s="35"/>
      <c r="P910" s="36"/>
      <c r="Q910" s="36"/>
      <c r="T910" s="36"/>
    </row>
    <row r="911" spans="1:255" s="37" customFormat="1" ht="18.75" customHeight="1">
      <c r="A911" s="29">
        <f t="shared" si="17"/>
        <v>889</v>
      </c>
      <c r="B911" s="30"/>
      <c r="C911" s="30" t="s">
        <v>1250</v>
      </c>
      <c r="D911" s="30" t="s">
        <v>1482</v>
      </c>
      <c r="E911" s="31">
        <v>43046</v>
      </c>
      <c r="F911" s="30" t="s">
        <v>333</v>
      </c>
      <c r="G911" s="30" t="s">
        <v>334</v>
      </c>
      <c r="H911" s="30" t="s">
        <v>134</v>
      </c>
      <c r="I911" s="29">
        <v>784000</v>
      </c>
      <c r="J911" s="29">
        <v>10</v>
      </c>
      <c r="K911" s="29">
        <v>78400</v>
      </c>
      <c r="L911" s="38"/>
      <c r="M911" s="39"/>
      <c r="N911" s="40"/>
      <c r="O911" s="35"/>
      <c r="P911" s="36"/>
      <c r="Q911" s="36"/>
      <c r="T911" s="36"/>
    </row>
    <row r="912" spans="1:255" s="37" customFormat="1" ht="18.75" customHeight="1">
      <c r="A912" s="29">
        <f t="shared" si="17"/>
        <v>890</v>
      </c>
      <c r="B912" s="30"/>
      <c r="C912" s="30" t="s">
        <v>54</v>
      </c>
      <c r="D912" s="30" t="s">
        <v>1483</v>
      </c>
      <c r="E912" s="31">
        <v>43048</v>
      </c>
      <c r="F912" s="30" t="s">
        <v>56</v>
      </c>
      <c r="G912" s="30" t="s">
        <v>57</v>
      </c>
      <c r="H912" s="30" t="s">
        <v>1484</v>
      </c>
      <c r="I912" s="29">
        <v>6527500</v>
      </c>
      <c r="J912" s="29">
        <v>10</v>
      </c>
      <c r="K912" s="29">
        <v>652750</v>
      </c>
      <c r="L912" s="38"/>
      <c r="M912" s="39"/>
      <c r="N912" s="40"/>
      <c r="O912" s="35"/>
      <c r="P912" s="36"/>
      <c r="Q912" s="36"/>
      <c r="T912" s="36"/>
    </row>
    <row r="913" spans="1:20" s="37" customFormat="1" ht="18.75" customHeight="1">
      <c r="A913" s="29">
        <f t="shared" si="17"/>
        <v>891</v>
      </c>
      <c r="B913" s="30"/>
      <c r="C913" s="30" t="s">
        <v>291</v>
      </c>
      <c r="D913" s="30" t="s">
        <v>1485</v>
      </c>
      <c r="E913" s="31">
        <v>43048</v>
      </c>
      <c r="F913" s="30" t="s">
        <v>293</v>
      </c>
      <c r="G913" s="30" t="s">
        <v>294</v>
      </c>
      <c r="H913" s="30" t="s">
        <v>134</v>
      </c>
      <c r="I913" s="29">
        <v>2880000</v>
      </c>
      <c r="J913" s="29">
        <v>10</v>
      </c>
      <c r="K913" s="29">
        <v>288000</v>
      </c>
      <c r="L913" s="38"/>
      <c r="M913" s="39"/>
      <c r="N913" s="40"/>
      <c r="O913" s="35"/>
      <c r="P913" s="36"/>
      <c r="Q913" s="36"/>
      <c r="T913" s="36"/>
    </row>
    <row r="914" spans="1:20" s="37" customFormat="1" ht="18.75" customHeight="1">
      <c r="A914" s="29">
        <f t="shared" si="17"/>
        <v>892</v>
      </c>
      <c r="B914" s="30"/>
      <c r="C914" s="30" t="s">
        <v>54</v>
      </c>
      <c r="D914" s="30" t="s">
        <v>1486</v>
      </c>
      <c r="E914" s="31">
        <v>43053</v>
      </c>
      <c r="F914" s="30" t="s">
        <v>56</v>
      </c>
      <c r="G914" s="30" t="s">
        <v>57</v>
      </c>
      <c r="H914" s="30" t="s">
        <v>1484</v>
      </c>
      <c r="I914" s="29">
        <v>16439150</v>
      </c>
      <c r="J914" s="29">
        <v>10</v>
      </c>
      <c r="K914" s="29">
        <v>1643915</v>
      </c>
      <c r="L914" s="38"/>
      <c r="M914" s="39"/>
      <c r="N914" s="40"/>
      <c r="O914" s="35"/>
      <c r="P914" s="36"/>
      <c r="Q914" s="36"/>
      <c r="T914" s="36"/>
    </row>
    <row r="915" spans="1:20" s="37" customFormat="1" ht="18.75" customHeight="1">
      <c r="A915" s="29">
        <f t="shared" si="17"/>
        <v>893</v>
      </c>
      <c r="B915" s="30"/>
      <c r="C915" s="30" t="s">
        <v>54</v>
      </c>
      <c r="D915" s="30" t="s">
        <v>1487</v>
      </c>
      <c r="E915" s="31">
        <v>43059</v>
      </c>
      <c r="F915" s="30" t="s">
        <v>56</v>
      </c>
      <c r="G915" s="30" t="s">
        <v>57</v>
      </c>
      <c r="H915" s="30" t="s">
        <v>1484</v>
      </c>
      <c r="I915" s="29">
        <v>11482700</v>
      </c>
      <c r="J915" s="29">
        <v>10</v>
      </c>
      <c r="K915" s="29">
        <v>1148270</v>
      </c>
      <c r="L915" s="38"/>
      <c r="M915" s="39"/>
      <c r="N915" s="40"/>
      <c r="O915" s="35"/>
      <c r="P915" s="36"/>
      <c r="Q915" s="36"/>
      <c r="T915" s="36"/>
    </row>
    <row r="916" spans="1:20" s="37" customFormat="1" ht="18.75" customHeight="1">
      <c r="A916" s="29">
        <f t="shared" si="17"/>
        <v>894</v>
      </c>
      <c r="B916" s="30"/>
      <c r="C916" s="30" t="s">
        <v>69</v>
      </c>
      <c r="D916" s="30" t="s">
        <v>1488</v>
      </c>
      <c r="E916" s="31">
        <v>43059</v>
      </c>
      <c r="F916" s="30" t="s">
        <v>71</v>
      </c>
      <c r="G916" s="30" t="s">
        <v>72</v>
      </c>
      <c r="H916" s="30" t="s">
        <v>1350</v>
      </c>
      <c r="I916" s="29">
        <v>2400000</v>
      </c>
      <c r="J916" s="29">
        <v>10</v>
      </c>
      <c r="K916" s="29">
        <v>240000</v>
      </c>
      <c r="L916" s="38"/>
      <c r="M916" s="39"/>
      <c r="N916" s="40"/>
      <c r="O916" s="35"/>
      <c r="P916" s="36"/>
      <c r="Q916" s="36"/>
      <c r="T916" s="36"/>
    </row>
    <row r="917" spans="1:20" s="37" customFormat="1" ht="18.75" customHeight="1">
      <c r="A917" s="29">
        <f t="shared" si="17"/>
        <v>895</v>
      </c>
      <c r="B917" s="30"/>
      <c r="C917" s="30" t="s">
        <v>1335</v>
      </c>
      <c r="D917" s="30" t="s">
        <v>1489</v>
      </c>
      <c r="E917" s="31">
        <v>43060</v>
      </c>
      <c r="F917" s="30" t="s">
        <v>1337</v>
      </c>
      <c r="G917" s="30" t="s">
        <v>1338</v>
      </c>
      <c r="H917" s="30" t="s">
        <v>1478</v>
      </c>
      <c r="I917" s="29">
        <v>1051636</v>
      </c>
      <c r="J917" s="29">
        <v>10</v>
      </c>
      <c r="K917" s="29">
        <v>105164</v>
      </c>
      <c r="L917" s="38"/>
      <c r="M917" s="39"/>
      <c r="N917" s="40"/>
      <c r="O917" s="35"/>
      <c r="P917" s="36"/>
      <c r="Q917" s="36"/>
      <c r="T917" s="36"/>
    </row>
    <row r="918" spans="1:20" s="37" customFormat="1" ht="18.75" customHeight="1">
      <c r="A918" s="29">
        <f t="shared" si="17"/>
        <v>896</v>
      </c>
      <c r="B918" s="30"/>
      <c r="C918" s="30" t="s">
        <v>93</v>
      </c>
      <c r="D918" s="30" t="s">
        <v>1490</v>
      </c>
      <c r="E918" s="31">
        <v>43061</v>
      </c>
      <c r="F918" s="30" t="s">
        <v>49</v>
      </c>
      <c r="G918" s="30" t="s">
        <v>50</v>
      </c>
      <c r="H918" s="30" t="s">
        <v>864</v>
      </c>
      <c r="I918" s="29">
        <v>218160000</v>
      </c>
      <c r="J918" s="29">
        <v>10</v>
      </c>
      <c r="K918" s="29">
        <v>21816000</v>
      </c>
      <c r="L918" s="38" t="s">
        <v>52</v>
      </c>
      <c r="M918" s="39">
        <v>43116</v>
      </c>
      <c r="N918" s="40" t="s">
        <v>1481</v>
      </c>
      <c r="O918" s="35"/>
      <c r="P918" s="36"/>
      <c r="Q918" s="36"/>
      <c r="T918" s="36"/>
    </row>
    <row r="919" spans="1:20" s="37" customFormat="1" ht="18.75" customHeight="1">
      <c r="A919" s="29">
        <f t="shared" si="17"/>
        <v>897</v>
      </c>
      <c r="B919" s="30"/>
      <c r="C919" s="30" t="s">
        <v>1346</v>
      </c>
      <c r="D919" s="30" t="s">
        <v>1491</v>
      </c>
      <c r="E919" s="31">
        <v>43064</v>
      </c>
      <c r="F919" s="30" t="s">
        <v>546</v>
      </c>
      <c r="G919" s="30" t="s">
        <v>547</v>
      </c>
      <c r="H919" s="30" t="s">
        <v>134</v>
      </c>
      <c r="I919" s="29">
        <v>1416000</v>
      </c>
      <c r="J919" s="29">
        <v>10</v>
      </c>
      <c r="K919" s="29">
        <v>141600</v>
      </c>
      <c r="L919" s="38"/>
      <c r="M919" s="39"/>
      <c r="N919" s="40"/>
      <c r="O919" s="35"/>
      <c r="P919" s="36"/>
      <c r="Q919" s="36"/>
      <c r="T919" s="36"/>
    </row>
    <row r="920" spans="1:20" s="37" customFormat="1" ht="18.75" customHeight="1">
      <c r="A920" s="29">
        <f t="shared" si="17"/>
        <v>898</v>
      </c>
      <c r="B920" s="30"/>
      <c r="C920" s="30" t="s">
        <v>502</v>
      </c>
      <c r="D920" s="30" t="s">
        <v>1492</v>
      </c>
      <c r="E920" s="31">
        <v>43067</v>
      </c>
      <c r="F920" s="30" t="s">
        <v>127</v>
      </c>
      <c r="G920" s="30" t="s">
        <v>128</v>
      </c>
      <c r="H920" s="30" t="s">
        <v>129</v>
      </c>
      <c r="I920" s="29">
        <v>454545</v>
      </c>
      <c r="J920" s="29">
        <v>10</v>
      </c>
      <c r="K920" s="29">
        <v>45455</v>
      </c>
      <c r="L920" s="38"/>
      <c r="M920" s="39"/>
      <c r="N920" s="40"/>
      <c r="O920" s="35"/>
      <c r="P920" s="36"/>
      <c r="Q920" s="36"/>
      <c r="T920" s="36"/>
    </row>
    <row r="921" spans="1:20" s="37" customFormat="1" ht="18.75" customHeight="1">
      <c r="A921" s="29">
        <f t="shared" si="17"/>
        <v>899</v>
      </c>
      <c r="B921" s="30"/>
      <c r="C921" s="30" t="s">
        <v>1335</v>
      </c>
      <c r="D921" s="30" t="s">
        <v>1493</v>
      </c>
      <c r="E921" s="31">
        <v>43068</v>
      </c>
      <c r="F921" s="30" t="s">
        <v>1337</v>
      </c>
      <c r="G921" s="30" t="s">
        <v>1338</v>
      </c>
      <c r="H921" s="30" t="s">
        <v>1478</v>
      </c>
      <c r="I921" s="29">
        <v>1577455</v>
      </c>
      <c r="J921" s="29">
        <v>10</v>
      </c>
      <c r="K921" s="29">
        <v>157746</v>
      </c>
      <c r="L921" s="38"/>
      <c r="M921" s="39"/>
      <c r="N921" s="40"/>
      <c r="O921" s="35"/>
      <c r="P921" s="36"/>
      <c r="Q921" s="36"/>
      <c r="T921" s="36"/>
    </row>
    <row r="922" spans="1:20" s="37" customFormat="1" ht="18.75" customHeight="1">
      <c r="A922" s="29">
        <f t="shared" si="17"/>
        <v>900</v>
      </c>
      <c r="B922" s="30"/>
      <c r="C922" s="30" t="s">
        <v>54</v>
      </c>
      <c r="D922" s="30" t="s">
        <v>1494</v>
      </c>
      <c r="E922" s="31">
        <v>43069</v>
      </c>
      <c r="F922" s="30" t="s">
        <v>56</v>
      </c>
      <c r="G922" s="30" t="s">
        <v>57</v>
      </c>
      <c r="H922" s="30" t="s">
        <v>1484</v>
      </c>
      <c r="I922" s="29">
        <v>12094084</v>
      </c>
      <c r="J922" s="29">
        <v>10</v>
      </c>
      <c r="K922" s="29">
        <v>1209408</v>
      </c>
      <c r="L922" s="38"/>
      <c r="M922" s="39"/>
      <c r="N922" s="40"/>
      <c r="O922" s="35"/>
      <c r="P922" s="36"/>
      <c r="Q922" s="36"/>
      <c r="T922" s="36"/>
    </row>
    <row r="923" spans="1:20" s="37" customFormat="1" ht="18.75" customHeight="1">
      <c r="A923" s="29">
        <f t="shared" si="17"/>
        <v>901</v>
      </c>
      <c r="B923" s="30"/>
      <c r="C923" s="30" t="s">
        <v>291</v>
      </c>
      <c r="D923" s="30" t="s">
        <v>1495</v>
      </c>
      <c r="E923" s="31">
        <v>43069</v>
      </c>
      <c r="F923" s="30" t="s">
        <v>293</v>
      </c>
      <c r="G923" s="30" t="s">
        <v>294</v>
      </c>
      <c r="H923" s="30" t="s">
        <v>134</v>
      </c>
      <c r="I923" s="29">
        <v>2510000</v>
      </c>
      <c r="J923" s="29">
        <v>10</v>
      </c>
      <c r="K923" s="29">
        <v>251000</v>
      </c>
      <c r="L923" s="38"/>
      <c r="M923" s="39"/>
      <c r="N923" s="40"/>
      <c r="O923" s="35"/>
      <c r="P923" s="36"/>
      <c r="Q923" s="36"/>
      <c r="T923" s="36"/>
    </row>
    <row r="924" spans="1:20" s="37" customFormat="1" ht="18.75" customHeight="1">
      <c r="A924" s="29">
        <f t="shared" si="17"/>
        <v>902</v>
      </c>
      <c r="B924" s="30"/>
      <c r="C924" s="30" t="s">
        <v>69</v>
      </c>
      <c r="D924" s="30" t="s">
        <v>1496</v>
      </c>
      <c r="E924" s="31">
        <v>43069</v>
      </c>
      <c r="F924" s="30" t="s">
        <v>71</v>
      </c>
      <c r="G924" s="30" t="s">
        <v>72</v>
      </c>
      <c r="H924" s="30" t="s">
        <v>1350</v>
      </c>
      <c r="I924" s="29">
        <v>800000</v>
      </c>
      <c r="J924" s="29">
        <v>10</v>
      </c>
      <c r="K924" s="29">
        <v>80000</v>
      </c>
      <c r="L924" s="38"/>
      <c r="M924" s="39"/>
      <c r="N924" s="40"/>
      <c r="O924" s="35"/>
      <c r="P924" s="36"/>
      <c r="Q924" s="36"/>
      <c r="T924" s="36"/>
    </row>
    <row r="925" spans="1:20" s="37" customFormat="1" ht="18.75" customHeight="1">
      <c r="A925" s="29">
        <f t="shared" si="17"/>
        <v>903</v>
      </c>
      <c r="B925" s="30"/>
      <c r="C925" s="30" t="s">
        <v>1497</v>
      </c>
      <c r="D925" s="30" t="s">
        <v>1294</v>
      </c>
      <c r="E925" s="31">
        <v>43070</v>
      </c>
      <c r="F925" s="30" t="s">
        <v>1498</v>
      </c>
      <c r="G925" s="30" t="s">
        <v>1499</v>
      </c>
      <c r="H925" s="30" t="s">
        <v>316</v>
      </c>
      <c r="I925" s="29">
        <v>1495455</v>
      </c>
      <c r="J925" s="29">
        <v>10</v>
      </c>
      <c r="K925" s="29">
        <v>149545</v>
      </c>
      <c r="L925" s="38"/>
      <c r="M925" s="39"/>
      <c r="N925" s="40"/>
      <c r="O925" s="35"/>
      <c r="P925" s="36"/>
      <c r="Q925" s="36"/>
      <c r="T925" s="36"/>
    </row>
    <row r="926" spans="1:20" s="37" customFormat="1" ht="18.75" customHeight="1">
      <c r="A926" s="29">
        <f t="shared" si="17"/>
        <v>904</v>
      </c>
      <c r="B926" s="30"/>
      <c r="C926" s="30" t="s">
        <v>1500</v>
      </c>
      <c r="D926" s="30" t="s">
        <v>1501</v>
      </c>
      <c r="E926" s="31">
        <v>43070</v>
      </c>
      <c r="F926" s="30" t="s">
        <v>89</v>
      </c>
      <c r="G926" s="30" t="s">
        <v>90</v>
      </c>
      <c r="H926" s="30" t="s">
        <v>858</v>
      </c>
      <c r="I926" s="29">
        <v>221407</v>
      </c>
      <c r="J926" s="29">
        <v>10</v>
      </c>
      <c r="K926" s="29">
        <v>22141</v>
      </c>
      <c r="L926" s="38"/>
      <c r="M926" s="39"/>
      <c r="N926" s="40"/>
      <c r="O926" s="35"/>
      <c r="P926" s="36"/>
      <c r="Q926" s="36"/>
      <c r="T926" s="36"/>
    </row>
    <row r="927" spans="1:20" s="37" customFormat="1" ht="18.75" customHeight="1">
      <c r="A927" s="29">
        <f t="shared" si="17"/>
        <v>905</v>
      </c>
      <c r="B927" s="30"/>
      <c r="C927" s="30" t="s">
        <v>1500</v>
      </c>
      <c r="D927" s="30" t="s">
        <v>1502</v>
      </c>
      <c r="E927" s="31">
        <v>43070</v>
      </c>
      <c r="F927" s="30" t="s">
        <v>89</v>
      </c>
      <c r="G927" s="30" t="s">
        <v>90</v>
      </c>
      <c r="H927" s="30" t="s">
        <v>858</v>
      </c>
      <c r="I927" s="29">
        <v>457947</v>
      </c>
      <c r="J927" s="29">
        <v>10</v>
      </c>
      <c r="K927" s="29">
        <v>45795</v>
      </c>
      <c r="L927" s="38"/>
      <c r="M927" s="39"/>
      <c r="N927" s="40"/>
      <c r="O927" s="35"/>
      <c r="P927" s="36"/>
      <c r="Q927" s="36"/>
      <c r="T927" s="36"/>
    </row>
    <row r="928" spans="1:20" s="37" customFormat="1" ht="18.75" customHeight="1">
      <c r="A928" s="29">
        <f t="shared" si="17"/>
        <v>906</v>
      </c>
      <c r="B928" s="30"/>
      <c r="C928" s="30" t="s">
        <v>1335</v>
      </c>
      <c r="D928" s="30" t="s">
        <v>1503</v>
      </c>
      <c r="E928" s="31">
        <v>43071</v>
      </c>
      <c r="F928" s="30" t="s">
        <v>1337</v>
      </c>
      <c r="G928" s="30" t="s">
        <v>1338</v>
      </c>
      <c r="H928" s="30" t="s">
        <v>1478</v>
      </c>
      <c r="I928" s="29">
        <v>911418</v>
      </c>
      <c r="J928" s="29">
        <v>10</v>
      </c>
      <c r="K928" s="29">
        <v>91142</v>
      </c>
      <c r="L928" s="38"/>
      <c r="M928" s="39"/>
      <c r="N928" s="40"/>
      <c r="O928" s="35"/>
      <c r="P928" s="36"/>
      <c r="Q928" s="36"/>
      <c r="T928" s="36"/>
    </row>
    <row r="929" spans="1:20" s="37" customFormat="1" ht="18.75" customHeight="1">
      <c r="A929" s="29">
        <f t="shared" si="17"/>
        <v>907</v>
      </c>
      <c r="B929" s="30"/>
      <c r="C929" s="30" t="s">
        <v>93</v>
      </c>
      <c r="D929" s="30" t="s">
        <v>1504</v>
      </c>
      <c r="E929" s="31">
        <v>43071</v>
      </c>
      <c r="F929" s="30" t="s">
        <v>49</v>
      </c>
      <c r="G929" s="30" t="s">
        <v>50</v>
      </c>
      <c r="H929" s="30" t="s">
        <v>864</v>
      </c>
      <c r="I929" s="29">
        <v>150800000</v>
      </c>
      <c r="J929" s="29">
        <v>10</v>
      </c>
      <c r="K929" s="29">
        <v>15080000</v>
      </c>
      <c r="L929" s="38" t="s">
        <v>52</v>
      </c>
      <c r="M929" s="39">
        <v>43116</v>
      </c>
      <c r="N929" s="40" t="s">
        <v>1481</v>
      </c>
      <c r="O929" s="35"/>
      <c r="P929" s="36"/>
      <c r="Q929" s="36"/>
      <c r="T929" s="36"/>
    </row>
    <row r="930" spans="1:20" s="37" customFormat="1" ht="18.75" customHeight="1">
      <c r="A930" s="29">
        <f t="shared" si="17"/>
        <v>908</v>
      </c>
      <c r="B930" s="30"/>
      <c r="C930" s="30" t="s">
        <v>617</v>
      </c>
      <c r="D930" s="30" t="s">
        <v>1505</v>
      </c>
      <c r="E930" s="31">
        <v>43073</v>
      </c>
      <c r="F930" s="30" t="s">
        <v>835</v>
      </c>
      <c r="G930" s="30" t="s">
        <v>836</v>
      </c>
      <c r="H930" s="30" t="s">
        <v>858</v>
      </c>
      <c r="I930" s="29">
        <v>468410</v>
      </c>
      <c r="J930" s="29">
        <v>10</v>
      </c>
      <c r="K930" s="29">
        <v>46841</v>
      </c>
      <c r="L930" s="38"/>
      <c r="M930" s="39"/>
      <c r="N930" s="40"/>
      <c r="O930" s="35"/>
      <c r="P930" s="36"/>
      <c r="Q930" s="36"/>
      <c r="T930" s="36"/>
    </row>
    <row r="931" spans="1:20" s="37" customFormat="1" ht="18.75" customHeight="1">
      <c r="A931" s="29">
        <f t="shared" si="17"/>
        <v>909</v>
      </c>
      <c r="B931" s="30"/>
      <c r="C931" s="30" t="s">
        <v>502</v>
      </c>
      <c r="D931" s="30" t="s">
        <v>1506</v>
      </c>
      <c r="E931" s="31">
        <v>43073</v>
      </c>
      <c r="F931" s="30" t="s">
        <v>127</v>
      </c>
      <c r="G931" s="30" t="s">
        <v>128</v>
      </c>
      <c r="H931" s="30" t="s">
        <v>129</v>
      </c>
      <c r="I931" s="29">
        <v>454545</v>
      </c>
      <c r="J931" s="29">
        <v>10</v>
      </c>
      <c r="K931" s="29">
        <v>45455</v>
      </c>
      <c r="L931" s="38"/>
      <c r="M931" s="39"/>
      <c r="N931" s="40"/>
      <c r="O931" s="35"/>
      <c r="P931" s="36"/>
      <c r="Q931" s="36"/>
      <c r="T931" s="36"/>
    </row>
    <row r="932" spans="1:20" s="37" customFormat="1" ht="18.75" customHeight="1">
      <c r="A932" s="29">
        <f t="shared" si="17"/>
        <v>910</v>
      </c>
      <c r="B932" s="30"/>
      <c r="C932" s="30" t="s">
        <v>1507</v>
      </c>
      <c r="D932" s="30" t="s">
        <v>1508</v>
      </c>
      <c r="E932" s="31">
        <v>43074</v>
      </c>
      <c r="F932" s="30" t="s">
        <v>1509</v>
      </c>
      <c r="G932" s="30" t="s">
        <v>1510</v>
      </c>
      <c r="H932" s="30" t="s">
        <v>134</v>
      </c>
      <c r="I932" s="29">
        <v>2066000</v>
      </c>
      <c r="J932" s="29">
        <v>10</v>
      </c>
      <c r="K932" s="29">
        <v>206600</v>
      </c>
      <c r="L932" s="38"/>
      <c r="M932" s="39"/>
      <c r="N932" s="40"/>
      <c r="O932" s="35"/>
      <c r="P932" s="36"/>
      <c r="Q932" s="36"/>
      <c r="T932" s="36"/>
    </row>
    <row r="933" spans="1:20" s="37" customFormat="1" ht="18.75" customHeight="1">
      <c r="A933" s="29">
        <f t="shared" si="17"/>
        <v>911</v>
      </c>
      <c r="B933" s="30"/>
      <c r="C933" s="30" t="s">
        <v>468</v>
      </c>
      <c r="D933" s="30" t="s">
        <v>1511</v>
      </c>
      <c r="E933" s="31">
        <v>43074</v>
      </c>
      <c r="F933" s="30" t="s">
        <v>1512</v>
      </c>
      <c r="G933" s="30" t="s">
        <v>182</v>
      </c>
      <c r="H933" s="30" t="s">
        <v>1513</v>
      </c>
      <c r="I933" s="29">
        <v>722909</v>
      </c>
      <c r="J933" s="29">
        <v>10</v>
      </c>
      <c r="K933" s="29">
        <v>72291</v>
      </c>
      <c r="L933" s="38"/>
      <c r="M933" s="39"/>
      <c r="N933" s="40"/>
      <c r="O933" s="35"/>
      <c r="P933" s="36"/>
      <c r="Q933" s="36"/>
      <c r="T933" s="36"/>
    </row>
    <row r="934" spans="1:20" s="37" customFormat="1" ht="18.75" customHeight="1">
      <c r="A934" s="29">
        <f t="shared" si="17"/>
        <v>912</v>
      </c>
      <c r="B934" s="30"/>
      <c r="C934" s="30" t="s">
        <v>468</v>
      </c>
      <c r="D934" s="30" t="s">
        <v>1514</v>
      </c>
      <c r="E934" s="31">
        <v>43074</v>
      </c>
      <c r="F934" s="30" t="s">
        <v>1512</v>
      </c>
      <c r="G934" s="30" t="s">
        <v>182</v>
      </c>
      <c r="H934" s="30" t="s">
        <v>1513</v>
      </c>
      <c r="I934" s="29">
        <v>844091</v>
      </c>
      <c r="J934" s="29">
        <v>10</v>
      </c>
      <c r="K934" s="29">
        <v>84409</v>
      </c>
      <c r="L934" s="38"/>
      <c r="M934" s="39"/>
      <c r="N934" s="40"/>
      <c r="O934" s="35"/>
      <c r="P934" s="36"/>
      <c r="Q934" s="36"/>
      <c r="T934" s="36"/>
    </row>
    <row r="935" spans="1:20" s="37" customFormat="1" ht="18.75" customHeight="1">
      <c r="A935" s="29">
        <f t="shared" si="17"/>
        <v>913</v>
      </c>
      <c r="B935" s="30"/>
      <c r="C935" s="30" t="s">
        <v>617</v>
      </c>
      <c r="D935" s="30" t="s">
        <v>1515</v>
      </c>
      <c r="E935" s="31">
        <v>43074</v>
      </c>
      <c r="F935" s="30" t="s">
        <v>835</v>
      </c>
      <c r="G935" s="30" t="s">
        <v>836</v>
      </c>
      <c r="H935" s="30" t="s">
        <v>858</v>
      </c>
      <c r="I935" s="29">
        <v>349929</v>
      </c>
      <c r="J935" s="29">
        <v>10</v>
      </c>
      <c r="K935" s="29">
        <v>34993</v>
      </c>
      <c r="L935" s="38"/>
      <c r="M935" s="39"/>
      <c r="N935" s="40"/>
      <c r="O935" s="35"/>
      <c r="P935" s="36"/>
      <c r="Q935" s="36"/>
      <c r="T935" s="36"/>
    </row>
    <row r="936" spans="1:20" s="37" customFormat="1" ht="18.75" customHeight="1">
      <c r="A936" s="29">
        <f t="shared" si="17"/>
        <v>914</v>
      </c>
      <c r="B936" s="30"/>
      <c r="C936" s="30" t="s">
        <v>617</v>
      </c>
      <c r="D936" s="30" t="s">
        <v>1516</v>
      </c>
      <c r="E936" s="31">
        <v>43074</v>
      </c>
      <c r="F936" s="30" t="s">
        <v>835</v>
      </c>
      <c r="G936" s="30" t="s">
        <v>836</v>
      </c>
      <c r="H936" s="30" t="s">
        <v>858</v>
      </c>
      <c r="I936" s="29">
        <v>252490</v>
      </c>
      <c r="J936" s="29">
        <v>10</v>
      </c>
      <c r="K936" s="29">
        <v>25249</v>
      </c>
      <c r="L936" s="38"/>
      <c r="M936" s="39"/>
      <c r="N936" s="40"/>
      <c r="O936" s="35"/>
      <c r="P936" s="36"/>
      <c r="Q936" s="36"/>
      <c r="T936" s="36"/>
    </row>
    <row r="937" spans="1:20" s="37" customFormat="1" ht="18.75" customHeight="1">
      <c r="A937" s="29">
        <f t="shared" si="17"/>
        <v>915</v>
      </c>
      <c r="B937" s="30"/>
      <c r="C937" s="30" t="s">
        <v>502</v>
      </c>
      <c r="D937" s="30" t="s">
        <v>1517</v>
      </c>
      <c r="E937" s="31">
        <v>43074</v>
      </c>
      <c r="F937" s="30" t="s">
        <v>666</v>
      </c>
      <c r="G937" s="30" t="s">
        <v>363</v>
      </c>
      <c r="H937" s="30" t="s">
        <v>129</v>
      </c>
      <c r="I937" s="29">
        <v>2729091</v>
      </c>
      <c r="J937" s="29">
        <v>10</v>
      </c>
      <c r="K937" s="29">
        <v>272909</v>
      </c>
      <c r="L937" s="38"/>
      <c r="M937" s="39"/>
      <c r="N937" s="40"/>
      <c r="O937" s="35"/>
      <c r="P937" s="36"/>
      <c r="Q937" s="36"/>
      <c r="T937" s="36"/>
    </row>
    <row r="938" spans="1:20" s="37" customFormat="1" ht="18.75" customHeight="1">
      <c r="A938" s="29">
        <f t="shared" si="17"/>
        <v>916</v>
      </c>
      <c r="B938" s="30"/>
      <c r="C938" s="30" t="s">
        <v>112</v>
      </c>
      <c r="D938" s="30" t="s">
        <v>1518</v>
      </c>
      <c r="E938" s="31">
        <v>43074</v>
      </c>
      <c r="F938" s="30" t="s">
        <v>114</v>
      </c>
      <c r="G938" s="30" t="s">
        <v>115</v>
      </c>
      <c r="H938" s="30" t="s">
        <v>116</v>
      </c>
      <c r="I938" s="29">
        <v>10000</v>
      </c>
      <c r="J938" s="29">
        <v>10</v>
      </c>
      <c r="K938" s="29">
        <v>1000</v>
      </c>
      <c r="L938" s="38"/>
      <c r="M938" s="39"/>
      <c r="N938" s="40"/>
      <c r="O938" s="35"/>
      <c r="P938" s="36"/>
      <c r="Q938" s="36"/>
      <c r="T938" s="36"/>
    </row>
    <row r="939" spans="1:20" s="37" customFormat="1" ht="18.75" customHeight="1">
      <c r="A939" s="29">
        <f t="shared" si="17"/>
        <v>917</v>
      </c>
      <c r="B939" s="30"/>
      <c r="C939" s="30" t="s">
        <v>112</v>
      </c>
      <c r="D939" s="30" t="s">
        <v>1519</v>
      </c>
      <c r="E939" s="31">
        <v>43074</v>
      </c>
      <c r="F939" s="30" t="s">
        <v>114</v>
      </c>
      <c r="G939" s="30" t="s">
        <v>115</v>
      </c>
      <c r="H939" s="30" t="s">
        <v>116</v>
      </c>
      <c r="I939" s="29">
        <v>10000</v>
      </c>
      <c r="J939" s="29">
        <v>10</v>
      </c>
      <c r="K939" s="29">
        <v>1000</v>
      </c>
      <c r="L939" s="38"/>
      <c r="M939" s="39"/>
      <c r="N939" s="40"/>
      <c r="O939" s="35"/>
      <c r="P939" s="36"/>
      <c r="Q939" s="36"/>
      <c r="T939" s="36"/>
    </row>
    <row r="940" spans="1:20" s="37" customFormat="1" ht="18.75" customHeight="1">
      <c r="A940" s="29">
        <f t="shared" si="17"/>
        <v>918</v>
      </c>
      <c r="B940" s="30"/>
      <c r="C940" s="30" t="s">
        <v>112</v>
      </c>
      <c r="D940" s="30" t="s">
        <v>1520</v>
      </c>
      <c r="E940" s="31">
        <v>43074</v>
      </c>
      <c r="F940" s="30" t="s">
        <v>114</v>
      </c>
      <c r="G940" s="30" t="s">
        <v>115</v>
      </c>
      <c r="H940" s="30" t="s">
        <v>116</v>
      </c>
      <c r="I940" s="29">
        <v>10000</v>
      </c>
      <c r="J940" s="29">
        <v>10</v>
      </c>
      <c r="K940" s="29">
        <v>1000</v>
      </c>
      <c r="L940" s="38"/>
      <c r="M940" s="39"/>
      <c r="N940" s="40"/>
      <c r="O940" s="35"/>
      <c r="P940" s="36"/>
      <c r="Q940" s="36"/>
      <c r="T940" s="36"/>
    </row>
    <row r="941" spans="1:20" s="37" customFormat="1" ht="18.75" customHeight="1">
      <c r="A941" s="29">
        <f t="shared" si="17"/>
        <v>919</v>
      </c>
      <c r="B941" s="30"/>
      <c r="C941" s="30" t="s">
        <v>112</v>
      </c>
      <c r="D941" s="30" t="s">
        <v>1521</v>
      </c>
      <c r="E941" s="31">
        <v>43074</v>
      </c>
      <c r="F941" s="30" t="s">
        <v>114</v>
      </c>
      <c r="G941" s="30" t="s">
        <v>115</v>
      </c>
      <c r="H941" s="30" t="s">
        <v>116</v>
      </c>
      <c r="I941" s="29">
        <v>10000</v>
      </c>
      <c r="J941" s="29">
        <v>10</v>
      </c>
      <c r="K941" s="29">
        <v>1000</v>
      </c>
      <c r="L941" s="38"/>
      <c r="M941" s="39"/>
      <c r="N941" s="40"/>
      <c r="O941" s="35"/>
      <c r="P941" s="36"/>
      <c r="Q941" s="36"/>
      <c r="T941" s="36"/>
    </row>
    <row r="942" spans="1:20" s="37" customFormat="1" ht="18.75" customHeight="1">
      <c r="A942" s="29">
        <f t="shared" si="17"/>
        <v>920</v>
      </c>
      <c r="B942" s="30"/>
      <c r="C942" s="30" t="s">
        <v>112</v>
      </c>
      <c r="D942" s="30" t="s">
        <v>1522</v>
      </c>
      <c r="E942" s="31">
        <v>43074</v>
      </c>
      <c r="F942" s="30" t="s">
        <v>114</v>
      </c>
      <c r="G942" s="30" t="s">
        <v>115</v>
      </c>
      <c r="H942" s="30" t="s">
        <v>116</v>
      </c>
      <c r="I942" s="29">
        <v>10000</v>
      </c>
      <c r="J942" s="29">
        <v>10</v>
      </c>
      <c r="K942" s="29">
        <v>1000</v>
      </c>
      <c r="L942" s="38"/>
      <c r="M942" s="39"/>
      <c r="N942" s="40"/>
      <c r="O942" s="35"/>
      <c r="P942" s="36"/>
      <c r="Q942" s="36"/>
      <c r="T942" s="36"/>
    </row>
    <row r="943" spans="1:20" s="37" customFormat="1" ht="18.75" customHeight="1">
      <c r="A943" s="29">
        <f t="shared" si="17"/>
        <v>921</v>
      </c>
      <c r="B943" s="30"/>
      <c r="C943" s="30" t="s">
        <v>100</v>
      </c>
      <c r="D943" s="30" t="s">
        <v>1523</v>
      </c>
      <c r="E943" s="31">
        <v>43075</v>
      </c>
      <c r="F943" s="30" t="s">
        <v>102</v>
      </c>
      <c r="G943" s="30" t="s">
        <v>103</v>
      </c>
      <c r="H943" s="30" t="s">
        <v>377</v>
      </c>
      <c r="I943" s="29">
        <v>6500000</v>
      </c>
      <c r="J943" s="29">
        <v>10</v>
      </c>
      <c r="K943" s="29">
        <v>650000</v>
      </c>
      <c r="L943" s="38"/>
      <c r="M943" s="39"/>
      <c r="N943" s="40"/>
      <c r="O943" s="35"/>
      <c r="P943" s="36"/>
      <c r="Q943" s="36"/>
      <c r="T943" s="36"/>
    </row>
    <row r="944" spans="1:20" s="37" customFormat="1" ht="18.75" customHeight="1">
      <c r="A944" s="29">
        <f t="shared" si="17"/>
        <v>922</v>
      </c>
      <c r="B944" s="30"/>
      <c r="C944" s="30" t="s">
        <v>93</v>
      </c>
      <c r="D944" s="30" t="s">
        <v>269</v>
      </c>
      <c r="E944" s="31">
        <v>43075</v>
      </c>
      <c r="F944" s="30" t="s">
        <v>49</v>
      </c>
      <c r="G944" s="30" t="s">
        <v>50</v>
      </c>
      <c r="H944" s="30" t="s">
        <v>864</v>
      </c>
      <c r="I944" s="29">
        <v>89520000</v>
      </c>
      <c r="J944" s="29">
        <v>10</v>
      </c>
      <c r="K944" s="29">
        <v>8952000</v>
      </c>
      <c r="L944" s="38" t="s">
        <v>52</v>
      </c>
      <c r="M944" s="39">
        <v>43136</v>
      </c>
      <c r="N944" s="40" t="s">
        <v>1481</v>
      </c>
      <c r="O944" s="35"/>
      <c r="P944" s="36"/>
      <c r="Q944" s="36"/>
      <c r="T944" s="36"/>
    </row>
    <row r="945" spans="1:20" s="37" customFormat="1" ht="18.75" customHeight="1">
      <c r="A945" s="29">
        <f t="shared" si="17"/>
        <v>923</v>
      </c>
      <c r="B945" s="30"/>
      <c r="C945" s="30" t="s">
        <v>69</v>
      </c>
      <c r="D945" s="30" t="s">
        <v>1524</v>
      </c>
      <c r="E945" s="31">
        <v>43075</v>
      </c>
      <c r="F945" s="30" t="s">
        <v>71</v>
      </c>
      <c r="G945" s="30" t="s">
        <v>72</v>
      </c>
      <c r="H945" s="30" t="s">
        <v>1350</v>
      </c>
      <c r="I945" s="29">
        <v>400000</v>
      </c>
      <c r="J945" s="29">
        <v>10</v>
      </c>
      <c r="K945" s="29">
        <v>40000</v>
      </c>
      <c r="L945" s="38"/>
      <c r="M945" s="39"/>
      <c r="N945" s="40"/>
      <c r="O945" s="35"/>
      <c r="P945" s="36"/>
      <c r="Q945" s="36"/>
      <c r="T945" s="36"/>
    </row>
    <row r="946" spans="1:20" s="37" customFormat="1" ht="18.75" customHeight="1">
      <c r="A946" s="29">
        <f t="shared" si="17"/>
        <v>924</v>
      </c>
      <c r="B946" s="30"/>
      <c r="C946" s="30" t="s">
        <v>366</v>
      </c>
      <c r="D946" s="30" t="s">
        <v>1525</v>
      </c>
      <c r="E946" s="31">
        <v>43075</v>
      </c>
      <c r="F946" s="30" t="s">
        <v>1526</v>
      </c>
      <c r="G946" s="30" t="s">
        <v>1527</v>
      </c>
      <c r="H946" s="30" t="s">
        <v>1528</v>
      </c>
      <c r="I946" s="29">
        <v>7572805</v>
      </c>
      <c r="J946" s="29">
        <v>10</v>
      </c>
      <c r="K946" s="29">
        <v>757281</v>
      </c>
      <c r="L946" s="38"/>
      <c r="M946" s="39"/>
      <c r="N946" s="40"/>
      <c r="O946" s="35"/>
      <c r="P946" s="36"/>
      <c r="Q946" s="36"/>
      <c r="T946" s="36"/>
    </row>
    <row r="947" spans="1:20" s="37" customFormat="1" ht="18.75" customHeight="1">
      <c r="A947" s="29">
        <f t="shared" si="17"/>
        <v>925</v>
      </c>
      <c r="B947" s="30"/>
      <c r="C947" s="30" t="s">
        <v>502</v>
      </c>
      <c r="D947" s="30" t="s">
        <v>1529</v>
      </c>
      <c r="E947" s="31">
        <v>43075</v>
      </c>
      <c r="F947" s="30" t="s">
        <v>127</v>
      </c>
      <c r="G947" s="30" t="s">
        <v>128</v>
      </c>
      <c r="H947" s="30" t="s">
        <v>129</v>
      </c>
      <c r="I947" s="29">
        <v>454545</v>
      </c>
      <c r="J947" s="29">
        <v>10</v>
      </c>
      <c r="K947" s="29">
        <v>45455</v>
      </c>
      <c r="L947" s="38"/>
      <c r="M947" s="39"/>
      <c r="N947" s="40"/>
      <c r="O947" s="35"/>
      <c r="P947" s="36"/>
      <c r="Q947" s="36"/>
      <c r="T947" s="36"/>
    </row>
    <row r="948" spans="1:20" s="37" customFormat="1" ht="18.75" customHeight="1">
      <c r="A948" s="29">
        <f t="shared" si="17"/>
        <v>926</v>
      </c>
      <c r="B948" s="30"/>
      <c r="C948" s="30" t="s">
        <v>74</v>
      </c>
      <c r="D948" s="30" t="s">
        <v>1530</v>
      </c>
      <c r="E948" s="31">
        <v>43076</v>
      </c>
      <c r="F948" s="30" t="s">
        <v>76</v>
      </c>
      <c r="G948" s="30" t="s">
        <v>77</v>
      </c>
      <c r="H948" s="30" t="s">
        <v>1531</v>
      </c>
      <c r="I948" s="29">
        <v>3958800</v>
      </c>
      <c r="J948" s="29">
        <v>10</v>
      </c>
      <c r="K948" s="29">
        <v>395880</v>
      </c>
      <c r="L948" s="38"/>
      <c r="M948" s="39"/>
      <c r="N948" s="40"/>
      <c r="O948" s="35"/>
      <c r="P948" s="36"/>
      <c r="Q948" s="36"/>
      <c r="T948" s="36"/>
    </row>
    <row r="949" spans="1:20" s="37" customFormat="1" ht="18.75" customHeight="1">
      <c r="A949" s="29">
        <f t="shared" si="17"/>
        <v>927</v>
      </c>
      <c r="B949" s="30"/>
      <c r="C949" s="30" t="s">
        <v>74</v>
      </c>
      <c r="D949" s="30" t="s">
        <v>1532</v>
      </c>
      <c r="E949" s="31">
        <v>43076</v>
      </c>
      <c r="F949" s="30" t="s">
        <v>76</v>
      </c>
      <c r="G949" s="30" t="s">
        <v>77</v>
      </c>
      <c r="H949" s="30" t="s">
        <v>1131</v>
      </c>
      <c r="I949" s="29">
        <v>2342400</v>
      </c>
      <c r="J949" s="29">
        <v>10</v>
      </c>
      <c r="K949" s="29">
        <v>234240</v>
      </c>
      <c r="L949" s="38"/>
      <c r="M949" s="39"/>
      <c r="N949" s="40"/>
      <c r="O949" s="35"/>
      <c r="P949" s="36"/>
      <c r="Q949" s="36"/>
      <c r="T949" s="36"/>
    </row>
    <row r="950" spans="1:20" s="37" customFormat="1" ht="18.75" customHeight="1">
      <c r="A950" s="29">
        <f t="shared" si="17"/>
        <v>928</v>
      </c>
      <c r="B950" s="30"/>
      <c r="C950" s="30" t="s">
        <v>74</v>
      </c>
      <c r="D950" s="30" t="s">
        <v>199</v>
      </c>
      <c r="E950" s="31">
        <v>43076</v>
      </c>
      <c r="F950" s="30" t="s">
        <v>76</v>
      </c>
      <c r="G950" s="30" t="s">
        <v>77</v>
      </c>
      <c r="H950" s="30" t="s">
        <v>1533</v>
      </c>
      <c r="I950" s="29">
        <v>2838300</v>
      </c>
      <c r="J950" s="29">
        <v>10</v>
      </c>
      <c r="K950" s="29">
        <v>283830</v>
      </c>
      <c r="L950" s="38"/>
      <c r="M950" s="39"/>
      <c r="N950" s="40"/>
      <c r="O950" s="35"/>
      <c r="P950" s="36"/>
      <c r="Q950" s="36"/>
      <c r="T950" s="36"/>
    </row>
    <row r="951" spans="1:20" s="37" customFormat="1" ht="18.75" customHeight="1">
      <c r="A951" s="29">
        <f t="shared" si="17"/>
        <v>929</v>
      </c>
      <c r="B951" s="30"/>
      <c r="C951" s="30" t="s">
        <v>167</v>
      </c>
      <c r="D951" s="30" t="s">
        <v>1534</v>
      </c>
      <c r="E951" s="31">
        <v>43076</v>
      </c>
      <c r="F951" s="30" t="s">
        <v>1158</v>
      </c>
      <c r="G951" s="30" t="s">
        <v>1159</v>
      </c>
      <c r="H951" s="30" t="s">
        <v>1160</v>
      </c>
      <c r="I951" s="29">
        <v>30600000</v>
      </c>
      <c r="J951" s="29">
        <v>10</v>
      </c>
      <c r="K951" s="29">
        <v>3060000</v>
      </c>
      <c r="L951" s="38" t="s">
        <v>52</v>
      </c>
      <c r="M951" s="39">
        <v>43089</v>
      </c>
      <c r="N951" s="40" t="s">
        <v>1481</v>
      </c>
      <c r="O951" s="35"/>
      <c r="P951" s="36"/>
      <c r="Q951" s="36"/>
      <c r="T951" s="36"/>
    </row>
    <row r="952" spans="1:20" s="37" customFormat="1" ht="18.75" customHeight="1">
      <c r="A952" s="29">
        <f t="shared" si="17"/>
        <v>930</v>
      </c>
      <c r="B952" s="30"/>
      <c r="C952" s="30" t="s">
        <v>204</v>
      </c>
      <c r="D952" s="30" t="s">
        <v>1535</v>
      </c>
      <c r="E952" s="31">
        <v>43077</v>
      </c>
      <c r="F952" s="30" t="s">
        <v>206</v>
      </c>
      <c r="G952" s="30" t="s">
        <v>207</v>
      </c>
      <c r="H952" s="30" t="s">
        <v>1395</v>
      </c>
      <c r="I952" s="29">
        <v>317688735</v>
      </c>
      <c r="J952" s="29">
        <v>10</v>
      </c>
      <c r="K952" s="29">
        <v>31768874</v>
      </c>
      <c r="L952" s="38" t="s">
        <v>52</v>
      </c>
      <c r="M952" s="39">
        <v>43089</v>
      </c>
      <c r="N952" s="40" t="s">
        <v>1481</v>
      </c>
      <c r="O952" s="35"/>
      <c r="P952" s="36"/>
      <c r="Q952" s="36"/>
      <c r="T952" s="36"/>
    </row>
    <row r="953" spans="1:20" s="37" customFormat="1" ht="18.75" customHeight="1">
      <c r="A953" s="29">
        <f t="shared" si="17"/>
        <v>931</v>
      </c>
      <c r="B953" s="30"/>
      <c r="C953" s="30" t="s">
        <v>320</v>
      </c>
      <c r="D953" s="30" t="s">
        <v>1536</v>
      </c>
      <c r="E953" s="31">
        <v>43077</v>
      </c>
      <c r="F953" s="30" t="s">
        <v>372</v>
      </c>
      <c r="G953" s="30" t="s">
        <v>373</v>
      </c>
      <c r="H953" s="30" t="s">
        <v>1537</v>
      </c>
      <c r="I953" s="29">
        <v>47103599</v>
      </c>
      <c r="J953" s="29">
        <v>10</v>
      </c>
      <c r="K953" s="29">
        <v>4710359</v>
      </c>
      <c r="L953" s="38" t="s">
        <v>52</v>
      </c>
      <c r="M953" s="39">
        <v>43089</v>
      </c>
      <c r="N953" s="40" t="s">
        <v>1481</v>
      </c>
      <c r="O953" s="35"/>
      <c r="P953" s="36"/>
      <c r="Q953" s="36"/>
      <c r="T953" s="36"/>
    </row>
    <row r="954" spans="1:20" s="37" customFormat="1" ht="18.75" customHeight="1">
      <c r="A954" s="29">
        <f t="shared" si="17"/>
        <v>932</v>
      </c>
      <c r="B954" s="30"/>
      <c r="C954" s="30" t="s">
        <v>119</v>
      </c>
      <c r="D954" s="30" t="s">
        <v>1538</v>
      </c>
      <c r="E954" s="31">
        <v>43077</v>
      </c>
      <c r="F954" s="30" t="s">
        <v>121</v>
      </c>
      <c r="G954" s="30" t="s">
        <v>122</v>
      </c>
      <c r="H954" s="30" t="s">
        <v>1539</v>
      </c>
      <c r="I954" s="29">
        <v>383754053</v>
      </c>
      <c r="J954" s="29">
        <v>10</v>
      </c>
      <c r="K954" s="29">
        <v>38375405</v>
      </c>
      <c r="L954" s="38" t="s">
        <v>52</v>
      </c>
      <c r="M954" s="39">
        <v>43083</v>
      </c>
      <c r="N954" s="40" t="s">
        <v>1481</v>
      </c>
      <c r="O954" s="35"/>
      <c r="P954" s="36"/>
      <c r="Q954" s="36"/>
      <c r="T954" s="36"/>
    </row>
    <row r="955" spans="1:20" s="37" customFormat="1" ht="18.75" customHeight="1">
      <c r="A955" s="29">
        <f t="shared" si="17"/>
        <v>933</v>
      </c>
      <c r="B955" s="30"/>
      <c r="C955" s="30" t="s">
        <v>468</v>
      </c>
      <c r="D955" s="30" t="s">
        <v>1540</v>
      </c>
      <c r="E955" s="31">
        <v>43077</v>
      </c>
      <c r="F955" s="30" t="s">
        <v>1512</v>
      </c>
      <c r="G955" s="30" t="s">
        <v>182</v>
      </c>
      <c r="H955" s="30" t="s">
        <v>1541</v>
      </c>
      <c r="I955" s="29">
        <v>885000</v>
      </c>
      <c r="J955" s="29">
        <v>10</v>
      </c>
      <c r="K955" s="29">
        <v>88500</v>
      </c>
      <c r="L955" s="38"/>
      <c r="M955" s="39"/>
      <c r="N955" s="40"/>
      <c r="O955" s="35"/>
      <c r="P955" s="36"/>
      <c r="Q955" s="36"/>
      <c r="T955" s="36"/>
    </row>
    <row r="956" spans="1:20" s="37" customFormat="1" ht="18.75" customHeight="1">
      <c r="A956" s="29">
        <f t="shared" si="17"/>
        <v>934</v>
      </c>
      <c r="B956" s="30"/>
      <c r="C956" s="30" t="s">
        <v>502</v>
      </c>
      <c r="D956" s="30" t="s">
        <v>1542</v>
      </c>
      <c r="E956" s="31">
        <v>43077</v>
      </c>
      <c r="F956" s="30" t="s">
        <v>362</v>
      </c>
      <c r="G956" s="30" t="s">
        <v>363</v>
      </c>
      <c r="H956" s="30" t="s">
        <v>129</v>
      </c>
      <c r="I956" s="29">
        <v>454545</v>
      </c>
      <c r="J956" s="29">
        <v>10</v>
      </c>
      <c r="K956" s="29">
        <v>45455</v>
      </c>
      <c r="L956" s="38"/>
      <c r="M956" s="39"/>
      <c r="N956" s="40"/>
      <c r="O956" s="35"/>
      <c r="P956" s="36"/>
      <c r="Q956" s="36"/>
      <c r="T956" s="36"/>
    </row>
    <row r="957" spans="1:20" s="37" customFormat="1" ht="18.75" customHeight="1">
      <c r="A957" s="29">
        <f t="shared" si="17"/>
        <v>935</v>
      </c>
      <c r="B957" s="30"/>
      <c r="C957" s="30" t="s">
        <v>242</v>
      </c>
      <c r="D957" s="30" t="s">
        <v>1543</v>
      </c>
      <c r="E957" s="31">
        <v>43078</v>
      </c>
      <c r="F957" s="30" t="s">
        <v>244</v>
      </c>
      <c r="G957" s="30" t="s">
        <v>245</v>
      </c>
      <c r="H957" s="30" t="s">
        <v>1094</v>
      </c>
      <c r="I957" s="29">
        <v>1890000</v>
      </c>
      <c r="J957" s="29">
        <v>10</v>
      </c>
      <c r="K957" s="29">
        <v>189000</v>
      </c>
      <c r="L957" s="38"/>
      <c r="M957" s="39"/>
      <c r="N957" s="40"/>
      <c r="O957" s="35"/>
      <c r="P957" s="36"/>
      <c r="Q957" s="36"/>
      <c r="T957" s="36"/>
    </row>
    <row r="958" spans="1:20" s="37" customFormat="1" ht="18.75" customHeight="1">
      <c r="A958" s="29">
        <f t="shared" si="17"/>
        <v>936</v>
      </c>
      <c r="B958" s="30"/>
      <c r="C958" s="30" t="s">
        <v>119</v>
      </c>
      <c r="D958" s="30" t="s">
        <v>1544</v>
      </c>
      <c r="E958" s="31">
        <v>43078</v>
      </c>
      <c r="F958" s="30" t="s">
        <v>121</v>
      </c>
      <c r="G958" s="30" t="s">
        <v>122</v>
      </c>
      <c r="H958" s="30" t="s">
        <v>1545</v>
      </c>
      <c r="I958" s="29">
        <v>315623376</v>
      </c>
      <c r="J958" s="29">
        <v>10</v>
      </c>
      <c r="K958" s="29">
        <v>31562337</v>
      </c>
      <c r="L958" s="38" t="s">
        <v>52</v>
      </c>
      <c r="M958" s="39">
        <v>43083</v>
      </c>
      <c r="N958" s="40" t="s">
        <v>1481</v>
      </c>
      <c r="O958" s="35"/>
      <c r="P958" s="36"/>
      <c r="Q958" s="36"/>
      <c r="T958" s="36"/>
    </row>
    <row r="959" spans="1:20" s="37" customFormat="1" ht="18.75" customHeight="1">
      <c r="A959" s="29">
        <f t="shared" si="17"/>
        <v>937</v>
      </c>
      <c r="B959" s="30"/>
      <c r="C959" s="30" t="s">
        <v>119</v>
      </c>
      <c r="D959" s="30" t="s">
        <v>873</v>
      </c>
      <c r="E959" s="31">
        <v>43078</v>
      </c>
      <c r="F959" s="30" t="s">
        <v>121</v>
      </c>
      <c r="G959" s="30" t="s">
        <v>122</v>
      </c>
      <c r="H959" s="30" t="s">
        <v>1546</v>
      </c>
      <c r="I959" s="29">
        <v>293771546</v>
      </c>
      <c r="J959" s="29">
        <v>10</v>
      </c>
      <c r="K959" s="29">
        <v>29377154</v>
      </c>
      <c r="L959" s="38" t="s">
        <v>52</v>
      </c>
      <c r="M959" s="39">
        <v>43083</v>
      </c>
      <c r="N959" s="40" t="s">
        <v>1481</v>
      </c>
      <c r="O959" s="35"/>
      <c r="P959" s="36"/>
      <c r="Q959" s="36"/>
      <c r="T959" s="36"/>
    </row>
    <row r="960" spans="1:20" s="37" customFormat="1" ht="18.75" customHeight="1">
      <c r="A960" s="29">
        <f t="shared" si="17"/>
        <v>938</v>
      </c>
      <c r="B960" s="30"/>
      <c r="C960" s="30" t="s">
        <v>93</v>
      </c>
      <c r="D960" s="30" t="s">
        <v>1547</v>
      </c>
      <c r="E960" s="31">
        <v>43080</v>
      </c>
      <c r="F960" s="30" t="s">
        <v>49</v>
      </c>
      <c r="G960" s="30" t="s">
        <v>50</v>
      </c>
      <c r="H960" s="30" t="s">
        <v>864</v>
      </c>
      <c r="I960" s="29">
        <v>130240000</v>
      </c>
      <c r="J960" s="29">
        <v>10</v>
      </c>
      <c r="K960" s="29">
        <v>13024000</v>
      </c>
      <c r="L960" s="38" t="s">
        <v>52</v>
      </c>
      <c r="M960" s="39">
        <v>43116</v>
      </c>
      <c r="N960" s="40" t="s">
        <v>1481</v>
      </c>
      <c r="O960" s="35"/>
      <c r="P960" s="36"/>
      <c r="Q960" s="36"/>
      <c r="T960" s="36"/>
    </row>
    <row r="961" spans="1:20" s="37" customFormat="1" ht="18.75" customHeight="1">
      <c r="A961" s="29">
        <f t="shared" si="17"/>
        <v>939</v>
      </c>
      <c r="B961" s="30"/>
      <c r="C961" s="30" t="s">
        <v>726</v>
      </c>
      <c r="D961" s="30" t="s">
        <v>1155</v>
      </c>
      <c r="E961" s="31">
        <v>43080</v>
      </c>
      <c r="F961" s="30" t="s">
        <v>63</v>
      </c>
      <c r="G961" s="30" t="s">
        <v>64</v>
      </c>
      <c r="H961" s="30" t="s">
        <v>1548</v>
      </c>
      <c r="I961" s="29">
        <v>14727273</v>
      </c>
      <c r="J961" s="29">
        <v>10</v>
      </c>
      <c r="K961" s="29">
        <v>1472727</v>
      </c>
      <c r="L961" s="38"/>
      <c r="M961" s="39"/>
      <c r="N961" s="40"/>
      <c r="O961" s="35"/>
      <c r="P961" s="36"/>
      <c r="Q961" s="36"/>
      <c r="T961" s="36"/>
    </row>
    <row r="962" spans="1:20" s="37" customFormat="1" ht="18.75" customHeight="1">
      <c r="A962" s="29">
        <f t="shared" si="17"/>
        <v>940</v>
      </c>
      <c r="B962" s="30"/>
      <c r="C962" s="30" t="s">
        <v>162</v>
      </c>
      <c r="D962" s="30" t="s">
        <v>1549</v>
      </c>
      <c r="E962" s="31">
        <v>43080</v>
      </c>
      <c r="F962" s="30" t="s">
        <v>164</v>
      </c>
      <c r="G962" s="30" t="s">
        <v>165</v>
      </c>
      <c r="H962" s="30" t="s">
        <v>166</v>
      </c>
      <c r="I962" s="29">
        <v>53844276</v>
      </c>
      <c r="J962" s="29">
        <v>10</v>
      </c>
      <c r="K962" s="29">
        <v>5384428</v>
      </c>
      <c r="L962" s="38" t="s">
        <v>52</v>
      </c>
      <c r="M962" s="39">
        <v>43125</v>
      </c>
      <c r="N962" s="40" t="s">
        <v>1481</v>
      </c>
      <c r="O962" s="35"/>
      <c r="P962" s="36"/>
      <c r="Q962" s="36"/>
      <c r="T962" s="36"/>
    </row>
    <row r="963" spans="1:20" s="37" customFormat="1" ht="18.75" customHeight="1">
      <c r="A963" s="29">
        <f t="shared" si="17"/>
        <v>941</v>
      </c>
      <c r="B963" s="30"/>
      <c r="C963" s="30" t="s">
        <v>261</v>
      </c>
      <c r="D963" s="30" t="s">
        <v>1550</v>
      </c>
      <c r="E963" s="31">
        <v>43080</v>
      </c>
      <c r="F963" s="30" t="s">
        <v>139</v>
      </c>
      <c r="G963" s="30" t="s">
        <v>140</v>
      </c>
      <c r="H963" s="30" t="s">
        <v>1551</v>
      </c>
      <c r="I963" s="29">
        <v>627459</v>
      </c>
      <c r="J963" s="29">
        <v>10</v>
      </c>
      <c r="K963" s="29">
        <v>62746</v>
      </c>
      <c r="L963" s="38"/>
      <c r="M963" s="39"/>
      <c r="N963" s="40"/>
      <c r="O963" s="35"/>
      <c r="P963" s="36"/>
      <c r="Q963" s="36"/>
      <c r="T963" s="36"/>
    </row>
    <row r="964" spans="1:20" s="37" customFormat="1" ht="18.75" customHeight="1">
      <c r="A964" s="29">
        <f t="shared" si="17"/>
        <v>942</v>
      </c>
      <c r="B964" s="30"/>
      <c r="C964" s="30" t="s">
        <v>261</v>
      </c>
      <c r="D964" s="30" t="s">
        <v>1552</v>
      </c>
      <c r="E964" s="31">
        <v>43080</v>
      </c>
      <c r="F964" s="30" t="s">
        <v>139</v>
      </c>
      <c r="G964" s="30" t="s">
        <v>140</v>
      </c>
      <c r="H964" s="30" t="s">
        <v>1551</v>
      </c>
      <c r="I964" s="29">
        <v>435455</v>
      </c>
      <c r="J964" s="29">
        <v>10</v>
      </c>
      <c r="K964" s="29">
        <v>43545</v>
      </c>
      <c r="L964" s="38"/>
      <c r="M964" s="39"/>
      <c r="N964" s="40"/>
      <c r="O964" s="35"/>
      <c r="P964" s="36"/>
      <c r="Q964" s="36"/>
      <c r="T964" s="36"/>
    </row>
    <row r="965" spans="1:20" s="37" customFormat="1" ht="18.75" customHeight="1">
      <c r="A965" s="29">
        <f t="shared" si="17"/>
        <v>943</v>
      </c>
      <c r="B965" s="30"/>
      <c r="C965" s="30" t="s">
        <v>261</v>
      </c>
      <c r="D965" s="30" t="s">
        <v>1553</v>
      </c>
      <c r="E965" s="31">
        <v>43080</v>
      </c>
      <c r="F965" s="30" t="s">
        <v>139</v>
      </c>
      <c r="G965" s="30" t="s">
        <v>140</v>
      </c>
      <c r="H965" s="30" t="s">
        <v>1551</v>
      </c>
      <c r="I965" s="29">
        <v>212275</v>
      </c>
      <c r="J965" s="29">
        <v>10</v>
      </c>
      <c r="K965" s="29">
        <v>21228</v>
      </c>
      <c r="L965" s="38"/>
      <c r="M965" s="39"/>
      <c r="N965" s="40"/>
      <c r="O965" s="35"/>
      <c r="P965" s="36"/>
      <c r="Q965" s="36"/>
      <c r="T965" s="36"/>
    </row>
    <row r="966" spans="1:20" s="37" customFormat="1" ht="18.75" customHeight="1">
      <c r="A966" s="29">
        <f t="shared" si="17"/>
        <v>944</v>
      </c>
      <c r="B966" s="30"/>
      <c r="C966" s="30" t="s">
        <v>100</v>
      </c>
      <c r="D966" s="30" t="s">
        <v>1554</v>
      </c>
      <c r="E966" s="31">
        <v>43081</v>
      </c>
      <c r="F966" s="30" t="s">
        <v>102</v>
      </c>
      <c r="G966" s="30" t="s">
        <v>103</v>
      </c>
      <c r="H966" s="30" t="s">
        <v>377</v>
      </c>
      <c r="I966" s="29">
        <v>1750000</v>
      </c>
      <c r="J966" s="29">
        <v>10</v>
      </c>
      <c r="K966" s="29">
        <v>175000</v>
      </c>
      <c r="L966" s="38"/>
      <c r="M966" s="39"/>
      <c r="N966" s="40"/>
      <c r="O966" s="35"/>
      <c r="P966" s="36"/>
      <c r="Q966" s="36"/>
      <c r="T966" s="36"/>
    </row>
    <row r="967" spans="1:20" s="37" customFormat="1" ht="18.75" customHeight="1">
      <c r="A967" s="29">
        <f t="shared" si="17"/>
        <v>945</v>
      </c>
      <c r="B967" s="30"/>
      <c r="C967" s="30" t="s">
        <v>1335</v>
      </c>
      <c r="D967" s="30" t="s">
        <v>1555</v>
      </c>
      <c r="E967" s="31">
        <v>43081</v>
      </c>
      <c r="F967" s="30" t="s">
        <v>1337</v>
      </c>
      <c r="G967" s="30" t="s">
        <v>1338</v>
      </c>
      <c r="H967" s="30" t="s">
        <v>1478</v>
      </c>
      <c r="I967" s="29">
        <v>964000</v>
      </c>
      <c r="J967" s="29">
        <v>10</v>
      </c>
      <c r="K967" s="29">
        <v>96400</v>
      </c>
      <c r="L967" s="38"/>
      <c r="M967" s="39"/>
      <c r="N967" s="40"/>
      <c r="O967" s="35"/>
      <c r="P967" s="36"/>
      <c r="Q967" s="36"/>
      <c r="T967" s="36"/>
    </row>
    <row r="968" spans="1:20" s="37" customFormat="1" ht="18.75" customHeight="1">
      <c r="A968" s="29">
        <f t="shared" ref="A968:A1031" si="18">A967+1</f>
        <v>946</v>
      </c>
      <c r="B968" s="30"/>
      <c r="C968" s="30" t="s">
        <v>1250</v>
      </c>
      <c r="D968" s="30" t="s">
        <v>1556</v>
      </c>
      <c r="E968" s="31">
        <v>43082</v>
      </c>
      <c r="F968" s="30" t="s">
        <v>333</v>
      </c>
      <c r="G968" s="30" t="s">
        <v>334</v>
      </c>
      <c r="H968" s="30" t="s">
        <v>134</v>
      </c>
      <c r="I968" s="29">
        <v>2065000</v>
      </c>
      <c r="J968" s="29">
        <v>10</v>
      </c>
      <c r="K968" s="29">
        <v>206500</v>
      </c>
      <c r="L968" s="38"/>
      <c r="M968" s="39"/>
      <c r="N968" s="40"/>
      <c r="O968" s="35"/>
      <c r="P968" s="36"/>
      <c r="Q968" s="36"/>
      <c r="T968" s="36"/>
    </row>
    <row r="969" spans="1:20" s="37" customFormat="1" ht="18.75" customHeight="1">
      <c r="A969" s="29">
        <f t="shared" si="18"/>
        <v>947</v>
      </c>
      <c r="B969" s="30"/>
      <c r="C969" s="30" t="s">
        <v>468</v>
      </c>
      <c r="D969" s="30" t="s">
        <v>1557</v>
      </c>
      <c r="E969" s="31">
        <v>43082</v>
      </c>
      <c r="F969" s="30" t="s">
        <v>159</v>
      </c>
      <c r="G969" s="30" t="s">
        <v>160</v>
      </c>
      <c r="H969" s="30" t="s">
        <v>161</v>
      </c>
      <c r="I969" s="29">
        <v>9000000</v>
      </c>
      <c r="J969" s="29">
        <v>10</v>
      </c>
      <c r="K969" s="29">
        <v>900000</v>
      </c>
      <c r="L969" s="38"/>
      <c r="M969" s="39"/>
      <c r="N969" s="40"/>
      <c r="O969" s="35"/>
      <c r="P969" s="36"/>
      <c r="Q969" s="36"/>
      <c r="T969" s="36"/>
    </row>
    <row r="970" spans="1:20" s="37" customFormat="1" ht="18.75" customHeight="1">
      <c r="A970" s="29">
        <f t="shared" si="18"/>
        <v>948</v>
      </c>
      <c r="B970" s="30"/>
      <c r="C970" s="30" t="s">
        <v>502</v>
      </c>
      <c r="D970" s="30" t="s">
        <v>1558</v>
      </c>
      <c r="E970" s="31">
        <v>43082</v>
      </c>
      <c r="F970" s="30" t="s">
        <v>362</v>
      </c>
      <c r="G970" s="30" t="s">
        <v>363</v>
      </c>
      <c r="H970" s="30" t="s">
        <v>129</v>
      </c>
      <c r="I970" s="29">
        <v>454545</v>
      </c>
      <c r="J970" s="29">
        <v>10</v>
      </c>
      <c r="K970" s="29">
        <v>45455</v>
      </c>
      <c r="L970" s="38"/>
      <c r="M970" s="39"/>
      <c r="N970" s="40"/>
      <c r="O970" s="35"/>
      <c r="P970" s="36"/>
      <c r="Q970" s="36"/>
      <c r="T970" s="36"/>
    </row>
    <row r="971" spans="1:20" s="37" customFormat="1" ht="18.75" customHeight="1">
      <c r="A971" s="29">
        <f t="shared" si="18"/>
        <v>949</v>
      </c>
      <c r="B971" s="30"/>
      <c r="C971" s="30" t="s">
        <v>226</v>
      </c>
      <c r="D971" s="30" t="s">
        <v>1559</v>
      </c>
      <c r="E971" s="31">
        <v>43083</v>
      </c>
      <c r="F971" s="30" t="s">
        <v>228</v>
      </c>
      <c r="G971" s="30" t="s">
        <v>229</v>
      </c>
      <c r="H971" s="30" t="s">
        <v>1560</v>
      </c>
      <c r="I971" s="29">
        <v>8905000</v>
      </c>
      <c r="J971" s="29">
        <v>10</v>
      </c>
      <c r="K971" s="29">
        <v>890500</v>
      </c>
      <c r="L971" s="38"/>
      <c r="M971" s="39"/>
      <c r="N971" s="40"/>
      <c r="O971" s="35"/>
      <c r="P971" s="36"/>
      <c r="Q971" s="36"/>
      <c r="T971" s="36"/>
    </row>
    <row r="972" spans="1:20" s="37" customFormat="1" ht="18.75" customHeight="1">
      <c r="A972" s="29">
        <f t="shared" si="18"/>
        <v>950</v>
      </c>
      <c r="B972" s="30"/>
      <c r="C972" s="30" t="s">
        <v>226</v>
      </c>
      <c r="D972" s="30" t="s">
        <v>1561</v>
      </c>
      <c r="E972" s="64">
        <v>43084</v>
      </c>
      <c r="F972" s="30" t="s">
        <v>228</v>
      </c>
      <c r="G972" s="30" t="s">
        <v>229</v>
      </c>
      <c r="H972" s="30" t="s">
        <v>1562</v>
      </c>
      <c r="I972" s="29">
        <v>12160000</v>
      </c>
      <c r="J972" s="29">
        <v>10</v>
      </c>
      <c r="K972" s="29">
        <v>1216000</v>
      </c>
      <c r="L972" s="38"/>
      <c r="M972" s="39"/>
      <c r="N972" s="40"/>
      <c r="O972" s="35"/>
      <c r="P972" s="36"/>
      <c r="Q972" s="36"/>
      <c r="T972" s="36"/>
    </row>
    <row r="973" spans="1:20" s="37" customFormat="1" ht="18.75" customHeight="1">
      <c r="A973" s="29">
        <f t="shared" si="18"/>
        <v>951</v>
      </c>
      <c r="B973" s="30"/>
      <c r="C973" s="30" t="s">
        <v>100</v>
      </c>
      <c r="D973" s="30" t="s">
        <v>1563</v>
      </c>
      <c r="E973" s="31">
        <v>43083</v>
      </c>
      <c r="F973" s="30" t="s">
        <v>102</v>
      </c>
      <c r="G973" s="30" t="s">
        <v>103</v>
      </c>
      <c r="H973" s="30" t="s">
        <v>377</v>
      </c>
      <c r="I973" s="29">
        <v>11275000</v>
      </c>
      <c r="J973" s="29">
        <v>10</v>
      </c>
      <c r="K973" s="29">
        <v>1127500</v>
      </c>
      <c r="L973" s="38"/>
      <c r="M973" s="39"/>
      <c r="N973" s="40"/>
      <c r="O973" s="35"/>
      <c r="P973" s="36"/>
      <c r="Q973" s="36"/>
      <c r="T973" s="36"/>
    </row>
    <row r="974" spans="1:20" s="37" customFormat="1" ht="18.75" customHeight="1">
      <c r="A974" s="29">
        <f t="shared" si="18"/>
        <v>952</v>
      </c>
      <c r="B974" s="30"/>
      <c r="C974" s="30" t="s">
        <v>1564</v>
      </c>
      <c r="D974" s="30" t="s">
        <v>1565</v>
      </c>
      <c r="E974" s="31">
        <v>43083</v>
      </c>
      <c r="F974" s="30" t="s">
        <v>1566</v>
      </c>
      <c r="G974" s="30" t="s">
        <v>1567</v>
      </c>
      <c r="H974" s="30" t="s">
        <v>1568</v>
      </c>
      <c r="I974" s="29">
        <v>600000</v>
      </c>
      <c r="J974" s="29">
        <v>10</v>
      </c>
      <c r="K974" s="29">
        <v>60000</v>
      </c>
      <c r="L974" s="38"/>
      <c r="M974" s="39"/>
      <c r="N974" s="40"/>
      <c r="O974" s="35"/>
      <c r="P974" s="36"/>
      <c r="Q974" s="36"/>
      <c r="T974" s="36"/>
    </row>
    <row r="975" spans="1:20" s="37" customFormat="1" ht="18.75" customHeight="1">
      <c r="A975" s="29">
        <f t="shared" si="18"/>
        <v>953</v>
      </c>
      <c r="B975" s="30"/>
      <c r="C975" s="30" t="s">
        <v>112</v>
      </c>
      <c r="D975" s="30" t="s">
        <v>1569</v>
      </c>
      <c r="E975" s="31">
        <v>43083</v>
      </c>
      <c r="F975" s="30" t="s">
        <v>114</v>
      </c>
      <c r="G975" s="30" t="s">
        <v>115</v>
      </c>
      <c r="H975" s="30" t="s">
        <v>116</v>
      </c>
      <c r="I975" s="29">
        <v>10000</v>
      </c>
      <c r="J975" s="29">
        <v>10</v>
      </c>
      <c r="K975" s="29">
        <v>1000</v>
      </c>
      <c r="L975" s="38"/>
      <c r="M975" s="39"/>
      <c r="N975" s="40"/>
      <c r="O975" s="35"/>
      <c r="P975" s="36"/>
      <c r="Q975" s="36"/>
      <c r="T975" s="36"/>
    </row>
    <row r="976" spans="1:20" s="37" customFormat="1" ht="18.75" customHeight="1">
      <c r="A976" s="29">
        <f t="shared" si="18"/>
        <v>954</v>
      </c>
      <c r="B976" s="30"/>
      <c r="C976" s="30" t="s">
        <v>1570</v>
      </c>
      <c r="D976" s="30" t="s">
        <v>1571</v>
      </c>
      <c r="E976" s="31">
        <v>43084</v>
      </c>
      <c r="F976" s="30" t="s">
        <v>1572</v>
      </c>
      <c r="G976" s="30" t="s">
        <v>1573</v>
      </c>
      <c r="H976" s="30" t="s">
        <v>1574</v>
      </c>
      <c r="I976" s="29">
        <v>11950000</v>
      </c>
      <c r="J976" s="29">
        <v>10</v>
      </c>
      <c r="K976" s="29">
        <v>1195000</v>
      </c>
      <c r="L976" s="38"/>
      <c r="M976" s="39"/>
      <c r="N976" s="40"/>
      <c r="O976" s="35"/>
      <c r="P976" s="36"/>
      <c r="Q976" s="36"/>
      <c r="T976" s="36"/>
    </row>
    <row r="977" spans="1:20" s="37" customFormat="1" ht="18.75" customHeight="1">
      <c r="A977" s="29">
        <f t="shared" si="18"/>
        <v>955</v>
      </c>
      <c r="B977" s="30"/>
      <c r="C977" s="30" t="s">
        <v>1570</v>
      </c>
      <c r="D977" s="30" t="s">
        <v>1575</v>
      </c>
      <c r="E977" s="31">
        <v>43084</v>
      </c>
      <c r="F977" s="30" t="s">
        <v>1572</v>
      </c>
      <c r="G977" s="30" t="s">
        <v>1573</v>
      </c>
      <c r="H977" s="30" t="s">
        <v>1576</v>
      </c>
      <c r="I977" s="29">
        <v>13050000</v>
      </c>
      <c r="J977" s="29">
        <v>10</v>
      </c>
      <c r="K977" s="29">
        <v>1305000</v>
      </c>
      <c r="L977" s="38"/>
      <c r="M977" s="39"/>
      <c r="N977" s="40"/>
      <c r="O977" s="35"/>
      <c r="P977" s="36"/>
      <c r="Q977" s="36"/>
      <c r="T977" s="36"/>
    </row>
    <row r="978" spans="1:20" s="37" customFormat="1" ht="18.75" customHeight="1">
      <c r="A978" s="29">
        <f t="shared" si="18"/>
        <v>956</v>
      </c>
      <c r="B978" s="30"/>
      <c r="C978" s="30" t="s">
        <v>291</v>
      </c>
      <c r="D978" s="30" t="s">
        <v>1577</v>
      </c>
      <c r="E978" s="31">
        <v>43084</v>
      </c>
      <c r="F978" s="30" t="s">
        <v>293</v>
      </c>
      <c r="G978" s="30" t="s">
        <v>294</v>
      </c>
      <c r="H978" s="30" t="s">
        <v>134</v>
      </c>
      <c r="I978" s="29">
        <v>3994545</v>
      </c>
      <c r="J978" s="29">
        <v>10</v>
      </c>
      <c r="K978" s="29">
        <v>399455</v>
      </c>
      <c r="L978" s="38"/>
      <c r="M978" s="39"/>
      <c r="N978" s="40"/>
      <c r="O978" s="35"/>
      <c r="P978" s="36"/>
      <c r="Q978" s="36"/>
      <c r="T978" s="36"/>
    </row>
    <row r="979" spans="1:20" s="37" customFormat="1" ht="18.75" customHeight="1">
      <c r="A979" s="29">
        <f t="shared" si="18"/>
        <v>957</v>
      </c>
      <c r="B979" s="30"/>
      <c r="C979" s="30" t="s">
        <v>93</v>
      </c>
      <c r="D979" s="30" t="s">
        <v>1578</v>
      </c>
      <c r="E979" s="31">
        <v>43084</v>
      </c>
      <c r="F979" s="30" t="s">
        <v>258</v>
      </c>
      <c r="G979" s="30" t="s">
        <v>259</v>
      </c>
      <c r="H979" s="30" t="s">
        <v>1579</v>
      </c>
      <c r="I979" s="29">
        <v>82920955</v>
      </c>
      <c r="J979" s="29">
        <v>10</v>
      </c>
      <c r="K979" s="29">
        <v>8292096</v>
      </c>
      <c r="L979" s="38" t="s">
        <v>52</v>
      </c>
      <c r="M979" s="39">
        <v>43108</v>
      </c>
      <c r="N979" s="40" t="s">
        <v>1481</v>
      </c>
      <c r="O979" s="35"/>
      <c r="P979" s="36"/>
      <c r="Q979" s="36"/>
      <c r="T979" s="36"/>
    </row>
    <row r="980" spans="1:20" s="37" customFormat="1" ht="18.75" customHeight="1">
      <c r="A980" s="29">
        <f t="shared" si="18"/>
        <v>958</v>
      </c>
      <c r="B980" s="30"/>
      <c r="C980" s="30" t="s">
        <v>100</v>
      </c>
      <c r="D980" s="30" t="s">
        <v>1580</v>
      </c>
      <c r="E980" s="31">
        <v>43085</v>
      </c>
      <c r="F980" s="30" t="s">
        <v>102</v>
      </c>
      <c r="G980" s="30" t="s">
        <v>103</v>
      </c>
      <c r="H980" s="30" t="s">
        <v>377</v>
      </c>
      <c r="I980" s="29">
        <v>10000000</v>
      </c>
      <c r="J980" s="29">
        <v>10</v>
      </c>
      <c r="K980" s="29">
        <v>1000000</v>
      </c>
      <c r="L980" s="38"/>
      <c r="M980" s="39"/>
      <c r="N980" s="40"/>
      <c r="O980" s="35"/>
      <c r="P980" s="36"/>
      <c r="Q980" s="36"/>
      <c r="T980" s="36"/>
    </row>
    <row r="981" spans="1:20" s="37" customFormat="1" ht="18.75" customHeight="1">
      <c r="A981" s="29">
        <f t="shared" si="18"/>
        <v>959</v>
      </c>
      <c r="B981" s="30"/>
      <c r="C981" s="30" t="s">
        <v>93</v>
      </c>
      <c r="D981" s="30" t="s">
        <v>1581</v>
      </c>
      <c r="E981" s="31">
        <v>43085</v>
      </c>
      <c r="F981" s="30" t="s">
        <v>49</v>
      </c>
      <c r="G981" s="30" t="s">
        <v>50</v>
      </c>
      <c r="H981" s="30" t="s">
        <v>864</v>
      </c>
      <c r="I981" s="29">
        <v>96080000</v>
      </c>
      <c r="J981" s="29">
        <v>10</v>
      </c>
      <c r="K981" s="29">
        <v>9608000</v>
      </c>
      <c r="L981" s="38" t="s">
        <v>52</v>
      </c>
      <c r="M981" s="39">
        <v>43136</v>
      </c>
      <c r="N981" s="40" t="s">
        <v>1481</v>
      </c>
      <c r="O981" s="35"/>
      <c r="P981" s="36"/>
      <c r="Q981" s="36"/>
      <c r="T981" s="36"/>
    </row>
    <row r="982" spans="1:20" s="37" customFormat="1" ht="18.75" customHeight="1">
      <c r="A982" s="29">
        <f t="shared" si="18"/>
        <v>960</v>
      </c>
      <c r="B982" s="30"/>
      <c r="C982" s="30" t="s">
        <v>502</v>
      </c>
      <c r="D982" s="30" t="s">
        <v>1582</v>
      </c>
      <c r="E982" s="31">
        <v>43085</v>
      </c>
      <c r="F982" s="30" t="s">
        <v>362</v>
      </c>
      <c r="G982" s="30" t="s">
        <v>363</v>
      </c>
      <c r="H982" s="30" t="s">
        <v>129</v>
      </c>
      <c r="I982" s="29">
        <v>454545</v>
      </c>
      <c r="J982" s="29">
        <v>10</v>
      </c>
      <c r="K982" s="29">
        <v>45455</v>
      </c>
      <c r="L982" s="38"/>
      <c r="M982" s="39"/>
      <c r="N982" s="40"/>
      <c r="O982" s="35"/>
      <c r="P982" s="36"/>
      <c r="Q982" s="36"/>
      <c r="T982" s="36"/>
    </row>
    <row r="983" spans="1:20" s="37" customFormat="1" ht="18.75" customHeight="1">
      <c r="A983" s="29">
        <f t="shared" si="18"/>
        <v>961</v>
      </c>
      <c r="B983" s="30"/>
      <c r="C983" s="30" t="s">
        <v>167</v>
      </c>
      <c r="D983" s="30" t="s">
        <v>1583</v>
      </c>
      <c r="E983" s="31">
        <v>43087</v>
      </c>
      <c r="F983" s="30" t="s">
        <v>794</v>
      </c>
      <c r="G983" s="30" t="s">
        <v>337</v>
      </c>
      <c r="H983" s="30" t="s">
        <v>1584</v>
      </c>
      <c r="I983" s="29">
        <v>73930948</v>
      </c>
      <c r="J983" s="29">
        <v>10</v>
      </c>
      <c r="K983" s="29">
        <v>7393095</v>
      </c>
      <c r="L983" s="38" t="s">
        <v>52</v>
      </c>
      <c r="M983" s="39">
        <v>43094</v>
      </c>
      <c r="N983" s="40" t="s">
        <v>1481</v>
      </c>
      <c r="O983" s="35"/>
      <c r="P983" s="36"/>
      <c r="Q983" s="36"/>
      <c r="T983" s="36"/>
    </row>
    <row r="984" spans="1:20" s="37" customFormat="1" ht="18.75" customHeight="1">
      <c r="A984" s="29">
        <f t="shared" si="18"/>
        <v>962</v>
      </c>
      <c r="B984" s="30"/>
      <c r="C984" s="30" t="s">
        <v>54</v>
      </c>
      <c r="D984" s="30" t="s">
        <v>1585</v>
      </c>
      <c r="E984" s="31">
        <v>43087</v>
      </c>
      <c r="F984" s="30" t="s">
        <v>56</v>
      </c>
      <c r="G984" s="30" t="s">
        <v>57</v>
      </c>
      <c r="H984" s="30" t="s">
        <v>1528</v>
      </c>
      <c r="I984" s="29">
        <v>11485000</v>
      </c>
      <c r="J984" s="29">
        <v>10</v>
      </c>
      <c r="K984" s="29">
        <v>1148500</v>
      </c>
      <c r="L984" s="38"/>
      <c r="M984" s="39"/>
      <c r="N984" s="40"/>
      <c r="O984" s="35"/>
      <c r="P984" s="36"/>
      <c r="Q984" s="36"/>
      <c r="T984" s="36"/>
    </row>
    <row r="985" spans="1:20" s="37" customFormat="1" ht="18.75" customHeight="1">
      <c r="A985" s="29">
        <f t="shared" si="18"/>
        <v>963</v>
      </c>
      <c r="B985" s="30"/>
      <c r="C985" s="30" t="s">
        <v>119</v>
      </c>
      <c r="D985" s="30" t="s">
        <v>1586</v>
      </c>
      <c r="E985" s="31">
        <v>43088</v>
      </c>
      <c r="F985" s="30" t="s">
        <v>121</v>
      </c>
      <c r="G985" s="30" t="s">
        <v>122</v>
      </c>
      <c r="H985" s="30" t="s">
        <v>1587</v>
      </c>
      <c r="I985" s="29">
        <v>548070023</v>
      </c>
      <c r="J985" s="29">
        <v>10</v>
      </c>
      <c r="K985" s="29">
        <v>54807002</v>
      </c>
      <c r="L985" s="38" t="s">
        <v>52</v>
      </c>
      <c r="M985" s="39">
        <v>43094</v>
      </c>
      <c r="N985" s="40" t="s">
        <v>1481</v>
      </c>
      <c r="O985" s="35"/>
      <c r="P985" s="36"/>
      <c r="Q985" s="36"/>
      <c r="T985" s="36"/>
    </row>
    <row r="986" spans="1:20" s="37" customFormat="1" ht="18.75" customHeight="1">
      <c r="A986" s="29">
        <f t="shared" si="18"/>
        <v>964</v>
      </c>
      <c r="B986" s="30"/>
      <c r="C986" s="30" t="s">
        <v>162</v>
      </c>
      <c r="D986" s="30" t="s">
        <v>1588</v>
      </c>
      <c r="E986" s="31">
        <v>43088</v>
      </c>
      <c r="F986" s="30" t="s">
        <v>164</v>
      </c>
      <c r="G986" s="30" t="s">
        <v>165</v>
      </c>
      <c r="H986" s="30" t="s">
        <v>166</v>
      </c>
      <c r="I986" s="29">
        <v>32031648</v>
      </c>
      <c r="J986" s="29">
        <v>10</v>
      </c>
      <c r="K986" s="29">
        <v>3203165</v>
      </c>
      <c r="L986" s="38" t="s">
        <v>52</v>
      </c>
      <c r="M986" s="39">
        <v>43125</v>
      </c>
      <c r="N986" s="40" t="s">
        <v>1481</v>
      </c>
      <c r="O986" s="35"/>
      <c r="P986" s="36"/>
      <c r="Q986" s="36"/>
      <c r="T986" s="36"/>
    </row>
    <row r="987" spans="1:20" s="37" customFormat="1" ht="18.75" customHeight="1">
      <c r="A987" s="29">
        <f t="shared" si="18"/>
        <v>965</v>
      </c>
      <c r="B987" s="30"/>
      <c r="C987" s="30" t="s">
        <v>162</v>
      </c>
      <c r="D987" s="30" t="s">
        <v>1589</v>
      </c>
      <c r="E987" s="31">
        <v>43088</v>
      </c>
      <c r="F987" s="30" t="s">
        <v>164</v>
      </c>
      <c r="G987" s="30" t="s">
        <v>165</v>
      </c>
      <c r="H987" s="30" t="s">
        <v>166</v>
      </c>
      <c r="I987" s="29">
        <v>29548754</v>
      </c>
      <c r="J987" s="29">
        <v>10</v>
      </c>
      <c r="K987" s="29">
        <v>2954875</v>
      </c>
      <c r="L987" s="38" t="s">
        <v>52</v>
      </c>
      <c r="M987" s="39">
        <v>43125</v>
      </c>
      <c r="N987" s="40" t="s">
        <v>1481</v>
      </c>
      <c r="O987" s="35"/>
      <c r="P987" s="36"/>
      <c r="Q987" s="36"/>
      <c r="T987" s="36"/>
    </row>
    <row r="988" spans="1:20" s="37" customFormat="1" ht="18.75" customHeight="1">
      <c r="A988" s="29">
        <f t="shared" si="18"/>
        <v>966</v>
      </c>
      <c r="B988" s="30"/>
      <c r="C988" s="30" t="s">
        <v>502</v>
      </c>
      <c r="D988" s="30" t="s">
        <v>1590</v>
      </c>
      <c r="E988" s="31">
        <v>43088</v>
      </c>
      <c r="F988" s="30" t="s">
        <v>362</v>
      </c>
      <c r="G988" s="30" t="s">
        <v>363</v>
      </c>
      <c r="H988" s="30" t="s">
        <v>129</v>
      </c>
      <c r="I988" s="29">
        <v>454545</v>
      </c>
      <c r="J988" s="29">
        <v>10</v>
      </c>
      <c r="K988" s="29">
        <v>45455</v>
      </c>
      <c r="L988" s="38"/>
      <c r="M988" s="39"/>
      <c r="N988" s="40"/>
      <c r="O988" s="35"/>
      <c r="P988" s="36"/>
      <c r="Q988" s="36"/>
      <c r="T988" s="36"/>
    </row>
    <row r="989" spans="1:20" s="37" customFormat="1" ht="18.75" customHeight="1">
      <c r="A989" s="29">
        <f t="shared" si="18"/>
        <v>967</v>
      </c>
      <c r="B989" s="30"/>
      <c r="C989" s="30" t="s">
        <v>69</v>
      </c>
      <c r="D989" s="30" t="s">
        <v>1591</v>
      </c>
      <c r="E989" s="31">
        <v>43089</v>
      </c>
      <c r="F989" s="30" t="s">
        <v>71</v>
      </c>
      <c r="G989" s="30" t="s">
        <v>72</v>
      </c>
      <c r="H989" s="30" t="s">
        <v>1350</v>
      </c>
      <c r="I989" s="29">
        <v>800000</v>
      </c>
      <c r="J989" s="29">
        <v>10</v>
      </c>
      <c r="K989" s="29">
        <v>80000</v>
      </c>
      <c r="L989" s="38"/>
      <c r="M989" s="39"/>
      <c r="N989" s="40"/>
      <c r="O989" s="35"/>
      <c r="P989" s="36"/>
      <c r="Q989" s="36"/>
      <c r="T989" s="36"/>
    </row>
    <row r="990" spans="1:20" s="37" customFormat="1" ht="18.75" customHeight="1">
      <c r="A990" s="29">
        <f t="shared" si="18"/>
        <v>968</v>
      </c>
      <c r="B990" s="30"/>
      <c r="C990" s="30" t="s">
        <v>112</v>
      </c>
      <c r="D990" s="30" t="s">
        <v>1592</v>
      </c>
      <c r="E990" s="31">
        <v>43089</v>
      </c>
      <c r="F990" s="30" t="s">
        <v>114</v>
      </c>
      <c r="G990" s="30" t="s">
        <v>115</v>
      </c>
      <c r="H990" s="30" t="s">
        <v>116</v>
      </c>
      <c r="I990" s="29">
        <v>61476</v>
      </c>
      <c r="J990" s="29">
        <v>10</v>
      </c>
      <c r="K990" s="29">
        <v>6148</v>
      </c>
      <c r="L990" s="38"/>
      <c r="M990" s="39"/>
      <c r="N990" s="40"/>
      <c r="O990" s="35"/>
      <c r="P990" s="36"/>
      <c r="Q990" s="36"/>
      <c r="T990" s="36"/>
    </row>
    <row r="991" spans="1:20" s="37" customFormat="1" ht="18.75" customHeight="1">
      <c r="A991" s="29">
        <f t="shared" si="18"/>
        <v>969</v>
      </c>
      <c r="B991" s="30"/>
      <c r="C991" s="30" t="s">
        <v>112</v>
      </c>
      <c r="D991" s="30" t="s">
        <v>1593</v>
      </c>
      <c r="E991" s="31">
        <v>43089</v>
      </c>
      <c r="F991" s="30" t="s">
        <v>114</v>
      </c>
      <c r="G991" s="30" t="s">
        <v>115</v>
      </c>
      <c r="H991" s="30" t="s">
        <v>116</v>
      </c>
      <c r="I991" s="29">
        <v>38380</v>
      </c>
      <c r="J991" s="29">
        <v>10</v>
      </c>
      <c r="K991" s="29">
        <v>3838</v>
      </c>
      <c r="L991" s="38"/>
      <c r="M991" s="39"/>
      <c r="N991" s="40"/>
      <c r="O991" s="35"/>
      <c r="P991" s="36"/>
      <c r="Q991" s="36"/>
      <c r="T991" s="36"/>
    </row>
    <row r="992" spans="1:20" s="37" customFormat="1" ht="18.75" customHeight="1">
      <c r="A992" s="29">
        <f t="shared" si="18"/>
        <v>970</v>
      </c>
      <c r="B992" s="30"/>
      <c r="C992" s="30" t="s">
        <v>112</v>
      </c>
      <c r="D992" s="30" t="s">
        <v>1594</v>
      </c>
      <c r="E992" s="31">
        <v>43089</v>
      </c>
      <c r="F992" s="30" t="s">
        <v>114</v>
      </c>
      <c r="G992" s="30" t="s">
        <v>115</v>
      </c>
      <c r="H992" s="30" t="s">
        <v>116</v>
      </c>
      <c r="I992" s="29">
        <v>10000</v>
      </c>
      <c r="J992" s="29">
        <v>10</v>
      </c>
      <c r="K992" s="29">
        <v>1000</v>
      </c>
      <c r="L992" s="38"/>
      <c r="M992" s="39"/>
      <c r="N992" s="40"/>
      <c r="O992" s="35"/>
      <c r="P992" s="36"/>
      <c r="Q992" s="36"/>
      <c r="T992" s="36"/>
    </row>
    <row r="993" spans="1:20" s="37" customFormat="1" ht="18.75" customHeight="1">
      <c r="A993" s="29">
        <f t="shared" si="18"/>
        <v>971</v>
      </c>
      <c r="B993" s="30"/>
      <c r="C993" s="30" t="s">
        <v>112</v>
      </c>
      <c r="D993" s="30" t="s">
        <v>1595</v>
      </c>
      <c r="E993" s="31">
        <v>43089</v>
      </c>
      <c r="F993" s="30" t="s">
        <v>114</v>
      </c>
      <c r="G993" s="30" t="s">
        <v>115</v>
      </c>
      <c r="H993" s="30" t="s">
        <v>116</v>
      </c>
      <c r="I993" s="29">
        <v>21493</v>
      </c>
      <c r="J993" s="29">
        <v>10</v>
      </c>
      <c r="K993" s="29">
        <v>2149</v>
      </c>
      <c r="L993" s="38"/>
      <c r="M993" s="39"/>
      <c r="N993" s="40"/>
      <c r="O993" s="35"/>
      <c r="P993" s="36"/>
      <c r="Q993" s="36"/>
      <c r="T993" s="36"/>
    </row>
    <row r="994" spans="1:20" s="37" customFormat="1" ht="18.75" customHeight="1">
      <c r="A994" s="29">
        <f t="shared" si="18"/>
        <v>972</v>
      </c>
      <c r="B994" s="30"/>
      <c r="C994" s="30" t="s">
        <v>112</v>
      </c>
      <c r="D994" s="30" t="s">
        <v>1146</v>
      </c>
      <c r="E994" s="31">
        <v>43089</v>
      </c>
      <c r="F994" s="30" t="s">
        <v>114</v>
      </c>
      <c r="G994" s="30" t="s">
        <v>115</v>
      </c>
      <c r="H994" s="30" t="s">
        <v>116</v>
      </c>
      <c r="I994" s="29">
        <v>80248</v>
      </c>
      <c r="J994" s="29">
        <v>10</v>
      </c>
      <c r="K994" s="29">
        <v>8025</v>
      </c>
      <c r="L994" s="38"/>
      <c r="M994" s="39"/>
      <c r="N994" s="40"/>
      <c r="O994" s="35"/>
      <c r="P994" s="36"/>
      <c r="Q994" s="36"/>
      <c r="T994" s="36"/>
    </row>
    <row r="995" spans="1:20" s="37" customFormat="1" ht="18.75" customHeight="1">
      <c r="A995" s="29">
        <f t="shared" si="18"/>
        <v>973</v>
      </c>
      <c r="B995" s="30"/>
      <c r="C995" s="30" t="s">
        <v>112</v>
      </c>
      <c r="D995" s="30" t="s">
        <v>1147</v>
      </c>
      <c r="E995" s="31">
        <v>43089</v>
      </c>
      <c r="F995" s="30" t="s">
        <v>114</v>
      </c>
      <c r="G995" s="30" t="s">
        <v>115</v>
      </c>
      <c r="H995" s="30" t="s">
        <v>116</v>
      </c>
      <c r="I995" s="29">
        <v>20000</v>
      </c>
      <c r="J995" s="29">
        <v>10</v>
      </c>
      <c r="K995" s="29">
        <v>2000</v>
      </c>
      <c r="L995" s="38"/>
      <c r="M995" s="39"/>
      <c r="N995" s="40"/>
      <c r="O995" s="35"/>
      <c r="P995" s="36"/>
      <c r="Q995" s="36"/>
      <c r="T995" s="36"/>
    </row>
    <row r="996" spans="1:20" s="37" customFormat="1" ht="18.75" customHeight="1">
      <c r="A996" s="29">
        <f t="shared" si="18"/>
        <v>974</v>
      </c>
      <c r="B996" s="30"/>
      <c r="C996" s="30" t="s">
        <v>112</v>
      </c>
      <c r="D996" s="30" t="s">
        <v>1148</v>
      </c>
      <c r="E996" s="31">
        <v>43089</v>
      </c>
      <c r="F996" s="30" t="s">
        <v>114</v>
      </c>
      <c r="G996" s="30" t="s">
        <v>115</v>
      </c>
      <c r="H996" s="30" t="s">
        <v>116</v>
      </c>
      <c r="I996" s="29">
        <v>29352</v>
      </c>
      <c r="J996" s="29">
        <v>10</v>
      </c>
      <c r="K996" s="29">
        <v>2935</v>
      </c>
      <c r="L996" s="38"/>
      <c r="M996" s="39"/>
      <c r="N996" s="40"/>
      <c r="O996" s="35"/>
      <c r="P996" s="36"/>
      <c r="Q996" s="36"/>
      <c r="T996" s="36"/>
    </row>
    <row r="997" spans="1:20" s="37" customFormat="1" ht="18.75" customHeight="1">
      <c r="A997" s="29">
        <f t="shared" si="18"/>
        <v>975</v>
      </c>
      <c r="B997" s="30"/>
      <c r="C997" s="30" t="s">
        <v>112</v>
      </c>
      <c r="D997" s="30" t="s">
        <v>1149</v>
      </c>
      <c r="E997" s="31">
        <v>43089</v>
      </c>
      <c r="F997" s="30" t="s">
        <v>114</v>
      </c>
      <c r="G997" s="30" t="s">
        <v>115</v>
      </c>
      <c r="H997" s="30" t="s">
        <v>116</v>
      </c>
      <c r="I997" s="29">
        <v>20000</v>
      </c>
      <c r="J997" s="29">
        <v>10</v>
      </c>
      <c r="K997" s="29">
        <v>2000</v>
      </c>
      <c r="L997" s="38"/>
      <c r="M997" s="39"/>
      <c r="N997" s="40"/>
      <c r="O997" s="35"/>
      <c r="P997" s="36"/>
      <c r="Q997" s="36"/>
      <c r="T997" s="36"/>
    </row>
    <row r="998" spans="1:20" s="37" customFormat="1" ht="18.75" customHeight="1">
      <c r="A998" s="29">
        <f t="shared" si="18"/>
        <v>976</v>
      </c>
      <c r="B998" s="30"/>
      <c r="C998" s="30" t="s">
        <v>112</v>
      </c>
      <c r="D998" s="30" t="s">
        <v>1150</v>
      </c>
      <c r="E998" s="31">
        <v>43089</v>
      </c>
      <c r="F998" s="30" t="s">
        <v>114</v>
      </c>
      <c r="G998" s="30" t="s">
        <v>115</v>
      </c>
      <c r="H998" s="30" t="s">
        <v>116</v>
      </c>
      <c r="I998" s="29">
        <v>45285</v>
      </c>
      <c r="J998" s="29">
        <v>10</v>
      </c>
      <c r="K998" s="29">
        <v>4528</v>
      </c>
      <c r="L998" s="38"/>
      <c r="M998" s="39"/>
      <c r="N998" s="40"/>
      <c r="O998" s="35"/>
      <c r="P998" s="36"/>
      <c r="Q998" s="36"/>
      <c r="T998" s="36"/>
    </row>
    <row r="999" spans="1:20" s="37" customFormat="1" ht="18.75" customHeight="1">
      <c r="A999" s="29">
        <f t="shared" si="18"/>
        <v>977</v>
      </c>
      <c r="B999" s="30"/>
      <c r="C999" s="30" t="s">
        <v>112</v>
      </c>
      <c r="D999" s="30" t="s">
        <v>1596</v>
      </c>
      <c r="E999" s="31">
        <v>43089</v>
      </c>
      <c r="F999" s="30" t="s">
        <v>114</v>
      </c>
      <c r="G999" s="30" t="s">
        <v>115</v>
      </c>
      <c r="H999" s="30" t="s">
        <v>116</v>
      </c>
      <c r="I999" s="29">
        <v>30000</v>
      </c>
      <c r="J999" s="29">
        <v>10</v>
      </c>
      <c r="K999" s="29">
        <v>3000</v>
      </c>
      <c r="L999" s="38"/>
      <c r="M999" s="39"/>
      <c r="N999" s="40"/>
      <c r="O999" s="35"/>
      <c r="P999" s="36"/>
      <c r="Q999" s="36"/>
      <c r="T999" s="36"/>
    </row>
    <row r="1000" spans="1:20" s="37" customFormat="1" ht="18.75" customHeight="1">
      <c r="A1000" s="29">
        <f t="shared" si="18"/>
        <v>978</v>
      </c>
      <c r="B1000" s="30"/>
      <c r="C1000" s="30" t="s">
        <v>119</v>
      </c>
      <c r="D1000" s="30" t="s">
        <v>1597</v>
      </c>
      <c r="E1000" s="31">
        <v>43090</v>
      </c>
      <c r="F1000" s="30" t="s">
        <v>121</v>
      </c>
      <c r="G1000" s="30" t="s">
        <v>122</v>
      </c>
      <c r="H1000" s="30" t="s">
        <v>212</v>
      </c>
      <c r="I1000" s="29">
        <v>245989380</v>
      </c>
      <c r="J1000" s="29">
        <v>10</v>
      </c>
      <c r="K1000" s="29">
        <v>24598938</v>
      </c>
      <c r="L1000" s="38" t="s">
        <v>52</v>
      </c>
      <c r="M1000" s="39">
        <v>43116</v>
      </c>
      <c r="N1000" s="40" t="s">
        <v>1481</v>
      </c>
      <c r="O1000" s="35"/>
      <c r="P1000" s="36"/>
      <c r="Q1000" s="36"/>
      <c r="T1000" s="36"/>
    </row>
    <row r="1001" spans="1:20" s="37" customFormat="1" ht="18.75" customHeight="1">
      <c r="A1001" s="29">
        <f t="shared" si="18"/>
        <v>979</v>
      </c>
      <c r="B1001" s="30"/>
      <c r="C1001" s="30" t="s">
        <v>119</v>
      </c>
      <c r="D1001" s="30" t="s">
        <v>1598</v>
      </c>
      <c r="E1001" s="31">
        <v>43090</v>
      </c>
      <c r="F1001" s="30" t="s">
        <v>121</v>
      </c>
      <c r="G1001" s="30" t="s">
        <v>122</v>
      </c>
      <c r="H1001" s="30" t="s">
        <v>212</v>
      </c>
      <c r="I1001" s="29">
        <v>237275220</v>
      </c>
      <c r="J1001" s="29">
        <v>10</v>
      </c>
      <c r="K1001" s="29">
        <v>23727522</v>
      </c>
      <c r="L1001" s="38" t="s">
        <v>52</v>
      </c>
      <c r="M1001" s="39">
        <v>43116</v>
      </c>
      <c r="N1001" s="40" t="s">
        <v>1481</v>
      </c>
      <c r="O1001" s="35"/>
      <c r="P1001" s="36"/>
      <c r="Q1001" s="36"/>
      <c r="T1001" s="36"/>
    </row>
    <row r="1002" spans="1:20" s="37" customFormat="1" ht="18.75" customHeight="1">
      <c r="A1002" s="29">
        <f t="shared" si="18"/>
        <v>980</v>
      </c>
      <c r="B1002" s="30"/>
      <c r="C1002" s="30" t="s">
        <v>502</v>
      </c>
      <c r="D1002" s="30" t="s">
        <v>1599</v>
      </c>
      <c r="E1002" s="31">
        <v>43090</v>
      </c>
      <c r="F1002" s="30" t="s">
        <v>362</v>
      </c>
      <c r="G1002" s="30" t="s">
        <v>363</v>
      </c>
      <c r="H1002" s="30" t="s">
        <v>129</v>
      </c>
      <c r="I1002" s="29">
        <v>454545</v>
      </c>
      <c r="J1002" s="29">
        <v>10</v>
      </c>
      <c r="K1002" s="29">
        <v>45455</v>
      </c>
      <c r="L1002" s="38"/>
      <c r="M1002" s="39"/>
      <c r="N1002" s="40"/>
      <c r="O1002" s="35"/>
      <c r="P1002" s="36"/>
      <c r="Q1002" s="36"/>
      <c r="T1002" s="36"/>
    </row>
    <row r="1003" spans="1:20" s="37" customFormat="1" ht="18.75" customHeight="1">
      <c r="A1003" s="29">
        <f t="shared" si="18"/>
        <v>981</v>
      </c>
      <c r="B1003" s="30"/>
      <c r="C1003" s="30" t="s">
        <v>320</v>
      </c>
      <c r="D1003" s="30" t="s">
        <v>474</v>
      </c>
      <c r="E1003" s="31">
        <v>43091</v>
      </c>
      <c r="F1003" s="30" t="s">
        <v>322</v>
      </c>
      <c r="G1003" s="30" t="s">
        <v>323</v>
      </c>
      <c r="H1003" s="30" t="s">
        <v>1600</v>
      </c>
      <c r="I1003" s="29">
        <v>25700000</v>
      </c>
      <c r="J1003" s="29">
        <v>10</v>
      </c>
      <c r="K1003" s="29">
        <v>2570000</v>
      </c>
      <c r="L1003" s="38" t="s">
        <v>52</v>
      </c>
      <c r="M1003" s="39">
        <v>43108</v>
      </c>
      <c r="N1003" s="40" t="s">
        <v>1481</v>
      </c>
      <c r="O1003" s="35"/>
      <c r="P1003" s="36"/>
      <c r="Q1003" s="36"/>
      <c r="T1003" s="36"/>
    </row>
    <row r="1004" spans="1:20" s="37" customFormat="1" ht="18.75" customHeight="1">
      <c r="A1004" s="29">
        <f t="shared" si="18"/>
        <v>982</v>
      </c>
      <c r="B1004" s="30"/>
      <c r="C1004" s="30" t="s">
        <v>194</v>
      </c>
      <c r="D1004" s="30" t="s">
        <v>1601</v>
      </c>
      <c r="E1004" s="31">
        <v>43091</v>
      </c>
      <c r="F1004" s="30" t="s">
        <v>196</v>
      </c>
      <c r="G1004" s="30" t="s">
        <v>197</v>
      </c>
      <c r="H1004" s="30" t="s">
        <v>402</v>
      </c>
      <c r="I1004" s="29">
        <v>1630003</v>
      </c>
      <c r="J1004" s="29">
        <v>10</v>
      </c>
      <c r="K1004" s="29">
        <v>163002</v>
      </c>
      <c r="L1004" s="38"/>
      <c r="M1004" s="39"/>
      <c r="N1004" s="40"/>
      <c r="O1004" s="35"/>
      <c r="P1004" s="36"/>
      <c r="Q1004" s="36"/>
      <c r="T1004" s="36"/>
    </row>
    <row r="1005" spans="1:20" s="37" customFormat="1" ht="18.75" customHeight="1">
      <c r="A1005" s="29">
        <f t="shared" si="18"/>
        <v>983</v>
      </c>
      <c r="B1005" s="30"/>
      <c r="C1005" s="30" t="s">
        <v>204</v>
      </c>
      <c r="D1005" s="30" t="s">
        <v>1602</v>
      </c>
      <c r="E1005" s="31">
        <v>43092</v>
      </c>
      <c r="F1005" s="30" t="s">
        <v>206</v>
      </c>
      <c r="G1005" s="30" t="s">
        <v>207</v>
      </c>
      <c r="H1005" s="30" t="s">
        <v>699</v>
      </c>
      <c r="I1005" s="29">
        <v>535603809</v>
      </c>
      <c r="J1005" s="29">
        <v>10</v>
      </c>
      <c r="K1005" s="29">
        <v>53560381</v>
      </c>
      <c r="L1005" s="38" t="s">
        <v>52</v>
      </c>
      <c r="M1005" s="39">
        <v>43116</v>
      </c>
      <c r="N1005" s="40" t="s">
        <v>1481</v>
      </c>
      <c r="O1005" s="35"/>
      <c r="P1005" s="36"/>
      <c r="Q1005" s="36"/>
      <c r="T1005" s="36"/>
    </row>
    <row r="1006" spans="1:20" s="37" customFormat="1" ht="18.75" customHeight="1">
      <c r="A1006" s="29">
        <f t="shared" si="18"/>
        <v>984</v>
      </c>
      <c r="B1006" s="30"/>
      <c r="C1006" s="30" t="s">
        <v>468</v>
      </c>
      <c r="D1006" s="30" t="s">
        <v>1603</v>
      </c>
      <c r="E1006" s="31">
        <v>43092</v>
      </c>
      <c r="F1006" s="30" t="s">
        <v>554</v>
      </c>
      <c r="G1006" s="30" t="s">
        <v>555</v>
      </c>
      <c r="H1006" s="30" t="s">
        <v>1604</v>
      </c>
      <c r="I1006" s="29">
        <v>13000000</v>
      </c>
      <c r="J1006" s="29">
        <v>10</v>
      </c>
      <c r="K1006" s="29">
        <v>1300000</v>
      </c>
      <c r="L1006" s="38"/>
      <c r="M1006" s="39"/>
      <c r="N1006" s="40"/>
      <c r="O1006" s="35"/>
      <c r="P1006" s="36"/>
      <c r="Q1006" s="36"/>
      <c r="T1006" s="36"/>
    </row>
    <row r="1007" spans="1:20" s="37" customFormat="1" ht="18.75" customHeight="1">
      <c r="A1007" s="29">
        <f t="shared" si="18"/>
        <v>985</v>
      </c>
      <c r="B1007" s="30"/>
      <c r="C1007" s="30" t="s">
        <v>473</v>
      </c>
      <c r="D1007" s="30" t="s">
        <v>1605</v>
      </c>
      <c r="E1007" s="31">
        <v>43092</v>
      </c>
      <c r="F1007" s="30" t="s">
        <v>1606</v>
      </c>
      <c r="G1007" s="30" t="s">
        <v>149</v>
      </c>
      <c r="H1007" s="30" t="s">
        <v>330</v>
      </c>
      <c r="I1007" s="29">
        <v>3000000</v>
      </c>
      <c r="J1007" s="29">
        <v>10</v>
      </c>
      <c r="K1007" s="29">
        <v>300000</v>
      </c>
      <c r="L1007" s="38"/>
      <c r="M1007" s="39"/>
      <c r="N1007" s="40"/>
      <c r="O1007" s="35"/>
      <c r="P1007" s="36"/>
      <c r="Q1007" s="36"/>
      <c r="T1007" s="36"/>
    </row>
    <row r="1008" spans="1:20" s="37" customFormat="1" ht="18.75" customHeight="1">
      <c r="A1008" s="29">
        <f t="shared" si="18"/>
        <v>986</v>
      </c>
      <c r="B1008" s="30"/>
      <c r="C1008" s="30" t="s">
        <v>1250</v>
      </c>
      <c r="D1008" s="30" t="s">
        <v>1607</v>
      </c>
      <c r="E1008" s="31">
        <v>43093</v>
      </c>
      <c r="F1008" s="30" t="s">
        <v>333</v>
      </c>
      <c r="G1008" s="30" t="s">
        <v>334</v>
      </c>
      <c r="H1008" s="30" t="s">
        <v>134</v>
      </c>
      <c r="I1008" s="29">
        <v>2747000</v>
      </c>
      <c r="J1008" s="29">
        <v>10</v>
      </c>
      <c r="K1008" s="29">
        <v>274700</v>
      </c>
      <c r="L1008" s="38"/>
      <c r="M1008" s="39"/>
      <c r="N1008" s="40"/>
      <c r="O1008" s="35"/>
      <c r="P1008" s="36"/>
      <c r="Q1008" s="36"/>
      <c r="T1008" s="36"/>
    </row>
    <row r="1009" spans="1:20" s="37" customFormat="1" ht="18.75" customHeight="1">
      <c r="A1009" s="29">
        <f t="shared" si="18"/>
        <v>987</v>
      </c>
      <c r="B1009" s="30"/>
      <c r="C1009" s="30" t="s">
        <v>468</v>
      </c>
      <c r="D1009" s="30" t="s">
        <v>1608</v>
      </c>
      <c r="E1009" s="31">
        <v>43094</v>
      </c>
      <c r="F1009" s="30" t="s">
        <v>554</v>
      </c>
      <c r="G1009" s="30" t="s">
        <v>555</v>
      </c>
      <c r="H1009" s="30" t="s">
        <v>1604</v>
      </c>
      <c r="I1009" s="29">
        <v>12320000</v>
      </c>
      <c r="J1009" s="29">
        <v>10</v>
      </c>
      <c r="K1009" s="29">
        <v>1232000</v>
      </c>
      <c r="L1009" s="38"/>
      <c r="M1009" s="39"/>
      <c r="N1009" s="40"/>
      <c r="O1009" s="35"/>
      <c r="P1009" s="36"/>
      <c r="Q1009" s="36"/>
      <c r="T1009" s="36"/>
    </row>
    <row r="1010" spans="1:20" s="37" customFormat="1" ht="18.75" customHeight="1">
      <c r="A1010" s="29">
        <f t="shared" si="18"/>
        <v>988</v>
      </c>
      <c r="B1010" s="30"/>
      <c r="C1010" s="30" t="s">
        <v>1609</v>
      </c>
      <c r="D1010" s="30" t="s">
        <v>1610</v>
      </c>
      <c r="E1010" s="31">
        <v>43094</v>
      </c>
      <c r="F1010" s="30" t="s">
        <v>1611</v>
      </c>
      <c r="G1010" s="30" t="s">
        <v>1612</v>
      </c>
      <c r="H1010" s="30" t="s">
        <v>316</v>
      </c>
      <c r="I1010" s="29">
        <v>1190000</v>
      </c>
      <c r="J1010" s="29">
        <v>10</v>
      </c>
      <c r="K1010" s="29">
        <v>119000</v>
      </c>
      <c r="L1010" s="38"/>
      <c r="M1010" s="39"/>
      <c r="N1010" s="40"/>
      <c r="O1010" s="35"/>
      <c r="P1010" s="36"/>
      <c r="Q1010" s="36"/>
      <c r="T1010" s="36"/>
    </row>
    <row r="1011" spans="1:20" s="37" customFormat="1" ht="18.75" customHeight="1">
      <c r="A1011" s="29">
        <f t="shared" si="18"/>
        <v>989</v>
      </c>
      <c r="B1011" s="30"/>
      <c r="C1011" s="30" t="s">
        <v>1613</v>
      </c>
      <c r="D1011" s="30" t="s">
        <v>1614</v>
      </c>
      <c r="E1011" s="31">
        <v>43094</v>
      </c>
      <c r="F1011" s="30" t="s">
        <v>1615</v>
      </c>
      <c r="G1011" s="30" t="s">
        <v>1616</v>
      </c>
      <c r="H1011" s="30" t="s">
        <v>1617</v>
      </c>
      <c r="I1011" s="29">
        <v>1454545</v>
      </c>
      <c r="J1011" s="29">
        <v>10</v>
      </c>
      <c r="K1011" s="29">
        <v>145455</v>
      </c>
      <c r="L1011" s="38"/>
      <c r="M1011" s="39"/>
      <c r="N1011" s="40"/>
      <c r="O1011" s="35"/>
      <c r="P1011" s="36"/>
      <c r="Q1011" s="36"/>
      <c r="T1011" s="36"/>
    </row>
    <row r="1012" spans="1:20" s="37" customFormat="1" ht="18.75" customHeight="1">
      <c r="A1012" s="29">
        <f t="shared" si="18"/>
        <v>990</v>
      </c>
      <c r="B1012" s="30"/>
      <c r="C1012" s="30" t="s">
        <v>502</v>
      </c>
      <c r="D1012" s="30" t="s">
        <v>1618</v>
      </c>
      <c r="E1012" s="31">
        <v>43094</v>
      </c>
      <c r="F1012" s="30" t="s">
        <v>362</v>
      </c>
      <c r="G1012" s="30" t="s">
        <v>363</v>
      </c>
      <c r="H1012" s="30" t="s">
        <v>129</v>
      </c>
      <c r="I1012" s="29">
        <v>454545</v>
      </c>
      <c r="J1012" s="29">
        <v>10</v>
      </c>
      <c r="K1012" s="29">
        <v>45455</v>
      </c>
      <c r="L1012" s="38"/>
      <c r="M1012" s="39"/>
      <c r="N1012" s="40"/>
      <c r="O1012" s="35"/>
      <c r="P1012" s="36"/>
      <c r="Q1012" s="36"/>
      <c r="T1012" s="36"/>
    </row>
    <row r="1013" spans="1:20" s="37" customFormat="1" ht="18.75" customHeight="1">
      <c r="A1013" s="29">
        <f t="shared" si="18"/>
        <v>991</v>
      </c>
      <c r="B1013" s="30"/>
      <c r="C1013" s="30" t="s">
        <v>468</v>
      </c>
      <c r="D1013" s="30" t="s">
        <v>1619</v>
      </c>
      <c r="E1013" s="31">
        <v>43095</v>
      </c>
      <c r="F1013" s="30" t="s">
        <v>554</v>
      </c>
      <c r="G1013" s="30" t="s">
        <v>555</v>
      </c>
      <c r="H1013" s="30" t="s">
        <v>1620</v>
      </c>
      <c r="I1013" s="29">
        <v>13500000</v>
      </c>
      <c r="J1013" s="29">
        <v>10</v>
      </c>
      <c r="K1013" s="29">
        <v>1350000</v>
      </c>
      <c r="L1013" s="38"/>
      <c r="M1013" s="39"/>
      <c r="N1013" s="40"/>
      <c r="O1013" s="35"/>
      <c r="P1013" s="36"/>
      <c r="Q1013" s="36"/>
      <c r="T1013" s="36"/>
    </row>
    <row r="1014" spans="1:20" s="37" customFormat="1" ht="18.75" customHeight="1">
      <c r="A1014" s="29">
        <f t="shared" si="18"/>
        <v>992</v>
      </c>
      <c r="B1014" s="30"/>
      <c r="C1014" s="30" t="s">
        <v>1335</v>
      </c>
      <c r="D1014" s="30" t="s">
        <v>1621</v>
      </c>
      <c r="E1014" s="31">
        <v>43095</v>
      </c>
      <c r="F1014" s="30" t="s">
        <v>1337</v>
      </c>
      <c r="G1014" s="30" t="s">
        <v>1338</v>
      </c>
      <c r="H1014" s="30" t="s">
        <v>1478</v>
      </c>
      <c r="I1014" s="29">
        <v>876364</v>
      </c>
      <c r="J1014" s="29">
        <v>10</v>
      </c>
      <c r="K1014" s="29">
        <v>87636</v>
      </c>
      <c r="L1014" s="38"/>
      <c r="M1014" s="39"/>
      <c r="N1014" s="40"/>
      <c r="O1014" s="35"/>
      <c r="P1014" s="36"/>
      <c r="Q1014" s="36"/>
      <c r="T1014" s="36"/>
    </row>
    <row r="1015" spans="1:20" s="37" customFormat="1" ht="18.75" customHeight="1">
      <c r="A1015" s="29">
        <f t="shared" si="18"/>
        <v>993</v>
      </c>
      <c r="B1015" s="30"/>
      <c r="C1015" s="30" t="s">
        <v>162</v>
      </c>
      <c r="D1015" s="30" t="s">
        <v>1622</v>
      </c>
      <c r="E1015" s="31">
        <v>43095</v>
      </c>
      <c r="F1015" s="30" t="s">
        <v>164</v>
      </c>
      <c r="G1015" s="30" t="s">
        <v>165</v>
      </c>
      <c r="H1015" s="30" t="s">
        <v>166</v>
      </c>
      <c r="I1015" s="29">
        <v>17957492</v>
      </c>
      <c r="J1015" s="29">
        <v>10</v>
      </c>
      <c r="K1015" s="29">
        <v>1795749</v>
      </c>
      <c r="L1015" s="38" t="s">
        <v>52</v>
      </c>
      <c r="M1015" s="39">
        <v>43125</v>
      </c>
      <c r="N1015" s="40" t="s">
        <v>1481</v>
      </c>
      <c r="O1015" s="35"/>
      <c r="P1015" s="36"/>
      <c r="Q1015" s="36"/>
      <c r="T1015" s="36"/>
    </row>
    <row r="1016" spans="1:20" s="37" customFormat="1" ht="18.75" customHeight="1">
      <c r="A1016" s="29">
        <f t="shared" si="18"/>
        <v>994</v>
      </c>
      <c r="B1016" s="30"/>
      <c r="C1016" s="30" t="s">
        <v>162</v>
      </c>
      <c r="D1016" s="30" t="s">
        <v>1623</v>
      </c>
      <c r="E1016" s="31">
        <v>43095</v>
      </c>
      <c r="F1016" s="30" t="s">
        <v>164</v>
      </c>
      <c r="G1016" s="30" t="s">
        <v>165</v>
      </c>
      <c r="H1016" s="30" t="s">
        <v>166</v>
      </c>
      <c r="I1016" s="29">
        <v>9259381</v>
      </c>
      <c r="J1016" s="29">
        <v>10</v>
      </c>
      <c r="K1016" s="29">
        <v>925938</v>
      </c>
      <c r="L1016" s="38" t="s">
        <v>52</v>
      </c>
      <c r="M1016" s="39">
        <v>43125</v>
      </c>
      <c r="N1016" s="40" t="s">
        <v>1481</v>
      </c>
      <c r="O1016" s="35"/>
      <c r="P1016" s="36"/>
      <c r="Q1016" s="36"/>
      <c r="T1016" s="36"/>
    </row>
    <row r="1017" spans="1:20" s="37" customFormat="1" ht="18.75" customHeight="1">
      <c r="A1017" s="29">
        <f t="shared" si="18"/>
        <v>995</v>
      </c>
      <c r="B1017" s="30"/>
      <c r="C1017" s="30" t="s">
        <v>226</v>
      </c>
      <c r="D1017" s="30" t="s">
        <v>1624</v>
      </c>
      <c r="E1017" s="31">
        <v>43096</v>
      </c>
      <c r="F1017" s="30" t="s">
        <v>228</v>
      </c>
      <c r="G1017" s="30" t="s">
        <v>229</v>
      </c>
      <c r="H1017" s="30" t="s">
        <v>1625</v>
      </c>
      <c r="I1017" s="29">
        <v>8456000</v>
      </c>
      <c r="J1017" s="29">
        <v>10</v>
      </c>
      <c r="K1017" s="29">
        <v>845600</v>
      </c>
      <c r="L1017" s="38"/>
      <c r="M1017" s="39"/>
      <c r="N1017" s="40"/>
      <c r="O1017" s="35"/>
      <c r="P1017" s="36"/>
      <c r="Q1017" s="36"/>
      <c r="T1017" s="36"/>
    </row>
    <row r="1018" spans="1:20" s="37" customFormat="1" ht="18.75" customHeight="1">
      <c r="A1018" s="29">
        <f t="shared" si="18"/>
        <v>996</v>
      </c>
      <c r="B1018" s="30"/>
      <c r="C1018" s="30" t="s">
        <v>93</v>
      </c>
      <c r="D1018" s="30" t="s">
        <v>1626</v>
      </c>
      <c r="E1018" s="31">
        <v>43096</v>
      </c>
      <c r="F1018" s="30" t="s">
        <v>49</v>
      </c>
      <c r="G1018" s="30" t="s">
        <v>50</v>
      </c>
      <c r="H1018" s="30" t="s">
        <v>864</v>
      </c>
      <c r="I1018" s="29">
        <v>185680000</v>
      </c>
      <c r="J1018" s="29">
        <v>10</v>
      </c>
      <c r="K1018" s="29">
        <v>18568000</v>
      </c>
      <c r="L1018" s="38" t="s">
        <v>52</v>
      </c>
      <c r="M1018" s="39">
        <v>43136</v>
      </c>
      <c r="N1018" s="40" t="s">
        <v>1481</v>
      </c>
      <c r="O1018" s="35"/>
      <c r="P1018" s="36"/>
      <c r="Q1018" s="36"/>
      <c r="T1018" s="36"/>
    </row>
    <row r="1019" spans="1:20" s="37" customFormat="1" ht="18.75" customHeight="1">
      <c r="A1019" s="29">
        <f t="shared" si="18"/>
        <v>997</v>
      </c>
      <c r="B1019" s="30"/>
      <c r="C1019" s="30" t="s">
        <v>726</v>
      </c>
      <c r="D1019" s="30" t="s">
        <v>1627</v>
      </c>
      <c r="E1019" s="31">
        <v>43096</v>
      </c>
      <c r="F1019" s="30" t="s">
        <v>63</v>
      </c>
      <c r="G1019" s="30" t="s">
        <v>64</v>
      </c>
      <c r="H1019" s="30" t="s">
        <v>1628</v>
      </c>
      <c r="I1019" s="29">
        <v>32236364</v>
      </c>
      <c r="J1019" s="29">
        <v>10</v>
      </c>
      <c r="K1019" s="29">
        <v>3223636</v>
      </c>
      <c r="L1019" s="38" t="s">
        <v>52</v>
      </c>
      <c r="M1019" s="39">
        <v>43116</v>
      </c>
      <c r="N1019" s="40" t="s">
        <v>1481</v>
      </c>
      <c r="O1019" s="35"/>
      <c r="P1019" s="36"/>
      <c r="Q1019" s="36"/>
      <c r="T1019" s="36"/>
    </row>
    <row r="1020" spans="1:20" s="37" customFormat="1" ht="18.75" customHeight="1">
      <c r="A1020" s="29">
        <f t="shared" si="18"/>
        <v>998</v>
      </c>
      <c r="B1020" s="30"/>
      <c r="C1020" s="30" t="s">
        <v>502</v>
      </c>
      <c r="D1020" s="30" t="s">
        <v>1629</v>
      </c>
      <c r="E1020" s="31">
        <v>43096</v>
      </c>
      <c r="F1020" s="30" t="s">
        <v>362</v>
      </c>
      <c r="G1020" s="30" t="s">
        <v>363</v>
      </c>
      <c r="H1020" s="30" t="s">
        <v>129</v>
      </c>
      <c r="I1020" s="29">
        <v>454545</v>
      </c>
      <c r="J1020" s="29">
        <v>10</v>
      </c>
      <c r="K1020" s="29">
        <v>45455</v>
      </c>
      <c r="L1020" s="38"/>
      <c r="M1020" s="39"/>
      <c r="N1020" s="40"/>
      <c r="O1020" s="35"/>
      <c r="P1020" s="36"/>
      <c r="Q1020" s="36"/>
      <c r="T1020" s="36"/>
    </row>
    <row r="1021" spans="1:20" s="37" customFormat="1" ht="18.75" customHeight="1">
      <c r="A1021" s="29">
        <f t="shared" si="18"/>
        <v>999</v>
      </c>
      <c r="B1021" s="30"/>
      <c r="C1021" s="30" t="s">
        <v>204</v>
      </c>
      <c r="D1021" s="30" t="s">
        <v>1630</v>
      </c>
      <c r="E1021" s="31">
        <v>43097</v>
      </c>
      <c r="F1021" s="30" t="s">
        <v>206</v>
      </c>
      <c r="G1021" s="30" t="s">
        <v>207</v>
      </c>
      <c r="H1021" s="30" t="s">
        <v>1136</v>
      </c>
      <c r="I1021" s="29">
        <v>258495219</v>
      </c>
      <c r="J1021" s="29">
        <v>10</v>
      </c>
      <c r="K1021" s="29">
        <v>25849522</v>
      </c>
      <c r="L1021" s="38" t="s">
        <v>52</v>
      </c>
      <c r="M1021" s="39">
        <v>43116</v>
      </c>
      <c r="N1021" s="40" t="s">
        <v>1481</v>
      </c>
      <c r="O1021" s="35"/>
      <c r="P1021" s="36"/>
      <c r="Q1021" s="36"/>
      <c r="T1021" s="36"/>
    </row>
    <row r="1022" spans="1:20" s="37" customFormat="1" ht="18.75" customHeight="1">
      <c r="A1022" s="29">
        <f t="shared" si="18"/>
        <v>1000</v>
      </c>
      <c r="B1022" s="30"/>
      <c r="C1022" s="30" t="s">
        <v>213</v>
      </c>
      <c r="D1022" s="30" t="s">
        <v>1631</v>
      </c>
      <c r="E1022" s="31">
        <v>43097</v>
      </c>
      <c r="F1022" s="30" t="s">
        <v>215</v>
      </c>
      <c r="G1022" s="30" t="s">
        <v>216</v>
      </c>
      <c r="H1022" s="30" t="s">
        <v>217</v>
      </c>
      <c r="I1022" s="29">
        <v>1378708</v>
      </c>
      <c r="J1022" s="29">
        <v>10</v>
      </c>
      <c r="K1022" s="29">
        <v>137870</v>
      </c>
      <c r="L1022" s="38"/>
      <c r="M1022" s="39"/>
      <c r="N1022" s="40"/>
      <c r="O1022" s="35"/>
      <c r="P1022" s="36"/>
      <c r="Q1022" s="36"/>
      <c r="T1022" s="36"/>
    </row>
    <row r="1023" spans="1:20" s="37" customFormat="1" ht="18.75" customHeight="1">
      <c r="A1023" s="29">
        <f t="shared" si="18"/>
        <v>1001</v>
      </c>
      <c r="B1023" s="30"/>
      <c r="C1023" s="30" t="s">
        <v>167</v>
      </c>
      <c r="D1023" s="30" t="s">
        <v>1632</v>
      </c>
      <c r="E1023" s="31">
        <v>43097</v>
      </c>
      <c r="F1023" s="30" t="s">
        <v>409</v>
      </c>
      <c r="G1023" s="30" t="s">
        <v>410</v>
      </c>
      <c r="H1023" s="30" t="s">
        <v>411</v>
      </c>
      <c r="I1023" s="29">
        <v>32478600</v>
      </c>
      <c r="J1023" s="29">
        <v>10</v>
      </c>
      <c r="K1023" s="29">
        <v>3247860</v>
      </c>
      <c r="L1023" s="38" t="s">
        <v>52</v>
      </c>
      <c r="M1023" s="39">
        <v>43125</v>
      </c>
      <c r="N1023" s="40" t="s">
        <v>1481</v>
      </c>
      <c r="O1023" s="35"/>
      <c r="P1023" s="36"/>
      <c r="Q1023" s="36"/>
      <c r="T1023" s="36"/>
    </row>
    <row r="1024" spans="1:20" s="37" customFormat="1" ht="18.75" customHeight="1">
      <c r="A1024" s="29">
        <f t="shared" si="18"/>
        <v>1002</v>
      </c>
      <c r="B1024" s="30"/>
      <c r="C1024" s="30" t="s">
        <v>167</v>
      </c>
      <c r="D1024" s="30" t="s">
        <v>1633</v>
      </c>
      <c r="E1024" s="31">
        <v>43097</v>
      </c>
      <c r="F1024" s="30" t="s">
        <v>409</v>
      </c>
      <c r="G1024" s="30" t="s">
        <v>410</v>
      </c>
      <c r="H1024" s="30" t="s">
        <v>411</v>
      </c>
      <c r="I1024" s="29">
        <v>93015900</v>
      </c>
      <c r="J1024" s="29">
        <v>10</v>
      </c>
      <c r="K1024" s="29">
        <v>9301590</v>
      </c>
      <c r="L1024" s="38" t="s">
        <v>52</v>
      </c>
      <c r="M1024" s="39">
        <v>43125</v>
      </c>
      <c r="N1024" s="40" t="s">
        <v>1481</v>
      </c>
      <c r="O1024" s="35"/>
      <c r="P1024" s="36"/>
      <c r="Q1024" s="36"/>
      <c r="T1024" s="36"/>
    </row>
    <row r="1025" spans="1:20" s="37" customFormat="1" ht="18.75" customHeight="1">
      <c r="A1025" s="29">
        <f t="shared" si="18"/>
        <v>1003</v>
      </c>
      <c r="B1025" s="30"/>
      <c r="C1025" s="30" t="s">
        <v>100</v>
      </c>
      <c r="D1025" s="30" t="s">
        <v>1634</v>
      </c>
      <c r="E1025" s="31">
        <v>43097</v>
      </c>
      <c r="F1025" s="30" t="s">
        <v>102</v>
      </c>
      <c r="G1025" s="30" t="s">
        <v>103</v>
      </c>
      <c r="H1025" s="30" t="s">
        <v>377</v>
      </c>
      <c r="I1025" s="29">
        <v>19780000</v>
      </c>
      <c r="J1025" s="29">
        <v>10</v>
      </c>
      <c r="K1025" s="29">
        <v>1978000</v>
      </c>
      <c r="L1025" s="38" t="s">
        <v>52</v>
      </c>
      <c r="M1025" s="39">
        <v>43125</v>
      </c>
      <c r="N1025" s="40" t="s">
        <v>1481</v>
      </c>
      <c r="O1025" s="35"/>
      <c r="P1025" s="36"/>
      <c r="Q1025" s="36"/>
      <c r="T1025" s="36"/>
    </row>
    <row r="1026" spans="1:20" s="37" customFormat="1" ht="18.75" customHeight="1">
      <c r="A1026" s="29">
        <f t="shared" si="18"/>
        <v>1004</v>
      </c>
      <c r="B1026" s="30"/>
      <c r="C1026" s="30" t="s">
        <v>54</v>
      </c>
      <c r="D1026" s="30" t="s">
        <v>1635</v>
      </c>
      <c r="E1026" s="31">
        <v>43097</v>
      </c>
      <c r="F1026" s="30" t="s">
        <v>56</v>
      </c>
      <c r="G1026" s="30" t="s">
        <v>57</v>
      </c>
      <c r="H1026" s="30" t="s">
        <v>1528</v>
      </c>
      <c r="I1026" s="29">
        <v>12093124</v>
      </c>
      <c r="J1026" s="29">
        <v>10</v>
      </c>
      <c r="K1026" s="29">
        <v>1209312</v>
      </c>
      <c r="L1026" s="38"/>
      <c r="M1026" s="39"/>
      <c r="N1026" s="40"/>
      <c r="O1026" s="35"/>
      <c r="P1026" s="36"/>
      <c r="Q1026" s="36"/>
      <c r="T1026" s="36"/>
    </row>
    <row r="1027" spans="1:20" s="37" customFormat="1" ht="18.75" customHeight="1">
      <c r="A1027" s="29">
        <f t="shared" si="18"/>
        <v>1005</v>
      </c>
      <c r="B1027" s="30"/>
      <c r="C1027" s="30" t="s">
        <v>726</v>
      </c>
      <c r="D1027" s="30" t="s">
        <v>1636</v>
      </c>
      <c r="E1027" s="31">
        <v>43097</v>
      </c>
      <c r="F1027" s="30" t="s">
        <v>63</v>
      </c>
      <c r="G1027" s="30" t="s">
        <v>64</v>
      </c>
      <c r="H1027" s="30" t="s">
        <v>1548</v>
      </c>
      <c r="I1027" s="29">
        <v>11818182</v>
      </c>
      <c r="J1027" s="29">
        <v>10</v>
      </c>
      <c r="K1027" s="29">
        <v>1181818</v>
      </c>
      <c r="L1027" s="38"/>
      <c r="M1027" s="39"/>
      <c r="N1027" s="40"/>
      <c r="O1027" s="35"/>
      <c r="P1027" s="36"/>
      <c r="Q1027" s="36"/>
      <c r="T1027" s="36"/>
    </row>
    <row r="1028" spans="1:20" s="37" customFormat="1" ht="18.75" customHeight="1">
      <c r="A1028" s="29">
        <f t="shared" si="18"/>
        <v>1006</v>
      </c>
      <c r="B1028" s="30"/>
      <c r="C1028" s="30" t="s">
        <v>112</v>
      </c>
      <c r="D1028" s="30" t="s">
        <v>1637</v>
      </c>
      <c r="E1028" s="31">
        <v>43097</v>
      </c>
      <c r="F1028" s="30" t="s">
        <v>114</v>
      </c>
      <c r="G1028" s="30" t="s">
        <v>115</v>
      </c>
      <c r="H1028" s="30" t="s">
        <v>116</v>
      </c>
      <c r="I1028" s="29">
        <v>10000</v>
      </c>
      <c r="J1028" s="29">
        <v>10</v>
      </c>
      <c r="K1028" s="29">
        <v>1000</v>
      </c>
      <c r="L1028" s="38"/>
      <c r="M1028" s="39"/>
      <c r="N1028" s="40"/>
      <c r="O1028" s="35"/>
      <c r="P1028" s="36"/>
      <c r="Q1028" s="36"/>
      <c r="T1028" s="36"/>
    </row>
    <row r="1029" spans="1:20" s="37" customFormat="1" ht="18.75" customHeight="1">
      <c r="A1029" s="29">
        <f t="shared" si="18"/>
        <v>1007</v>
      </c>
      <c r="B1029" s="30"/>
      <c r="C1029" s="30" t="s">
        <v>226</v>
      </c>
      <c r="D1029" s="30" t="s">
        <v>1638</v>
      </c>
      <c r="E1029" s="31">
        <v>43098</v>
      </c>
      <c r="F1029" s="30" t="s">
        <v>228</v>
      </c>
      <c r="G1029" s="30" t="s">
        <v>229</v>
      </c>
      <c r="H1029" s="30" t="s">
        <v>1639</v>
      </c>
      <c r="I1029" s="29">
        <v>11050000</v>
      </c>
      <c r="J1029" s="29">
        <v>10</v>
      </c>
      <c r="K1029" s="29">
        <v>1105000</v>
      </c>
      <c r="L1029" s="38"/>
      <c r="M1029" s="39"/>
      <c r="N1029" s="40"/>
      <c r="O1029" s="35"/>
      <c r="P1029" s="36"/>
      <c r="Q1029" s="36"/>
      <c r="T1029" s="36"/>
    </row>
    <row r="1030" spans="1:20" s="37" customFormat="1" ht="18.75" customHeight="1">
      <c r="A1030" s="29">
        <f t="shared" si="18"/>
        <v>1008</v>
      </c>
      <c r="B1030" s="30"/>
      <c r="C1030" s="30" t="s">
        <v>231</v>
      </c>
      <c r="D1030" s="30" t="s">
        <v>1640</v>
      </c>
      <c r="E1030" s="31">
        <v>43098</v>
      </c>
      <c r="F1030" s="30" t="s">
        <v>233</v>
      </c>
      <c r="G1030" s="30" t="s">
        <v>234</v>
      </c>
      <c r="H1030" s="30" t="s">
        <v>235</v>
      </c>
      <c r="I1030" s="29">
        <v>69353300</v>
      </c>
      <c r="J1030" s="29">
        <v>10</v>
      </c>
      <c r="K1030" s="29">
        <v>6935330</v>
      </c>
      <c r="L1030" s="38" t="s">
        <v>52</v>
      </c>
      <c r="M1030" s="39">
        <v>43125</v>
      </c>
      <c r="N1030" s="40" t="s">
        <v>1481</v>
      </c>
      <c r="O1030" s="35"/>
      <c r="P1030" s="36"/>
      <c r="Q1030" s="36"/>
      <c r="T1030" s="36"/>
    </row>
    <row r="1031" spans="1:20" s="37" customFormat="1" ht="18.75" customHeight="1">
      <c r="A1031" s="29">
        <f t="shared" si="18"/>
        <v>1009</v>
      </c>
      <c r="B1031" s="30"/>
      <c r="C1031" s="30" t="s">
        <v>231</v>
      </c>
      <c r="D1031" s="30" t="s">
        <v>1641</v>
      </c>
      <c r="E1031" s="31">
        <v>43098</v>
      </c>
      <c r="F1031" s="30" t="s">
        <v>239</v>
      </c>
      <c r="G1031" s="30" t="s">
        <v>240</v>
      </c>
      <c r="H1031" s="30" t="s">
        <v>1642</v>
      </c>
      <c r="I1031" s="29">
        <v>41752820</v>
      </c>
      <c r="J1031" s="29">
        <v>10</v>
      </c>
      <c r="K1031" s="29">
        <v>4175282</v>
      </c>
      <c r="L1031" s="38" t="s">
        <v>52</v>
      </c>
      <c r="M1031" s="39">
        <v>43116</v>
      </c>
      <c r="N1031" s="40" t="s">
        <v>1481</v>
      </c>
      <c r="O1031" s="35"/>
      <c r="P1031" s="36"/>
      <c r="Q1031" s="36"/>
      <c r="T1031" s="36"/>
    </row>
    <row r="1032" spans="1:20" s="37" customFormat="1" ht="18.75" customHeight="1">
      <c r="A1032" s="29">
        <f t="shared" ref="A1032:A1043" si="19">A1031+1</f>
        <v>1010</v>
      </c>
      <c r="B1032" s="30"/>
      <c r="C1032" s="30" t="s">
        <v>54</v>
      </c>
      <c r="D1032" s="30" t="s">
        <v>1643</v>
      </c>
      <c r="E1032" s="31">
        <v>43098</v>
      </c>
      <c r="F1032" s="30" t="s">
        <v>56</v>
      </c>
      <c r="G1032" s="30" t="s">
        <v>57</v>
      </c>
      <c r="H1032" s="30" t="s">
        <v>1528</v>
      </c>
      <c r="I1032" s="29">
        <v>11482700</v>
      </c>
      <c r="J1032" s="29">
        <v>10</v>
      </c>
      <c r="K1032" s="29">
        <v>1148270</v>
      </c>
      <c r="L1032" s="38"/>
      <c r="M1032" s="39"/>
      <c r="N1032" s="40"/>
      <c r="O1032" s="35"/>
      <c r="P1032" s="36"/>
      <c r="Q1032" s="36"/>
      <c r="T1032" s="36"/>
    </row>
    <row r="1033" spans="1:20" s="37" customFormat="1" ht="18.75" customHeight="1">
      <c r="A1033" s="29">
        <f t="shared" si="19"/>
        <v>1011</v>
      </c>
      <c r="B1033" s="30"/>
      <c r="C1033" s="30" t="s">
        <v>278</v>
      </c>
      <c r="D1033" s="30" t="s">
        <v>1644</v>
      </c>
      <c r="E1033" s="31">
        <v>43098</v>
      </c>
      <c r="F1033" s="30" t="s">
        <v>280</v>
      </c>
      <c r="G1033" s="30" t="s">
        <v>281</v>
      </c>
      <c r="H1033" s="30" t="s">
        <v>1528</v>
      </c>
      <c r="I1033" s="29">
        <v>5882350</v>
      </c>
      <c r="J1033" s="29">
        <v>10</v>
      </c>
      <c r="K1033" s="29">
        <v>588235</v>
      </c>
      <c r="L1033" s="38"/>
      <c r="M1033" s="39"/>
      <c r="N1033" s="40"/>
      <c r="O1033" s="35"/>
      <c r="P1033" s="36"/>
      <c r="Q1033" s="36"/>
      <c r="T1033" s="36"/>
    </row>
    <row r="1034" spans="1:20" s="37" customFormat="1" ht="18.75" customHeight="1">
      <c r="A1034" s="29">
        <f t="shared" si="19"/>
        <v>1012</v>
      </c>
      <c r="B1034" s="30"/>
      <c r="C1034" s="30" t="s">
        <v>1645</v>
      </c>
      <c r="D1034" s="30" t="s">
        <v>1383</v>
      </c>
      <c r="E1034" s="31">
        <v>43099</v>
      </c>
      <c r="F1034" s="30" t="s">
        <v>1076</v>
      </c>
      <c r="G1034" s="30" t="s">
        <v>1077</v>
      </c>
      <c r="H1034" s="30" t="s">
        <v>1646</v>
      </c>
      <c r="I1034" s="29">
        <v>2467273</v>
      </c>
      <c r="J1034" s="29">
        <v>10</v>
      </c>
      <c r="K1034" s="29">
        <v>246727</v>
      </c>
      <c r="L1034" s="38"/>
      <c r="M1034" s="39"/>
      <c r="N1034" s="40"/>
      <c r="O1034" s="35"/>
      <c r="P1034" s="36"/>
      <c r="Q1034" s="36"/>
      <c r="T1034" s="36"/>
    </row>
    <row r="1035" spans="1:20" s="37" customFormat="1" ht="18.75" customHeight="1">
      <c r="A1035" s="29">
        <f t="shared" si="19"/>
        <v>1013</v>
      </c>
      <c r="B1035" s="30"/>
      <c r="C1035" s="30" t="s">
        <v>167</v>
      </c>
      <c r="D1035" s="30" t="s">
        <v>1294</v>
      </c>
      <c r="E1035" s="31">
        <v>43099</v>
      </c>
      <c r="F1035" s="30" t="s">
        <v>258</v>
      </c>
      <c r="G1035" s="30" t="s">
        <v>259</v>
      </c>
      <c r="H1035" s="30" t="s">
        <v>1647</v>
      </c>
      <c r="I1035" s="29">
        <v>138114830</v>
      </c>
      <c r="J1035" s="29">
        <v>10</v>
      </c>
      <c r="K1035" s="29">
        <v>13811483</v>
      </c>
      <c r="L1035" s="38" t="s">
        <v>52</v>
      </c>
      <c r="M1035" s="39">
        <v>43125</v>
      </c>
      <c r="N1035" s="40" t="s">
        <v>1481</v>
      </c>
      <c r="O1035" s="35"/>
      <c r="P1035" s="36"/>
      <c r="Q1035" s="36"/>
      <c r="T1035" s="36"/>
    </row>
    <row r="1036" spans="1:20" s="37" customFormat="1" ht="18.75" customHeight="1">
      <c r="A1036" s="29">
        <f t="shared" si="19"/>
        <v>1014</v>
      </c>
      <c r="B1036" s="30"/>
      <c r="C1036" s="30" t="s">
        <v>231</v>
      </c>
      <c r="D1036" s="30" t="s">
        <v>1648</v>
      </c>
      <c r="E1036" s="31">
        <v>43099</v>
      </c>
      <c r="F1036" s="30" t="s">
        <v>233</v>
      </c>
      <c r="G1036" s="30" t="s">
        <v>234</v>
      </c>
      <c r="H1036" s="30" t="s">
        <v>235</v>
      </c>
      <c r="I1036" s="29">
        <v>41002200</v>
      </c>
      <c r="J1036" s="29">
        <v>10</v>
      </c>
      <c r="K1036" s="29">
        <v>4100220</v>
      </c>
      <c r="L1036" s="38" t="s">
        <v>52</v>
      </c>
      <c r="M1036" s="39">
        <v>43125</v>
      </c>
      <c r="N1036" s="40" t="s">
        <v>1481</v>
      </c>
      <c r="O1036" s="35"/>
      <c r="P1036" s="36"/>
      <c r="Q1036" s="36"/>
      <c r="T1036" s="36"/>
    </row>
    <row r="1037" spans="1:20" s="37" customFormat="1" ht="18.75" customHeight="1">
      <c r="A1037" s="29">
        <f t="shared" si="19"/>
        <v>1015</v>
      </c>
      <c r="B1037" s="30"/>
      <c r="C1037" s="30" t="s">
        <v>231</v>
      </c>
      <c r="D1037" s="30" t="s">
        <v>1649</v>
      </c>
      <c r="E1037" s="31">
        <v>43099</v>
      </c>
      <c r="F1037" s="30" t="s">
        <v>233</v>
      </c>
      <c r="G1037" s="30" t="s">
        <v>234</v>
      </c>
      <c r="H1037" s="30" t="s">
        <v>235</v>
      </c>
      <c r="I1037" s="29">
        <v>51990200</v>
      </c>
      <c r="J1037" s="29">
        <v>10</v>
      </c>
      <c r="K1037" s="29">
        <v>5199020</v>
      </c>
      <c r="L1037" s="38" t="s">
        <v>52</v>
      </c>
      <c r="M1037" s="39">
        <v>43125</v>
      </c>
      <c r="N1037" s="40" t="s">
        <v>1481</v>
      </c>
      <c r="O1037" s="35"/>
      <c r="P1037" s="36"/>
      <c r="Q1037" s="36"/>
      <c r="T1037" s="36"/>
    </row>
    <row r="1038" spans="1:20" s="37" customFormat="1" ht="18.75" customHeight="1">
      <c r="A1038" s="29">
        <f t="shared" si="19"/>
        <v>1016</v>
      </c>
      <c r="B1038" s="30"/>
      <c r="C1038" s="30" t="s">
        <v>231</v>
      </c>
      <c r="D1038" s="30" t="s">
        <v>1650</v>
      </c>
      <c r="E1038" s="31">
        <v>43099</v>
      </c>
      <c r="F1038" s="30" t="s">
        <v>239</v>
      </c>
      <c r="G1038" s="30" t="s">
        <v>240</v>
      </c>
      <c r="H1038" s="30" t="s">
        <v>1651</v>
      </c>
      <c r="I1038" s="29">
        <v>36569900</v>
      </c>
      <c r="J1038" s="29">
        <v>10</v>
      </c>
      <c r="K1038" s="29">
        <v>3656990</v>
      </c>
      <c r="L1038" s="38" t="s">
        <v>52</v>
      </c>
      <c r="M1038" s="39">
        <v>43116</v>
      </c>
      <c r="N1038" s="40" t="s">
        <v>1481</v>
      </c>
      <c r="O1038" s="35"/>
      <c r="P1038" s="36"/>
      <c r="Q1038" s="36"/>
      <c r="T1038" s="36"/>
    </row>
    <row r="1039" spans="1:20" s="37" customFormat="1" ht="18.75" customHeight="1">
      <c r="A1039" s="29">
        <f t="shared" si="19"/>
        <v>1017</v>
      </c>
      <c r="B1039" s="30"/>
      <c r="C1039" s="30" t="s">
        <v>248</v>
      </c>
      <c r="D1039" s="30" t="s">
        <v>1652</v>
      </c>
      <c r="E1039" s="31">
        <v>43099</v>
      </c>
      <c r="F1039" s="30" t="s">
        <v>250</v>
      </c>
      <c r="G1039" s="30" t="s">
        <v>251</v>
      </c>
      <c r="H1039" s="30" t="s">
        <v>1653</v>
      </c>
      <c r="I1039" s="29">
        <v>309183800</v>
      </c>
      <c r="J1039" s="29">
        <v>10</v>
      </c>
      <c r="K1039" s="29">
        <v>30918380</v>
      </c>
      <c r="L1039" s="38" t="s">
        <v>52</v>
      </c>
      <c r="M1039" s="39">
        <v>43119</v>
      </c>
      <c r="N1039" s="40" t="s">
        <v>1481</v>
      </c>
      <c r="O1039" s="35"/>
      <c r="P1039" s="36"/>
      <c r="Q1039" s="36"/>
      <c r="T1039" s="36"/>
    </row>
    <row r="1040" spans="1:20" s="37" customFormat="1" ht="18.75" customHeight="1">
      <c r="A1040" s="29">
        <f t="shared" si="19"/>
        <v>1018</v>
      </c>
      <c r="B1040" s="30"/>
      <c r="C1040" s="30" t="s">
        <v>248</v>
      </c>
      <c r="D1040" s="30" t="s">
        <v>1654</v>
      </c>
      <c r="E1040" s="31">
        <v>43099</v>
      </c>
      <c r="F1040" s="30" t="s">
        <v>250</v>
      </c>
      <c r="G1040" s="30" t="s">
        <v>251</v>
      </c>
      <c r="H1040" s="30" t="s">
        <v>1655</v>
      </c>
      <c r="I1040" s="29">
        <v>9600000</v>
      </c>
      <c r="J1040" s="29">
        <v>10</v>
      </c>
      <c r="K1040" s="29">
        <v>960000</v>
      </c>
      <c r="L1040" s="38" t="s">
        <v>52</v>
      </c>
      <c r="M1040" s="39">
        <v>43119</v>
      </c>
      <c r="N1040" s="40" t="s">
        <v>1481</v>
      </c>
      <c r="O1040" s="35"/>
      <c r="P1040" s="36"/>
      <c r="Q1040" s="36"/>
      <c r="T1040" s="36"/>
    </row>
    <row r="1041" spans="1:255" s="37" customFormat="1" ht="18.75" customHeight="1">
      <c r="A1041" s="29">
        <f t="shared" si="19"/>
        <v>1019</v>
      </c>
      <c r="B1041" s="30"/>
      <c r="C1041" s="30" t="s">
        <v>248</v>
      </c>
      <c r="D1041" s="30" t="s">
        <v>1656</v>
      </c>
      <c r="E1041" s="31">
        <v>43099</v>
      </c>
      <c r="F1041" s="30" t="s">
        <v>250</v>
      </c>
      <c r="G1041" s="30" t="s">
        <v>251</v>
      </c>
      <c r="H1041" s="30" t="s">
        <v>1657</v>
      </c>
      <c r="I1041" s="29">
        <v>480000</v>
      </c>
      <c r="J1041" s="29">
        <v>10</v>
      </c>
      <c r="K1041" s="29">
        <v>48000</v>
      </c>
      <c r="L1041" s="38" t="s">
        <v>52</v>
      </c>
      <c r="M1041" s="39">
        <v>43119</v>
      </c>
      <c r="N1041" s="40" t="s">
        <v>1481</v>
      </c>
      <c r="O1041" s="35"/>
      <c r="P1041" s="36"/>
      <c r="Q1041" s="36"/>
      <c r="T1041" s="36"/>
    </row>
    <row r="1042" spans="1:255" s="37" customFormat="1" ht="18.75" customHeight="1">
      <c r="A1042" s="29">
        <f t="shared" si="19"/>
        <v>1020</v>
      </c>
      <c r="B1042" s="30"/>
      <c r="C1042" s="30" t="s">
        <v>162</v>
      </c>
      <c r="D1042" s="30" t="s">
        <v>1658</v>
      </c>
      <c r="E1042" s="31">
        <v>43099</v>
      </c>
      <c r="F1042" s="30" t="s">
        <v>164</v>
      </c>
      <c r="G1042" s="30" t="s">
        <v>165</v>
      </c>
      <c r="H1042" s="30" t="s">
        <v>166</v>
      </c>
      <c r="I1042" s="29">
        <v>15439570</v>
      </c>
      <c r="J1042" s="29">
        <v>10</v>
      </c>
      <c r="K1042" s="29">
        <v>1543957</v>
      </c>
      <c r="L1042" s="38"/>
      <c r="M1042" s="39"/>
      <c r="N1042" s="40"/>
      <c r="O1042" s="35"/>
      <c r="P1042" s="36"/>
      <c r="Q1042" s="36"/>
      <c r="T1042" s="36"/>
    </row>
    <row r="1043" spans="1:255" s="37" customFormat="1" ht="18.75" customHeight="1">
      <c r="A1043" s="29">
        <f t="shared" si="19"/>
        <v>1021</v>
      </c>
      <c r="B1043" s="30"/>
      <c r="C1043" s="30" t="s">
        <v>69</v>
      </c>
      <c r="D1043" s="30" t="s">
        <v>1659</v>
      </c>
      <c r="E1043" s="31">
        <v>43099</v>
      </c>
      <c r="F1043" s="30" t="s">
        <v>71</v>
      </c>
      <c r="G1043" s="30" t="s">
        <v>72</v>
      </c>
      <c r="H1043" s="30" t="s">
        <v>1350</v>
      </c>
      <c r="I1043" s="29">
        <v>2000000</v>
      </c>
      <c r="J1043" s="29">
        <v>10</v>
      </c>
      <c r="K1043" s="29">
        <v>200000</v>
      </c>
      <c r="L1043" s="38"/>
      <c r="M1043" s="39"/>
      <c r="N1043" s="40"/>
      <c r="O1043" s="35"/>
      <c r="P1043" s="36"/>
      <c r="Q1043" s="36"/>
      <c r="T1043" s="36"/>
    </row>
    <row r="1044" spans="1:255" s="37" customFormat="1" ht="18.75" customHeight="1">
      <c r="A1044" s="233" t="s">
        <v>264</v>
      </c>
      <c r="B1044" s="234"/>
      <c r="C1044" s="234"/>
      <c r="D1044" s="234"/>
      <c r="E1044" s="234"/>
      <c r="F1044" s="234"/>
      <c r="G1044" s="234"/>
      <c r="H1044" s="235"/>
      <c r="I1044" s="43">
        <f>SUM(I902:I1043)</f>
        <v>5821146725</v>
      </c>
      <c r="J1044" s="43"/>
      <c r="K1044" s="43">
        <f>SUM(K902:K1043)</f>
        <v>582114676</v>
      </c>
      <c r="L1044" s="44"/>
      <c r="M1044" s="44"/>
      <c r="N1044" s="46"/>
      <c r="O1044" s="35"/>
      <c r="P1044" s="49"/>
      <c r="Q1044" s="36"/>
      <c r="R1044" s="10"/>
      <c r="S1044" s="10"/>
      <c r="T1044" s="10"/>
      <c r="U1044" s="10"/>
      <c r="V1044" s="10"/>
      <c r="W1044" s="10"/>
      <c r="X1044" s="10"/>
      <c r="Y1044" s="10"/>
      <c r="Z1044" s="10"/>
      <c r="AA1044" s="10"/>
      <c r="AB1044" s="10"/>
      <c r="AC1044" s="10"/>
      <c r="AD1044" s="10"/>
      <c r="AE1044" s="10"/>
      <c r="AF1044" s="10"/>
      <c r="AG1044" s="10"/>
      <c r="AH1044" s="10"/>
      <c r="AI1044" s="10"/>
      <c r="AJ1044" s="10"/>
      <c r="AK1044" s="10"/>
      <c r="AL1044" s="10"/>
      <c r="AM1044" s="10"/>
      <c r="AN1044" s="10"/>
      <c r="AO1044" s="10"/>
      <c r="AP1044" s="10"/>
      <c r="AQ1044" s="10"/>
      <c r="AR1044" s="10"/>
      <c r="AS1044" s="10"/>
      <c r="AT1044" s="10"/>
      <c r="AU1044" s="10"/>
      <c r="AV1044" s="10"/>
      <c r="AW1044" s="10"/>
      <c r="AX1044" s="10"/>
      <c r="AY1044" s="10"/>
      <c r="AZ1044" s="10"/>
      <c r="BA1044" s="10"/>
      <c r="BB1044" s="10"/>
      <c r="BC1044" s="10"/>
      <c r="BD1044" s="10"/>
      <c r="BE1044" s="10"/>
      <c r="BF1044" s="10"/>
      <c r="BG1044" s="10"/>
      <c r="BH1044" s="10"/>
      <c r="BI1044" s="10"/>
      <c r="BJ1044" s="10"/>
      <c r="BK1044" s="10"/>
      <c r="BL1044" s="10"/>
      <c r="BM1044" s="10"/>
      <c r="BN1044" s="10"/>
      <c r="BO1044" s="10"/>
      <c r="BP1044" s="10"/>
      <c r="BQ1044" s="10"/>
      <c r="BR1044" s="10"/>
      <c r="BS1044" s="10"/>
      <c r="BT1044" s="10"/>
      <c r="BU1044" s="10"/>
      <c r="BV1044" s="10"/>
      <c r="BW1044" s="10"/>
      <c r="BX1044" s="10"/>
      <c r="BY1044" s="10"/>
      <c r="BZ1044" s="10"/>
      <c r="CA1044" s="10"/>
      <c r="CB1044" s="10"/>
      <c r="CC1044" s="10"/>
      <c r="CD1044" s="10"/>
      <c r="CE1044" s="10"/>
      <c r="CF1044" s="10"/>
      <c r="CG1044" s="10"/>
      <c r="CH1044" s="10"/>
      <c r="CI1044" s="10"/>
      <c r="CJ1044" s="10"/>
      <c r="CK1044" s="10"/>
      <c r="CL1044" s="10"/>
      <c r="CM1044" s="10"/>
      <c r="CN1044" s="10"/>
      <c r="CO1044" s="10"/>
      <c r="CP1044" s="10"/>
      <c r="CQ1044" s="10"/>
      <c r="CR1044" s="10"/>
      <c r="CS1044" s="10"/>
      <c r="CT1044" s="10"/>
      <c r="CU1044" s="10"/>
      <c r="CV1044" s="10"/>
      <c r="CW1044" s="10"/>
      <c r="CX1044" s="10"/>
      <c r="CY1044" s="10"/>
      <c r="CZ1044" s="10"/>
      <c r="DA1044" s="10"/>
      <c r="DB1044" s="10"/>
      <c r="DC1044" s="10"/>
      <c r="DD1044" s="10"/>
      <c r="DE1044" s="10"/>
      <c r="DF1044" s="10"/>
      <c r="DG1044" s="10"/>
      <c r="DH1044" s="10"/>
      <c r="DI1044" s="10"/>
      <c r="DJ1044" s="10"/>
      <c r="DK1044" s="10"/>
      <c r="DL1044" s="10"/>
      <c r="DM1044" s="10"/>
      <c r="DN1044" s="10"/>
      <c r="DO1044" s="10"/>
      <c r="DP1044" s="10"/>
      <c r="DQ1044" s="10"/>
      <c r="DR1044" s="10"/>
      <c r="DS1044" s="10"/>
      <c r="DT1044" s="10"/>
      <c r="DU1044" s="10"/>
      <c r="DV1044" s="10"/>
      <c r="DW1044" s="10"/>
      <c r="DX1044" s="10"/>
      <c r="DY1044" s="10"/>
      <c r="DZ1044" s="10"/>
      <c r="EA1044" s="10"/>
      <c r="EB1044" s="10"/>
      <c r="EC1044" s="10"/>
      <c r="ED1044" s="10"/>
      <c r="EE1044" s="10"/>
      <c r="EF1044" s="10"/>
      <c r="EG1044" s="10"/>
      <c r="EH1044" s="10"/>
      <c r="EI1044" s="10"/>
      <c r="EJ1044" s="10"/>
      <c r="EK1044" s="10"/>
      <c r="EL1044" s="10"/>
      <c r="EM1044" s="10"/>
      <c r="EN1044" s="10"/>
      <c r="EO1044" s="10"/>
      <c r="EP1044" s="10"/>
      <c r="EQ1044" s="10"/>
      <c r="ER1044" s="10"/>
      <c r="ES1044" s="10"/>
      <c r="ET1044" s="10"/>
      <c r="EU1044" s="10"/>
      <c r="EV1044" s="10"/>
      <c r="EW1044" s="10"/>
      <c r="EX1044" s="10"/>
      <c r="EY1044" s="10"/>
      <c r="EZ1044" s="10"/>
      <c r="FA1044" s="10"/>
      <c r="FB1044" s="10"/>
      <c r="FC1044" s="10"/>
      <c r="FD1044" s="10"/>
      <c r="FE1044" s="10"/>
      <c r="FF1044" s="10"/>
      <c r="FG1044" s="10"/>
      <c r="FH1044" s="10"/>
      <c r="FI1044" s="10"/>
      <c r="FJ1044" s="10"/>
      <c r="FK1044" s="10"/>
      <c r="FL1044" s="10"/>
      <c r="FM1044" s="10"/>
      <c r="FN1044" s="10"/>
      <c r="FO1044" s="10"/>
      <c r="FP1044" s="10"/>
      <c r="FQ1044" s="10"/>
      <c r="FR1044" s="10"/>
      <c r="FS1044" s="10"/>
      <c r="FT1044" s="10"/>
      <c r="FU1044" s="10"/>
      <c r="FV1044" s="10"/>
      <c r="FW1044" s="10"/>
      <c r="FX1044" s="10"/>
      <c r="FY1044" s="10"/>
      <c r="FZ1044" s="10"/>
      <c r="GA1044" s="10"/>
      <c r="GB1044" s="10"/>
      <c r="GC1044" s="10"/>
      <c r="GD1044" s="10"/>
      <c r="GE1044" s="10"/>
      <c r="GF1044" s="10"/>
      <c r="GG1044" s="10"/>
      <c r="GH1044" s="10"/>
      <c r="GI1044" s="10"/>
      <c r="GJ1044" s="10"/>
      <c r="GK1044" s="10"/>
      <c r="GL1044" s="10"/>
      <c r="GM1044" s="10"/>
      <c r="GN1044" s="10"/>
      <c r="GO1044" s="10"/>
      <c r="GP1044" s="10"/>
      <c r="GQ1044" s="10"/>
      <c r="GR1044" s="10"/>
      <c r="GS1044" s="10"/>
      <c r="GT1044" s="10"/>
      <c r="GU1044" s="10"/>
      <c r="GV1044" s="10"/>
      <c r="GW1044" s="10"/>
      <c r="GX1044" s="10"/>
      <c r="GY1044" s="10"/>
      <c r="GZ1044" s="10"/>
      <c r="HA1044" s="10"/>
      <c r="HB1044" s="10"/>
      <c r="HC1044" s="10"/>
      <c r="HD1044" s="10"/>
      <c r="HE1044" s="10"/>
      <c r="HF1044" s="10"/>
      <c r="HG1044" s="10"/>
      <c r="HH1044" s="10"/>
      <c r="HI1044" s="10"/>
      <c r="HJ1044" s="10"/>
      <c r="HK1044" s="10"/>
      <c r="HL1044" s="10"/>
      <c r="HM1044" s="10"/>
      <c r="HN1044" s="10"/>
      <c r="HO1044" s="10"/>
      <c r="HP1044" s="10"/>
      <c r="HQ1044" s="10"/>
      <c r="HR1044" s="10"/>
      <c r="HS1044" s="10"/>
      <c r="HT1044" s="10"/>
      <c r="HU1044" s="10"/>
      <c r="HV1044" s="10"/>
      <c r="HW1044" s="10"/>
      <c r="HX1044" s="10"/>
      <c r="HY1044" s="10"/>
      <c r="HZ1044" s="10"/>
      <c r="IA1044" s="10"/>
      <c r="IB1044" s="10"/>
      <c r="IC1044" s="10"/>
      <c r="ID1044" s="10"/>
      <c r="IE1044" s="10"/>
      <c r="IF1044" s="10"/>
      <c r="IG1044" s="10"/>
      <c r="IH1044" s="10"/>
      <c r="II1044" s="10"/>
      <c r="IJ1044" s="10"/>
      <c r="IK1044" s="10"/>
      <c r="IL1044" s="10"/>
      <c r="IM1044" s="10"/>
      <c r="IN1044" s="10"/>
      <c r="IO1044" s="10"/>
      <c r="IP1044" s="10"/>
      <c r="IQ1044" s="10"/>
      <c r="IR1044" s="10"/>
      <c r="IS1044" s="10"/>
      <c r="IT1044" s="10"/>
      <c r="IU1044" s="10"/>
    </row>
    <row r="1045" spans="1:255" s="37" customFormat="1" ht="18.75" customHeight="1">
      <c r="A1045" s="29">
        <f>A1043+1</f>
        <v>1022</v>
      </c>
      <c r="B1045" s="30"/>
      <c r="C1045" s="30" t="s">
        <v>202</v>
      </c>
      <c r="D1045" s="30" t="s">
        <v>1660</v>
      </c>
      <c r="E1045" s="31">
        <v>43061</v>
      </c>
      <c r="F1045" s="30" t="s">
        <v>84</v>
      </c>
      <c r="G1045" s="30" t="s">
        <v>85</v>
      </c>
      <c r="H1045" s="30" t="s">
        <v>1661</v>
      </c>
      <c r="I1045" s="29">
        <v>1164337</v>
      </c>
      <c r="J1045" s="29">
        <v>10</v>
      </c>
      <c r="K1045" s="29">
        <v>116434</v>
      </c>
      <c r="L1045" s="38"/>
      <c r="M1045" s="39"/>
      <c r="N1045" s="40"/>
      <c r="O1045" s="35"/>
      <c r="P1045" s="36"/>
      <c r="Q1045" s="36"/>
      <c r="T1045" s="36"/>
    </row>
    <row r="1046" spans="1:255" s="37" customFormat="1" ht="18.75" customHeight="1">
      <c r="A1046" s="29">
        <f>A1045+1</f>
        <v>1023</v>
      </c>
      <c r="B1046" s="30"/>
      <c r="C1046" s="30" t="s">
        <v>617</v>
      </c>
      <c r="D1046" s="30" t="s">
        <v>1662</v>
      </c>
      <c r="E1046" s="31">
        <v>43101</v>
      </c>
      <c r="F1046" s="30" t="s">
        <v>89</v>
      </c>
      <c r="G1046" s="30" t="s">
        <v>90</v>
      </c>
      <c r="H1046" s="30" t="s">
        <v>858</v>
      </c>
      <c r="I1046" s="29">
        <v>587089</v>
      </c>
      <c r="J1046" s="29">
        <v>10</v>
      </c>
      <c r="K1046" s="29">
        <v>58709</v>
      </c>
      <c r="L1046" s="38"/>
      <c r="M1046" s="39"/>
      <c r="N1046" s="40"/>
      <c r="O1046" s="35"/>
      <c r="P1046" s="36"/>
      <c r="Q1046" s="36"/>
      <c r="T1046" s="36"/>
    </row>
    <row r="1047" spans="1:255" s="37" customFormat="1" ht="18.75" customHeight="1">
      <c r="A1047" s="29">
        <f t="shared" ref="A1047:A1105" si="20">A1046+1</f>
        <v>1024</v>
      </c>
      <c r="B1047" s="30"/>
      <c r="C1047" s="30" t="s">
        <v>617</v>
      </c>
      <c r="D1047" s="30" t="s">
        <v>1663</v>
      </c>
      <c r="E1047" s="31">
        <v>43101</v>
      </c>
      <c r="F1047" s="30" t="s">
        <v>89</v>
      </c>
      <c r="G1047" s="30" t="s">
        <v>90</v>
      </c>
      <c r="H1047" s="30" t="s">
        <v>858</v>
      </c>
      <c r="I1047" s="29">
        <v>262148</v>
      </c>
      <c r="J1047" s="29">
        <v>10</v>
      </c>
      <c r="K1047" s="29">
        <v>26215</v>
      </c>
      <c r="L1047" s="38"/>
      <c r="M1047" s="39"/>
      <c r="N1047" s="40"/>
      <c r="O1047" s="35"/>
      <c r="P1047" s="36"/>
      <c r="Q1047" s="36"/>
      <c r="T1047" s="36"/>
    </row>
    <row r="1048" spans="1:255" s="37" customFormat="1" ht="18.75" customHeight="1">
      <c r="A1048" s="29">
        <f t="shared" si="20"/>
        <v>1025</v>
      </c>
      <c r="B1048" s="30"/>
      <c r="C1048" s="30" t="s">
        <v>119</v>
      </c>
      <c r="D1048" s="30" t="s">
        <v>1664</v>
      </c>
      <c r="E1048" s="31">
        <v>43102</v>
      </c>
      <c r="F1048" s="30" t="s">
        <v>121</v>
      </c>
      <c r="G1048" s="30" t="s">
        <v>122</v>
      </c>
      <c r="H1048" s="30" t="s">
        <v>212</v>
      </c>
      <c r="I1048" s="29">
        <v>263150666</v>
      </c>
      <c r="J1048" s="29">
        <v>10</v>
      </c>
      <c r="K1048" s="29">
        <v>26315066</v>
      </c>
      <c r="L1048" s="38" t="s">
        <v>52</v>
      </c>
      <c r="M1048" s="39">
        <v>43116</v>
      </c>
      <c r="N1048" s="40" t="s">
        <v>1665</v>
      </c>
      <c r="O1048" s="35"/>
      <c r="P1048" s="36"/>
      <c r="Q1048" s="36"/>
      <c r="T1048" s="36"/>
    </row>
    <row r="1049" spans="1:255" s="37" customFormat="1" ht="18.75" customHeight="1">
      <c r="A1049" s="29">
        <f t="shared" si="20"/>
        <v>1026</v>
      </c>
      <c r="B1049" s="30"/>
      <c r="C1049" s="30" t="s">
        <v>54</v>
      </c>
      <c r="D1049" s="30" t="s">
        <v>1666</v>
      </c>
      <c r="E1049" s="31">
        <v>43103</v>
      </c>
      <c r="F1049" s="30" t="s">
        <v>56</v>
      </c>
      <c r="G1049" s="30" t="s">
        <v>57</v>
      </c>
      <c r="H1049" s="30" t="s">
        <v>1667</v>
      </c>
      <c r="I1049" s="29">
        <v>6526250</v>
      </c>
      <c r="J1049" s="29">
        <v>10</v>
      </c>
      <c r="K1049" s="29">
        <v>652625</v>
      </c>
      <c r="L1049" s="38"/>
      <c r="M1049" s="39"/>
      <c r="N1049" s="40"/>
      <c r="O1049" s="35"/>
      <c r="P1049" s="36"/>
      <c r="Q1049" s="36"/>
      <c r="T1049" s="36"/>
    </row>
    <row r="1050" spans="1:255" s="37" customFormat="1" ht="18.75" customHeight="1">
      <c r="A1050" s="29">
        <f t="shared" si="20"/>
        <v>1027</v>
      </c>
      <c r="B1050" s="30"/>
      <c r="C1050" s="30" t="s">
        <v>167</v>
      </c>
      <c r="D1050" s="30" t="s">
        <v>1668</v>
      </c>
      <c r="E1050" s="31">
        <v>43103</v>
      </c>
      <c r="F1050" s="30" t="s">
        <v>1669</v>
      </c>
      <c r="G1050" s="30" t="s">
        <v>1670</v>
      </c>
      <c r="H1050" s="30" t="s">
        <v>316</v>
      </c>
      <c r="I1050" s="29">
        <v>990000</v>
      </c>
      <c r="J1050" s="29">
        <v>10</v>
      </c>
      <c r="K1050" s="29">
        <v>99000</v>
      </c>
      <c r="L1050" s="38"/>
      <c r="M1050" s="39"/>
      <c r="N1050" s="40"/>
      <c r="O1050" s="35"/>
      <c r="P1050" s="36"/>
      <c r="Q1050" s="36"/>
      <c r="T1050" s="36"/>
    </row>
    <row r="1051" spans="1:255" s="37" customFormat="1" ht="18.75" customHeight="1">
      <c r="A1051" s="29">
        <f t="shared" si="20"/>
        <v>1028</v>
      </c>
      <c r="B1051" s="30"/>
      <c r="C1051" s="30" t="s">
        <v>69</v>
      </c>
      <c r="D1051" s="30" t="s">
        <v>1671</v>
      </c>
      <c r="E1051" s="31">
        <v>43103</v>
      </c>
      <c r="F1051" s="30" t="s">
        <v>71</v>
      </c>
      <c r="G1051" s="30" t="s">
        <v>72</v>
      </c>
      <c r="H1051" s="30" t="s">
        <v>1350</v>
      </c>
      <c r="I1051" s="29">
        <v>400000</v>
      </c>
      <c r="J1051" s="29">
        <v>10</v>
      </c>
      <c r="K1051" s="29">
        <v>40000</v>
      </c>
      <c r="L1051" s="38"/>
      <c r="M1051" s="39"/>
      <c r="N1051" s="40"/>
      <c r="O1051" s="35"/>
      <c r="P1051" s="36"/>
      <c r="Q1051" s="36"/>
      <c r="T1051" s="36"/>
    </row>
    <row r="1052" spans="1:255" s="37" customFormat="1" ht="18.75" customHeight="1">
      <c r="A1052" s="29">
        <f t="shared" si="20"/>
        <v>1029</v>
      </c>
      <c r="B1052" s="30"/>
      <c r="C1052" s="30" t="s">
        <v>502</v>
      </c>
      <c r="D1052" s="30" t="s">
        <v>1672</v>
      </c>
      <c r="E1052" s="31">
        <v>43103</v>
      </c>
      <c r="F1052" s="30" t="s">
        <v>362</v>
      </c>
      <c r="G1052" s="30" t="s">
        <v>363</v>
      </c>
      <c r="H1052" s="30" t="s">
        <v>129</v>
      </c>
      <c r="I1052" s="29">
        <v>454545</v>
      </c>
      <c r="J1052" s="29">
        <v>10</v>
      </c>
      <c r="K1052" s="29">
        <v>45455</v>
      </c>
      <c r="L1052" s="38"/>
      <c r="M1052" s="39"/>
      <c r="N1052" s="40"/>
      <c r="O1052" s="35"/>
      <c r="P1052" s="36"/>
      <c r="Q1052" s="36"/>
      <c r="T1052" s="36"/>
    </row>
    <row r="1053" spans="1:255" s="37" customFormat="1" ht="18.75" customHeight="1">
      <c r="A1053" s="29">
        <f t="shared" si="20"/>
        <v>1030</v>
      </c>
      <c r="B1053" s="30"/>
      <c r="C1053" s="30" t="s">
        <v>468</v>
      </c>
      <c r="D1053" s="30" t="s">
        <v>1673</v>
      </c>
      <c r="E1053" s="31">
        <v>43104</v>
      </c>
      <c r="F1053" s="30" t="s">
        <v>159</v>
      </c>
      <c r="G1053" s="30" t="s">
        <v>160</v>
      </c>
      <c r="H1053" s="30" t="s">
        <v>161</v>
      </c>
      <c r="I1053" s="29">
        <v>9000000</v>
      </c>
      <c r="J1053" s="29">
        <v>10</v>
      </c>
      <c r="K1053" s="29">
        <v>900000</v>
      </c>
      <c r="L1053" s="38"/>
      <c r="M1053" s="39"/>
      <c r="N1053" s="40"/>
      <c r="O1053" s="35"/>
      <c r="P1053" s="36"/>
      <c r="Q1053" s="36"/>
      <c r="T1053" s="36"/>
    </row>
    <row r="1054" spans="1:255" s="37" customFormat="1" ht="18.75" customHeight="1">
      <c r="A1054" s="29">
        <f t="shared" si="20"/>
        <v>1031</v>
      </c>
      <c r="B1054" s="30"/>
      <c r="C1054" s="30" t="s">
        <v>204</v>
      </c>
      <c r="D1054" s="30" t="s">
        <v>1674</v>
      </c>
      <c r="E1054" s="31">
        <v>43105</v>
      </c>
      <c r="F1054" s="30" t="s">
        <v>206</v>
      </c>
      <c r="G1054" s="30" t="s">
        <v>207</v>
      </c>
      <c r="H1054" s="30" t="s">
        <v>1675</v>
      </c>
      <c r="I1054" s="29">
        <v>273775879</v>
      </c>
      <c r="J1054" s="29">
        <v>10</v>
      </c>
      <c r="K1054" s="29">
        <v>27377588</v>
      </c>
      <c r="L1054" s="38" t="s">
        <v>52</v>
      </c>
      <c r="M1054" s="39">
        <v>43116</v>
      </c>
      <c r="N1054" s="40" t="s">
        <v>1665</v>
      </c>
      <c r="O1054" s="35"/>
      <c r="P1054" s="36"/>
      <c r="Q1054" s="36"/>
      <c r="T1054" s="36"/>
    </row>
    <row r="1055" spans="1:255" s="37" customFormat="1" ht="18.75" customHeight="1">
      <c r="A1055" s="29">
        <f t="shared" si="20"/>
        <v>1032</v>
      </c>
      <c r="B1055" s="30"/>
      <c r="C1055" s="30" t="s">
        <v>617</v>
      </c>
      <c r="D1055" s="30" t="s">
        <v>1676</v>
      </c>
      <c r="E1055" s="31">
        <v>43105</v>
      </c>
      <c r="F1055" s="30" t="s">
        <v>835</v>
      </c>
      <c r="G1055" s="30" t="s">
        <v>836</v>
      </c>
      <c r="H1055" s="30" t="s">
        <v>858</v>
      </c>
      <c r="I1055" s="29">
        <v>511926</v>
      </c>
      <c r="J1055" s="29">
        <v>10</v>
      </c>
      <c r="K1055" s="29">
        <v>51193</v>
      </c>
      <c r="L1055" s="38"/>
      <c r="M1055" s="39"/>
      <c r="N1055" s="40"/>
      <c r="O1055" s="35"/>
      <c r="P1055" s="36"/>
      <c r="Q1055" s="36"/>
      <c r="T1055" s="36"/>
    </row>
    <row r="1056" spans="1:255" s="37" customFormat="1" ht="18.75" customHeight="1">
      <c r="A1056" s="29">
        <f t="shared" si="20"/>
        <v>1033</v>
      </c>
      <c r="B1056" s="30"/>
      <c r="C1056" s="30" t="s">
        <v>502</v>
      </c>
      <c r="D1056" s="30" t="s">
        <v>1677</v>
      </c>
      <c r="E1056" s="31">
        <v>43105</v>
      </c>
      <c r="F1056" s="30" t="s">
        <v>666</v>
      </c>
      <c r="G1056" s="30" t="s">
        <v>363</v>
      </c>
      <c r="H1056" s="30" t="s">
        <v>129</v>
      </c>
      <c r="I1056" s="29">
        <v>3255545</v>
      </c>
      <c r="J1056" s="29">
        <v>10</v>
      </c>
      <c r="K1056" s="29">
        <v>325555</v>
      </c>
      <c r="L1056" s="38"/>
      <c r="M1056" s="39"/>
      <c r="N1056" s="40"/>
      <c r="O1056" s="35"/>
      <c r="P1056" s="36"/>
      <c r="Q1056" s="36"/>
      <c r="T1056" s="36"/>
    </row>
    <row r="1057" spans="1:20" s="37" customFormat="1" ht="18.75" customHeight="1">
      <c r="A1057" s="29">
        <f t="shared" si="20"/>
        <v>1034</v>
      </c>
      <c r="B1057" s="30"/>
      <c r="C1057" s="30" t="s">
        <v>93</v>
      </c>
      <c r="D1057" s="30" t="s">
        <v>1678</v>
      </c>
      <c r="E1057" s="31">
        <v>43108</v>
      </c>
      <c r="F1057" s="30" t="s">
        <v>49</v>
      </c>
      <c r="G1057" s="30" t="s">
        <v>50</v>
      </c>
      <c r="H1057" s="30" t="s">
        <v>864</v>
      </c>
      <c r="I1057" s="29">
        <v>150320000</v>
      </c>
      <c r="J1057" s="29">
        <v>10</v>
      </c>
      <c r="K1057" s="29">
        <v>15032000</v>
      </c>
      <c r="L1057" s="38" t="s">
        <v>52</v>
      </c>
      <c r="M1057" s="39">
        <v>43180</v>
      </c>
      <c r="N1057" s="40" t="s">
        <v>1665</v>
      </c>
      <c r="O1057" s="35"/>
      <c r="P1057" s="36"/>
      <c r="Q1057" s="36"/>
      <c r="T1057" s="36"/>
    </row>
    <row r="1058" spans="1:20" s="37" customFormat="1" ht="18.75" customHeight="1">
      <c r="A1058" s="29">
        <f t="shared" si="20"/>
        <v>1035</v>
      </c>
      <c r="B1058" s="30"/>
      <c r="C1058" s="30" t="s">
        <v>502</v>
      </c>
      <c r="D1058" s="30" t="s">
        <v>1679</v>
      </c>
      <c r="E1058" s="31">
        <v>43108</v>
      </c>
      <c r="F1058" s="30" t="s">
        <v>362</v>
      </c>
      <c r="G1058" s="30" t="s">
        <v>363</v>
      </c>
      <c r="H1058" s="30" t="s">
        <v>129</v>
      </c>
      <c r="I1058" s="29">
        <v>454545</v>
      </c>
      <c r="J1058" s="29">
        <v>10</v>
      </c>
      <c r="K1058" s="29">
        <v>45455</v>
      </c>
      <c r="L1058" s="38"/>
      <c r="M1058" s="39"/>
      <c r="N1058" s="40"/>
      <c r="O1058" s="35"/>
      <c r="P1058" s="36"/>
      <c r="Q1058" s="36"/>
      <c r="T1058" s="36"/>
    </row>
    <row r="1059" spans="1:20" s="37" customFormat="1" ht="18.75" customHeight="1">
      <c r="A1059" s="29">
        <f t="shared" si="20"/>
        <v>1036</v>
      </c>
      <c r="B1059" s="30"/>
      <c r="C1059" s="30" t="s">
        <v>617</v>
      </c>
      <c r="D1059" s="30" t="s">
        <v>1680</v>
      </c>
      <c r="E1059" s="31">
        <v>43108</v>
      </c>
      <c r="F1059" s="30" t="s">
        <v>835</v>
      </c>
      <c r="G1059" s="30" t="s">
        <v>836</v>
      </c>
      <c r="H1059" s="30" t="s">
        <v>858</v>
      </c>
      <c r="I1059" s="29">
        <v>335908</v>
      </c>
      <c r="J1059" s="29">
        <v>10</v>
      </c>
      <c r="K1059" s="29">
        <v>33591</v>
      </c>
      <c r="L1059" s="38"/>
      <c r="M1059" s="39"/>
      <c r="N1059" s="40"/>
      <c r="O1059" s="35"/>
      <c r="P1059" s="36"/>
      <c r="Q1059" s="36"/>
      <c r="T1059" s="36"/>
    </row>
    <row r="1060" spans="1:20" s="37" customFormat="1" ht="18.75" customHeight="1">
      <c r="A1060" s="29">
        <f t="shared" si="20"/>
        <v>1037</v>
      </c>
      <c r="B1060" s="30"/>
      <c r="C1060" s="30" t="s">
        <v>617</v>
      </c>
      <c r="D1060" s="30" t="s">
        <v>1681</v>
      </c>
      <c r="E1060" s="31">
        <v>43108</v>
      </c>
      <c r="F1060" s="30" t="s">
        <v>835</v>
      </c>
      <c r="G1060" s="30" t="s">
        <v>836</v>
      </c>
      <c r="H1060" s="30" t="s">
        <v>858</v>
      </c>
      <c r="I1060" s="29">
        <v>291080</v>
      </c>
      <c r="J1060" s="29">
        <v>10</v>
      </c>
      <c r="K1060" s="29">
        <v>29108</v>
      </c>
      <c r="L1060" s="38"/>
      <c r="M1060" s="39"/>
      <c r="N1060" s="40"/>
      <c r="O1060" s="35"/>
      <c r="P1060" s="36"/>
      <c r="Q1060" s="36"/>
      <c r="T1060" s="36"/>
    </row>
    <row r="1061" spans="1:20" s="37" customFormat="1" ht="18.75" customHeight="1">
      <c r="A1061" s="29">
        <f t="shared" si="20"/>
        <v>1038</v>
      </c>
      <c r="B1061" s="30"/>
      <c r="C1061" s="30" t="s">
        <v>1682</v>
      </c>
      <c r="D1061" s="30" t="s">
        <v>1683</v>
      </c>
      <c r="E1061" s="31">
        <v>43109</v>
      </c>
      <c r="F1061" s="30" t="s">
        <v>1684</v>
      </c>
      <c r="G1061" s="30" t="s">
        <v>1685</v>
      </c>
      <c r="H1061" s="30" t="s">
        <v>1686</v>
      </c>
      <c r="I1061" s="29">
        <v>1145459</v>
      </c>
      <c r="J1061" s="29">
        <v>10</v>
      </c>
      <c r="K1061" s="29">
        <v>114546</v>
      </c>
      <c r="L1061" s="38"/>
      <c r="M1061" s="39"/>
      <c r="N1061" s="40"/>
      <c r="O1061" s="35"/>
      <c r="P1061" s="36"/>
      <c r="Q1061" s="36"/>
      <c r="T1061" s="36"/>
    </row>
    <row r="1062" spans="1:20" s="37" customFormat="1" ht="18.75" customHeight="1">
      <c r="A1062" s="29">
        <f t="shared" si="20"/>
        <v>1039</v>
      </c>
      <c r="B1062" s="30"/>
      <c r="C1062" s="30" t="s">
        <v>93</v>
      </c>
      <c r="D1062" s="30" t="s">
        <v>1687</v>
      </c>
      <c r="E1062" s="31">
        <v>43109</v>
      </c>
      <c r="F1062" s="30" t="s">
        <v>49</v>
      </c>
      <c r="G1062" s="30" t="s">
        <v>50</v>
      </c>
      <c r="H1062" s="30" t="s">
        <v>864</v>
      </c>
      <c r="I1062" s="29">
        <v>215840000</v>
      </c>
      <c r="J1062" s="29">
        <v>10</v>
      </c>
      <c r="K1062" s="29">
        <v>21584000</v>
      </c>
      <c r="L1062" s="38" t="s">
        <v>52</v>
      </c>
      <c r="M1062" s="39">
        <v>43136</v>
      </c>
      <c r="N1062" s="40" t="s">
        <v>1665</v>
      </c>
      <c r="O1062" s="35"/>
      <c r="P1062" s="36"/>
      <c r="Q1062" s="36"/>
      <c r="T1062" s="36"/>
    </row>
    <row r="1063" spans="1:20" s="37" customFormat="1" ht="18.75" customHeight="1">
      <c r="A1063" s="29">
        <f t="shared" si="20"/>
        <v>1040</v>
      </c>
      <c r="B1063" s="30"/>
      <c r="C1063" s="30" t="s">
        <v>1250</v>
      </c>
      <c r="D1063" s="30" t="s">
        <v>1688</v>
      </c>
      <c r="E1063" s="31">
        <v>43109</v>
      </c>
      <c r="F1063" s="30" t="s">
        <v>333</v>
      </c>
      <c r="G1063" s="30" t="s">
        <v>334</v>
      </c>
      <c r="H1063" s="30" t="s">
        <v>134</v>
      </c>
      <c r="I1063" s="29">
        <v>1837000</v>
      </c>
      <c r="J1063" s="29">
        <v>10</v>
      </c>
      <c r="K1063" s="29">
        <v>183700</v>
      </c>
      <c r="L1063" s="38"/>
      <c r="M1063" s="39"/>
      <c r="N1063" s="40"/>
      <c r="O1063" s="35"/>
      <c r="P1063" s="36"/>
      <c r="Q1063" s="36"/>
      <c r="T1063" s="36"/>
    </row>
    <row r="1064" spans="1:20" s="37" customFormat="1" ht="18.75" customHeight="1">
      <c r="A1064" s="29">
        <f t="shared" si="20"/>
        <v>1041</v>
      </c>
      <c r="B1064" s="30"/>
      <c r="C1064" s="30" t="s">
        <v>1689</v>
      </c>
      <c r="D1064" s="30" t="s">
        <v>1690</v>
      </c>
      <c r="E1064" s="31">
        <v>43109</v>
      </c>
      <c r="F1064" s="30" t="s">
        <v>114</v>
      </c>
      <c r="G1064" s="30" t="s">
        <v>115</v>
      </c>
      <c r="H1064" s="30" t="s">
        <v>116</v>
      </c>
      <c r="I1064" s="29">
        <v>226750</v>
      </c>
      <c r="J1064" s="29">
        <v>10</v>
      </c>
      <c r="K1064" s="29">
        <v>22675</v>
      </c>
      <c r="L1064" s="38"/>
      <c r="M1064" s="39"/>
      <c r="N1064" s="40"/>
      <c r="O1064" s="35"/>
      <c r="P1064" s="36"/>
      <c r="Q1064" s="36"/>
      <c r="T1064" s="36"/>
    </row>
    <row r="1065" spans="1:20" s="37" customFormat="1" ht="18.75" customHeight="1">
      <c r="A1065" s="29">
        <f t="shared" si="20"/>
        <v>1042</v>
      </c>
      <c r="B1065" s="30"/>
      <c r="C1065" s="30" t="s">
        <v>119</v>
      </c>
      <c r="D1065" s="30" t="s">
        <v>1691</v>
      </c>
      <c r="E1065" s="31">
        <v>43110</v>
      </c>
      <c r="F1065" s="30" t="s">
        <v>121</v>
      </c>
      <c r="G1065" s="30" t="s">
        <v>122</v>
      </c>
      <c r="H1065" s="30" t="s">
        <v>1234</v>
      </c>
      <c r="I1065" s="29">
        <v>268873876</v>
      </c>
      <c r="J1065" s="29">
        <v>10</v>
      </c>
      <c r="K1065" s="29">
        <v>26887387</v>
      </c>
      <c r="L1065" s="38" t="s">
        <v>52</v>
      </c>
      <c r="M1065" s="39">
        <v>43116</v>
      </c>
      <c r="N1065" s="40" t="s">
        <v>1665</v>
      </c>
      <c r="O1065" s="35"/>
      <c r="P1065" s="36"/>
      <c r="Q1065" s="36"/>
      <c r="T1065" s="36"/>
    </row>
    <row r="1066" spans="1:20" s="37" customFormat="1" ht="18.75" customHeight="1">
      <c r="A1066" s="29">
        <f t="shared" si="20"/>
        <v>1043</v>
      </c>
      <c r="B1066" s="30"/>
      <c r="C1066" s="30" t="s">
        <v>100</v>
      </c>
      <c r="D1066" s="30" t="s">
        <v>1544</v>
      </c>
      <c r="E1066" s="31">
        <v>43113</v>
      </c>
      <c r="F1066" s="30" t="s">
        <v>102</v>
      </c>
      <c r="G1066" s="30" t="s">
        <v>103</v>
      </c>
      <c r="H1066" s="30" t="s">
        <v>377</v>
      </c>
      <c r="I1066" s="29">
        <v>22720000</v>
      </c>
      <c r="J1066" s="29">
        <v>10</v>
      </c>
      <c r="K1066" s="29">
        <v>2272000</v>
      </c>
      <c r="L1066" s="38" t="s">
        <v>52</v>
      </c>
      <c r="M1066" s="39">
        <v>43137</v>
      </c>
      <c r="N1066" s="40" t="s">
        <v>1665</v>
      </c>
      <c r="O1066" s="35"/>
      <c r="P1066" s="36"/>
      <c r="Q1066" s="36"/>
      <c r="T1066" s="36"/>
    </row>
    <row r="1067" spans="1:20" s="37" customFormat="1" ht="18.75" customHeight="1">
      <c r="A1067" s="29">
        <f t="shared" si="20"/>
        <v>1044</v>
      </c>
      <c r="B1067" s="30"/>
      <c r="C1067" s="30" t="s">
        <v>261</v>
      </c>
      <c r="D1067" s="30" t="s">
        <v>1692</v>
      </c>
      <c r="E1067" s="31">
        <v>43113</v>
      </c>
      <c r="F1067" s="30" t="s">
        <v>139</v>
      </c>
      <c r="G1067" s="30" t="s">
        <v>140</v>
      </c>
      <c r="H1067" s="30" t="s">
        <v>1693</v>
      </c>
      <c r="I1067" s="29">
        <v>106899</v>
      </c>
      <c r="J1067" s="29">
        <v>10</v>
      </c>
      <c r="K1067" s="29">
        <v>10690</v>
      </c>
      <c r="L1067" s="38"/>
      <c r="M1067" s="39"/>
      <c r="N1067" s="40"/>
      <c r="O1067" s="35"/>
      <c r="P1067" s="36"/>
      <c r="Q1067" s="36"/>
      <c r="T1067" s="36"/>
    </row>
    <row r="1068" spans="1:20" s="37" customFormat="1" ht="18.75" customHeight="1">
      <c r="A1068" s="29">
        <f t="shared" si="20"/>
        <v>1045</v>
      </c>
      <c r="B1068" s="30"/>
      <c r="C1068" s="30" t="s">
        <v>261</v>
      </c>
      <c r="D1068" s="30" t="s">
        <v>1694</v>
      </c>
      <c r="E1068" s="31">
        <v>43113</v>
      </c>
      <c r="F1068" s="30" t="s">
        <v>139</v>
      </c>
      <c r="G1068" s="30" t="s">
        <v>140</v>
      </c>
      <c r="H1068" s="30" t="s">
        <v>1693</v>
      </c>
      <c r="I1068" s="29">
        <v>426364</v>
      </c>
      <c r="J1068" s="29">
        <v>10</v>
      </c>
      <c r="K1068" s="29">
        <v>42636</v>
      </c>
      <c r="L1068" s="38"/>
      <c r="M1068" s="39"/>
      <c r="N1068" s="40"/>
      <c r="O1068" s="35"/>
      <c r="P1068" s="36"/>
      <c r="Q1068" s="36"/>
      <c r="T1068" s="36"/>
    </row>
    <row r="1069" spans="1:20" s="37" customFormat="1" ht="18.75" customHeight="1">
      <c r="A1069" s="29">
        <f t="shared" si="20"/>
        <v>1046</v>
      </c>
      <c r="B1069" s="30"/>
      <c r="C1069" s="30" t="s">
        <v>261</v>
      </c>
      <c r="D1069" s="30" t="s">
        <v>1695</v>
      </c>
      <c r="E1069" s="31">
        <v>43113</v>
      </c>
      <c r="F1069" s="30" t="s">
        <v>139</v>
      </c>
      <c r="G1069" s="30" t="s">
        <v>140</v>
      </c>
      <c r="H1069" s="30" t="s">
        <v>1693</v>
      </c>
      <c r="I1069" s="29">
        <v>247315</v>
      </c>
      <c r="J1069" s="29">
        <v>10</v>
      </c>
      <c r="K1069" s="29">
        <v>24731</v>
      </c>
      <c r="L1069" s="38"/>
      <c r="M1069" s="39"/>
      <c r="N1069" s="40"/>
      <c r="O1069" s="35"/>
      <c r="P1069" s="36"/>
      <c r="Q1069" s="36"/>
      <c r="T1069" s="36"/>
    </row>
    <row r="1070" spans="1:20" s="37" customFormat="1" ht="18.75" customHeight="1">
      <c r="A1070" s="29">
        <f t="shared" si="20"/>
        <v>1047</v>
      </c>
      <c r="B1070" s="30"/>
      <c r="C1070" s="30" t="s">
        <v>502</v>
      </c>
      <c r="D1070" s="30" t="s">
        <v>1696</v>
      </c>
      <c r="E1070" s="31">
        <v>43113</v>
      </c>
      <c r="F1070" s="30" t="s">
        <v>362</v>
      </c>
      <c r="G1070" s="30" t="s">
        <v>363</v>
      </c>
      <c r="H1070" s="30" t="s">
        <v>129</v>
      </c>
      <c r="I1070" s="29">
        <v>454545</v>
      </c>
      <c r="J1070" s="29">
        <v>10</v>
      </c>
      <c r="K1070" s="29">
        <v>45455</v>
      </c>
      <c r="L1070" s="38"/>
      <c r="M1070" s="39"/>
      <c r="N1070" s="40"/>
      <c r="O1070" s="35"/>
      <c r="P1070" s="36"/>
      <c r="Q1070" s="36"/>
      <c r="T1070" s="36"/>
    </row>
    <row r="1071" spans="1:20" s="37" customFormat="1" ht="18.75" customHeight="1">
      <c r="A1071" s="29">
        <f t="shared" si="20"/>
        <v>1048</v>
      </c>
      <c r="B1071" s="30"/>
      <c r="C1071" s="30" t="s">
        <v>167</v>
      </c>
      <c r="D1071" s="30" t="s">
        <v>1697</v>
      </c>
      <c r="E1071" s="31">
        <v>43115</v>
      </c>
      <c r="F1071" s="30" t="s">
        <v>258</v>
      </c>
      <c r="G1071" s="30" t="s">
        <v>259</v>
      </c>
      <c r="H1071" s="30" t="s">
        <v>1698</v>
      </c>
      <c r="I1071" s="29">
        <v>36485475</v>
      </c>
      <c r="J1071" s="29">
        <v>10</v>
      </c>
      <c r="K1071" s="29">
        <v>3648548</v>
      </c>
      <c r="L1071" s="38" t="s">
        <v>52</v>
      </c>
      <c r="M1071" s="39">
        <v>43140</v>
      </c>
      <c r="N1071" s="40" t="s">
        <v>1665</v>
      </c>
      <c r="O1071" s="35"/>
      <c r="P1071" s="36"/>
      <c r="Q1071" s="36"/>
      <c r="T1071" s="36"/>
    </row>
    <row r="1072" spans="1:20" s="37" customFormat="1" ht="18.75" customHeight="1">
      <c r="A1072" s="29">
        <f t="shared" si="20"/>
        <v>1049</v>
      </c>
      <c r="B1072" s="30"/>
      <c r="C1072" s="30" t="s">
        <v>100</v>
      </c>
      <c r="D1072" s="30" t="s">
        <v>1699</v>
      </c>
      <c r="E1072" s="31">
        <v>43117</v>
      </c>
      <c r="F1072" s="30" t="s">
        <v>102</v>
      </c>
      <c r="G1072" s="30" t="s">
        <v>103</v>
      </c>
      <c r="H1072" s="30" t="s">
        <v>1700</v>
      </c>
      <c r="I1072" s="29">
        <v>1750000</v>
      </c>
      <c r="J1072" s="29">
        <v>10</v>
      </c>
      <c r="K1072" s="29">
        <v>175000</v>
      </c>
      <c r="L1072" s="38"/>
      <c r="M1072" s="39"/>
      <c r="N1072" s="40"/>
      <c r="O1072" s="35"/>
      <c r="P1072" s="36"/>
      <c r="Q1072" s="36"/>
      <c r="T1072" s="36"/>
    </row>
    <row r="1073" spans="1:20" s="37" customFormat="1" ht="18.75" customHeight="1">
      <c r="A1073" s="29">
        <f t="shared" si="20"/>
        <v>1050</v>
      </c>
      <c r="B1073" s="30"/>
      <c r="C1073" s="30" t="s">
        <v>1701</v>
      </c>
      <c r="D1073" s="30" t="s">
        <v>1702</v>
      </c>
      <c r="E1073" s="31">
        <v>43118</v>
      </c>
      <c r="F1073" s="30" t="s">
        <v>1703</v>
      </c>
      <c r="G1073" s="30" t="s">
        <v>1704</v>
      </c>
      <c r="H1073" s="30" t="s">
        <v>1705</v>
      </c>
      <c r="I1073" s="29">
        <v>2807274</v>
      </c>
      <c r="J1073" s="29">
        <v>10</v>
      </c>
      <c r="K1073" s="29">
        <v>280727</v>
      </c>
      <c r="L1073" s="38"/>
      <c r="M1073" s="39"/>
      <c r="N1073" s="40"/>
      <c r="O1073" s="35"/>
      <c r="P1073" s="36"/>
      <c r="Q1073" s="36"/>
      <c r="T1073" s="36"/>
    </row>
    <row r="1074" spans="1:20" s="37" customFormat="1" ht="18.75" customHeight="1">
      <c r="A1074" s="29">
        <f t="shared" si="20"/>
        <v>1051</v>
      </c>
      <c r="B1074" s="30"/>
      <c r="C1074" s="30" t="s">
        <v>93</v>
      </c>
      <c r="D1074" s="30" t="s">
        <v>1706</v>
      </c>
      <c r="E1074" s="31">
        <v>43118</v>
      </c>
      <c r="F1074" s="30" t="s">
        <v>1707</v>
      </c>
      <c r="G1074" s="30" t="s">
        <v>1708</v>
      </c>
      <c r="H1074" s="30" t="s">
        <v>1709</v>
      </c>
      <c r="I1074" s="29">
        <v>304545</v>
      </c>
      <c r="J1074" s="29">
        <v>8</v>
      </c>
      <c r="K1074" s="29">
        <v>25455</v>
      </c>
      <c r="L1074" s="38"/>
      <c r="M1074" s="39"/>
      <c r="N1074" s="40"/>
      <c r="O1074" s="35"/>
      <c r="P1074" s="36"/>
      <c r="Q1074" s="36"/>
      <c r="T1074" s="36"/>
    </row>
    <row r="1075" spans="1:20" s="37" customFormat="1" ht="18.75" customHeight="1">
      <c r="A1075" s="29">
        <f t="shared" si="20"/>
        <v>1052</v>
      </c>
      <c r="B1075" s="30"/>
      <c r="C1075" s="30" t="s">
        <v>502</v>
      </c>
      <c r="D1075" s="30" t="s">
        <v>1710</v>
      </c>
      <c r="E1075" s="31">
        <v>43118</v>
      </c>
      <c r="F1075" s="30" t="s">
        <v>362</v>
      </c>
      <c r="G1075" s="30" t="s">
        <v>363</v>
      </c>
      <c r="H1075" s="30" t="s">
        <v>129</v>
      </c>
      <c r="I1075" s="29">
        <v>454545</v>
      </c>
      <c r="J1075" s="29">
        <v>10</v>
      </c>
      <c r="K1075" s="29">
        <v>45455</v>
      </c>
      <c r="L1075" s="38"/>
      <c r="M1075" s="39"/>
      <c r="N1075" s="40"/>
      <c r="O1075" s="35"/>
      <c r="P1075" s="36"/>
      <c r="Q1075" s="36"/>
      <c r="T1075" s="36"/>
    </row>
    <row r="1076" spans="1:20" s="37" customFormat="1" ht="18.75" customHeight="1">
      <c r="A1076" s="29">
        <f t="shared" si="20"/>
        <v>1053</v>
      </c>
      <c r="B1076" s="30"/>
      <c r="C1076" s="30" t="s">
        <v>320</v>
      </c>
      <c r="D1076" s="30" t="s">
        <v>1711</v>
      </c>
      <c r="E1076" s="31">
        <v>43119</v>
      </c>
      <c r="F1076" s="30" t="s">
        <v>372</v>
      </c>
      <c r="G1076" s="30" t="s">
        <v>373</v>
      </c>
      <c r="H1076" s="30" t="s">
        <v>1712</v>
      </c>
      <c r="I1076" s="29">
        <v>25265400</v>
      </c>
      <c r="J1076" s="29">
        <v>10</v>
      </c>
      <c r="K1076" s="29">
        <v>2526540</v>
      </c>
      <c r="L1076" s="38" t="s">
        <v>52</v>
      </c>
      <c r="M1076" s="39">
        <v>43137</v>
      </c>
      <c r="N1076" s="40" t="s">
        <v>1665</v>
      </c>
      <c r="O1076" s="35"/>
      <c r="P1076" s="36"/>
      <c r="Q1076" s="36"/>
      <c r="T1076" s="36"/>
    </row>
    <row r="1077" spans="1:20" s="37" customFormat="1" ht="18.75" customHeight="1">
      <c r="A1077" s="29">
        <f t="shared" si="20"/>
        <v>1054</v>
      </c>
      <c r="B1077" s="30"/>
      <c r="C1077" s="30" t="s">
        <v>167</v>
      </c>
      <c r="D1077" s="30" t="s">
        <v>1713</v>
      </c>
      <c r="E1077" s="31">
        <v>43119</v>
      </c>
      <c r="F1077" s="30" t="s">
        <v>336</v>
      </c>
      <c r="G1077" s="30" t="s">
        <v>337</v>
      </c>
      <c r="H1077" s="30" t="s">
        <v>338</v>
      </c>
      <c r="I1077" s="29">
        <v>488155329</v>
      </c>
      <c r="J1077" s="29">
        <v>10</v>
      </c>
      <c r="K1077" s="29">
        <v>48815533</v>
      </c>
      <c r="L1077" s="38" t="s">
        <v>52</v>
      </c>
      <c r="M1077" s="39">
        <v>43129</v>
      </c>
      <c r="N1077" s="40" t="s">
        <v>1665</v>
      </c>
      <c r="O1077" s="35"/>
      <c r="P1077" s="36"/>
      <c r="Q1077" s="36"/>
      <c r="T1077" s="36"/>
    </row>
    <row r="1078" spans="1:20" s="37" customFormat="1" ht="18.75" customHeight="1">
      <c r="A1078" s="29">
        <f t="shared" si="20"/>
        <v>1055</v>
      </c>
      <c r="B1078" s="30"/>
      <c r="C1078" s="30" t="s">
        <v>1689</v>
      </c>
      <c r="D1078" s="30" t="s">
        <v>1714</v>
      </c>
      <c r="E1078" s="31">
        <v>43119</v>
      </c>
      <c r="F1078" s="30" t="s">
        <v>114</v>
      </c>
      <c r="G1078" s="30" t="s">
        <v>115</v>
      </c>
      <c r="H1078" s="30" t="s">
        <v>116</v>
      </c>
      <c r="I1078" s="29">
        <v>10000</v>
      </c>
      <c r="J1078" s="29">
        <v>10</v>
      </c>
      <c r="K1078" s="29">
        <v>1000</v>
      </c>
      <c r="L1078" s="38"/>
      <c r="M1078" s="39"/>
      <c r="N1078" s="40"/>
      <c r="O1078" s="35"/>
      <c r="P1078" s="36"/>
      <c r="Q1078" s="36"/>
      <c r="T1078" s="36"/>
    </row>
    <row r="1079" spans="1:20" s="37" customFormat="1" ht="18.75" customHeight="1">
      <c r="A1079" s="29">
        <f t="shared" si="20"/>
        <v>1056</v>
      </c>
      <c r="B1079" s="30"/>
      <c r="C1079" s="30" t="s">
        <v>74</v>
      </c>
      <c r="D1079" s="30" t="s">
        <v>494</v>
      </c>
      <c r="E1079" s="31">
        <v>43121</v>
      </c>
      <c r="F1079" s="30" t="s">
        <v>76</v>
      </c>
      <c r="G1079" s="30" t="s">
        <v>77</v>
      </c>
      <c r="H1079" s="30" t="s">
        <v>1169</v>
      </c>
      <c r="I1079" s="29">
        <v>4343200</v>
      </c>
      <c r="J1079" s="29">
        <v>10</v>
      </c>
      <c r="K1079" s="29">
        <v>434320</v>
      </c>
      <c r="L1079" s="38"/>
      <c r="M1079" s="39"/>
      <c r="N1079" s="40"/>
      <c r="O1079" s="35"/>
      <c r="P1079" s="36"/>
      <c r="Q1079" s="36"/>
      <c r="T1079" s="36"/>
    </row>
    <row r="1080" spans="1:20" s="37" customFormat="1" ht="18.75" customHeight="1">
      <c r="A1080" s="29">
        <f t="shared" si="20"/>
        <v>1057</v>
      </c>
      <c r="B1080" s="30"/>
      <c r="C1080" s="30" t="s">
        <v>74</v>
      </c>
      <c r="D1080" s="30" t="s">
        <v>279</v>
      </c>
      <c r="E1080" s="31">
        <v>43121</v>
      </c>
      <c r="F1080" s="30" t="s">
        <v>76</v>
      </c>
      <c r="G1080" s="30" t="s">
        <v>77</v>
      </c>
      <c r="H1080" s="30" t="s">
        <v>1715</v>
      </c>
      <c r="I1080" s="29">
        <v>1989600</v>
      </c>
      <c r="J1080" s="29">
        <v>10</v>
      </c>
      <c r="K1080" s="29">
        <v>198960</v>
      </c>
      <c r="L1080" s="38"/>
      <c r="M1080" s="39"/>
      <c r="N1080" s="40"/>
      <c r="O1080" s="35"/>
      <c r="P1080" s="36"/>
      <c r="Q1080" s="36"/>
      <c r="T1080" s="36"/>
    </row>
    <row r="1081" spans="1:20" s="37" customFormat="1" ht="18.75" customHeight="1">
      <c r="A1081" s="29">
        <f t="shared" si="20"/>
        <v>1058</v>
      </c>
      <c r="B1081" s="30"/>
      <c r="C1081" s="30" t="s">
        <v>100</v>
      </c>
      <c r="D1081" s="30" t="s">
        <v>1716</v>
      </c>
      <c r="E1081" s="31">
        <v>43122</v>
      </c>
      <c r="F1081" s="30" t="s">
        <v>102</v>
      </c>
      <c r="G1081" s="30" t="s">
        <v>103</v>
      </c>
      <c r="H1081" s="30" t="s">
        <v>104</v>
      </c>
      <c r="I1081" s="29">
        <v>12100000</v>
      </c>
      <c r="J1081" s="29">
        <v>10</v>
      </c>
      <c r="K1081" s="29">
        <v>1210000</v>
      </c>
      <c r="L1081" s="38" t="s">
        <v>52</v>
      </c>
      <c r="M1081" s="39">
        <v>43137</v>
      </c>
      <c r="N1081" s="40" t="s">
        <v>1665</v>
      </c>
      <c r="O1081" s="35"/>
      <c r="P1081" s="36"/>
      <c r="Q1081" s="36"/>
      <c r="T1081" s="36"/>
    </row>
    <row r="1082" spans="1:20" s="37" customFormat="1" ht="18.75" customHeight="1">
      <c r="A1082" s="29">
        <f t="shared" si="20"/>
        <v>1059</v>
      </c>
      <c r="B1082" s="30"/>
      <c r="C1082" s="30" t="s">
        <v>100</v>
      </c>
      <c r="D1082" s="30" t="s">
        <v>1586</v>
      </c>
      <c r="E1082" s="31">
        <v>43122</v>
      </c>
      <c r="F1082" s="30" t="s">
        <v>102</v>
      </c>
      <c r="G1082" s="30" t="s">
        <v>103</v>
      </c>
      <c r="H1082" s="30" t="s">
        <v>104</v>
      </c>
      <c r="I1082" s="29">
        <v>13780000</v>
      </c>
      <c r="J1082" s="29">
        <v>10</v>
      </c>
      <c r="K1082" s="29">
        <v>1378000</v>
      </c>
      <c r="L1082" s="38" t="s">
        <v>52</v>
      </c>
      <c r="M1082" s="39">
        <v>43137</v>
      </c>
      <c r="N1082" s="40" t="s">
        <v>1665</v>
      </c>
      <c r="O1082" s="35"/>
      <c r="P1082" s="36"/>
      <c r="Q1082" s="36"/>
      <c r="T1082" s="36"/>
    </row>
    <row r="1083" spans="1:20" s="37" customFormat="1" ht="18.75" customHeight="1">
      <c r="A1083" s="29">
        <f t="shared" si="20"/>
        <v>1060</v>
      </c>
      <c r="B1083" s="30"/>
      <c r="C1083" s="30" t="s">
        <v>93</v>
      </c>
      <c r="D1083" s="30" t="s">
        <v>1717</v>
      </c>
      <c r="E1083" s="31">
        <v>43122</v>
      </c>
      <c r="F1083" s="30" t="s">
        <v>49</v>
      </c>
      <c r="G1083" s="30" t="s">
        <v>50</v>
      </c>
      <c r="H1083" s="30" t="s">
        <v>864</v>
      </c>
      <c r="I1083" s="29">
        <v>124240000</v>
      </c>
      <c r="J1083" s="29">
        <v>10</v>
      </c>
      <c r="K1083" s="29">
        <v>12424000</v>
      </c>
      <c r="L1083" s="38" t="s">
        <v>52</v>
      </c>
      <c r="M1083" s="39">
        <v>43180</v>
      </c>
      <c r="N1083" s="40" t="s">
        <v>1665</v>
      </c>
      <c r="O1083" s="35"/>
      <c r="P1083" s="36"/>
      <c r="Q1083" s="36"/>
      <c r="T1083" s="36"/>
    </row>
    <row r="1084" spans="1:20" s="37" customFormat="1" ht="18.75" customHeight="1">
      <c r="A1084" s="29">
        <f t="shared" si="20"/>
        <v>1061</v>
      </c>
      <c r="B1084" s="30"/>
      <c r="C1084" s="30" t="s">
        <v>162</v>
      </c>
      <c r="D1084" s="30" t="s">
        <v>1718</v>
      </c>
      <c r="E1084" s="31">
        <v>43122</v>
      </c>
      <c r="F1084" s="30" t="s">
        <v>164</v>
      </c>
      <c r="G1084" s="30" t="s">
        <v>165</v>
      </c>
      <c r="H1084" s="30" t="s">
        <v>166</v>
      </c>
      <c r="I1084" s="29">
        <v>35971020</v>
      </c>
      <c r="J1084" s="29">
        <v>10</v>
      </c>
      <c r="K1084" s="29">
        <v>3597102</v>
      </c>
      <c r="L1084" s="38" t="s">
        <v>52</v>
      </c>
      <c r="M1084" s="39">
        <v>43140</v>
      </c>
      <c r="N1084" s="40" t="s">
        <v>1665</v>
      </c>
      <c r="O1084" s="35"/>
      <c r="P1084" s="36"/>
      <c r="Q1084" s="36"/>
      <c r="T1084" s="36"/>
    </row>
    <row r="1085" spans="1:20" s="37" customFormat="1" ht="18.75" customHeight="1">
      <c r="A1085" s="29">
        <f t="shared" si="20"/>
        <v>1062</v>
      </c>
      <c r="B1085" s="30"/>
      <c r="C1085" s="30" t="s">
        <v>1719</v>
      </c>
      <c r="D1085" s="30" t="s">
        <v>1720</v>
      </c>
      <c r="E1085" s="31">
        <v>43123</v>
      </c>
      <c r="F1085" s="30" t="s">
        <v>1721</v>
      </c>
      <c r="G1085" s="30" t="s">
        <v>1722</v>
      </c>
      <c r="H1085" s="30" t="s">
        <v>1723</v>
      </c>
      <c r="I1085" s="29">
        <v>10800000</v>
      </c>
      <c r="J1085" s="29">
        <v>10</v>
      </c>
      <c r="K1085" s="29">
        <v>1080000</v>
      </c>
      <c r="L1085" s="38"/>
      <c r="M1085" s="39"/>
      <c r="N1085" s="40"/>
      <c r="O1085" s="35"/>
      <c r="P1085" s="36"/>
      <c r="Q1085" s="36"/>
      <c r="T1085" s="36"/>
    </row>
    <row r="1086" spans="1:20" s="37" customFormat="1" ht="18.75" customHeight="1">
      <c r="A1086" s="29">
        <f t="shared" si="20"/>
        <v>1063</v>
      </c>
      <c r="B1086" s="30"/>
      <c r="C1086" s="30" t="s">
        <v>502</v>
      </c>
      <c r="D1086" s="30" t="s">
        <v>1724</v>
      </c>
      <c r="E1086" s="31">
        <v>43123</v>
      </c>
      <c r="F1086" s="30" t="s">
        <v>362</v>
      </c>
      <c r="G1086" s="30" t="s">
        <v>363</v>
      </c>
      <c r="H1086" s="30" t="s">
        <v>129</v>
      </c>
      <c r="I1086" s="29">
        <v>454545</v>
      </c>
      <c r="J1086" s="29">
        <v>10</v>
      </c>
      <c r="K1086" s="29">
        <v>45455</v>
      </c>
      <c r="L1086" s="38"/>
      <c r="M1086" s="39"/>
      <c r="N1086" s="40"/>
      <c r="O1086" s="35"/>
      <c r="P1086" s="36"/>
      <c r="Q1086" s="36"/>
      <c r="T1086" s="36"/>
    </row>
    <row r="1087" spans="1:20" s="37" customFormat="1" ht="18.75" customHeight="1">
      <c r="A1087" s="29">
        <f t="shared" si="20"/>
        <v>1064</v>
      </c>
      <c r="B1087" s="30"/>
      <c r="C1087" s="30" t="s">
        <v>119</v>
      </c>
      <c r="D1087" s="30" t="s">
        <v>883</v>
      </c>
      <c r="E1087" s="31">
        <v>43124</v>
      </c>
      <c r="F1087" s="30" t="s">
        <v>121</v>
      </c>
      <c r="G1087" s="30" t="s">
        <v>122</v>
      </c>
      <c r="H1087" s="30" t="s">
        <v>1725</v>
      </c>
      <c r="I1087" s="29">
        <v>297786524</v>
      </c>
      <c r="J1087" s="29">
        <v>10</v>
      </c>
      <c r="K1087" s="29">
        <v>29778652</v>
      </c>
      <c r="L1087" s="38" t="s">
        <v>52</v>
      </c>
      <c r="M1087" s="39">
        <v>43136</v>
      </c>
      <c r="N1087" s="40" t="s">
        <v>1665</v>
      </c>
      <c r="O1087" s="35"/>
      <c r="P1087" s="36"/>
      <c r="Q1087" s="36"/>
      <c r="T1087" s="36"/>
    </row>
    <row r="1088" spans="1:20" s="37" customFormat="1" ht="18.75" customHeight="1">
      <c r="A1088" s="29">
        <f t="shared" si="20"/>
        <v>1065</v>
      </c>
      <c r="B1088" s="30"/>
      <c r="C1088" s="30" t="s">
        <v>119</v>
      </c>
      <c r="D1088" s="30" t="s">
        <v>1726</v>
      </c>
      <c r="E1088" s="31">
        <v>43124</v>
      </c>
      <c r="F1088" s="30" t="s">
        <v>121</v>
      </c>
      <c r="G1088" s="30" t="s">
        <v>122</v>
      </c>
      <c r="H1088" s="30" t="s">
        <v>1727</v>
      </c>
      <c r="I1088" s="29">
        <v>332214380</v>
      </c>
      <c r="J1088" s="29">
        <v>10</v>
      </c>
      <c r="K1088" s="29">
        <v>33221438</v>
      </c>
      <c r="L1088" s="38" t="s">
        <v>52</v>
      </c>
      <c r="M1088" s="39">
        <v>43136</v>
      </c>
      <c r="N1088" s="40" t="s">
        <v>1665</v>
      </c>
      <c r="O1088" s="35"/>
      <c r="P1088" s="36"/>
      <c r="Q1088" s="36"/>
      <c r="T1088" s="36"/>
    </row>
    <row r="1089" spans="1:20" s="37" customFormat="1" ht="18.75" customHeight="1">
      <c r="A1089" s="29">
        <f t="shared" si="20"/>
        <v>1066</v>
      </c>
      <c r="B1089" s="30"/>
      <c r="C1089" s="30" t="s">
        <v>194</v>
      </c>
      <c r="D1089" s="30" t="s">
        <v>1728</v>
      </c>
      <c r="E1089" s="31">
        <v>43124</v>
      </c>
      <c r="F1089" s="30" t="s">
        <v>196</v>
      </c>
      <c r="G1089" s="30" t="s">
        <v>197</v>
      </c>
      <c r="H1089" s="30" t="s">
        <v>198</v>
      </c>
      <c r="I1089" s="29">
        <v>1622669</v>
      </c>
      <c r="J1089" s="29">
        <v>10</v>
      </c>
      <c r="K1089" s="29">
        <v>162267</v>
      </c>
      <c r="L1089" s="38"/>
      <c r="M1089" s="39"/>
      <c r="N1089" s="40"/>
      <c r="O1089" s="35"/>
      <c r="P1089" s="36"/>
      <c r="Q1089" s="36"/>
      <c r="T1089" s="36"/>
    </row>
    <row r="1090" spans="1:20" s="37" customFormat="1" ht="18.75" customHeight="1">
      <c r="A1090" s="29">
        <f t="shared" si="20"/>
        <v>1067</v>
      </c>
      <c r="B1090" s="30"/>
      <c r="C1090" s="30" t="s">
        <v>93</v>
      </c>
      <c r="D1090" s="30" t="s">
        <v>1729</v>
      </c>
      <c r="E1090" s="31">
        <v>43124</v>
      </c>
      <c r="F1090" s="30" t="s">
        <v>49</v>
      </c>
      <c r="G1090" s="30" t="s">
        <v>50</v>
      </c>
      <c r="H1090" s="30" t="s">
        <v>864</v>
      </c>
      <c r="I1090" s="29">
        <v>172080000</v>
      </c>
      <c r="J1090" s="29">
        <v>10</v>
      </c>
      <c r="K1090" s="29">
        <v>17208000</v>
      </c>
      <c r="L1090" s="38" t="s">
        <v>52</v>
      </c>
      <c r="M1090" s="39">
        <v>43136</v>
      </c>
      <c r="N1090" s="40" t="s">
        <v>1665</v>
      </c>
      <c r="O1090" s="35"/>
      <c r="P1090" s="36"/>
      <c r="Q1090" s="36"/>
      <c r="T1090" s="36"/>
    </row>
    <row r="1091" spans="1:20" s="37" customFormat="1" ht="18.75" customHeight="1">
      <c r="A1091" s="29">
        <f t="shared" si="20"/>
        <v>1068</v>
      </c>
      <c r="B1091" s="30"/>
      <c r="C1091" s="30" t="s">
        <v>1570</v>
      </c>
      <c r="D1091" s="30" t="s">
        <v>1165</v>
      </c>
      <c r="E1091" s="31">
        <v>43125</v>
      </c>
      <c r="F1091" s="30" t="s">
        <v>1572</v>
      </c>
      <c r="G1091" s="30" t="s">
        <v>1573</v>
      </c>
      <c r="H1091" s="30" t="s">
        <v>1730</v>
      </c>
      <c r="I1091" s="29">
        <v>10900000</v>
      </c>
      <c r="J1091" s="29">
        <v>10</v>
      </c>
      <c r="K1091" s="29">
        <v>1090000</v>
      </c>
      <c r="L1091" s="38"/>
      <c r="M1091" s="39"/>
      <c r="N1091" s="40"/>
      <c r="O1091" s="35"/>
      <c r="P1091" s="36"/>
      <c r="Q1091" s="36"/>
      <c r="T1091" s="36"/>
    </row>
    <row r="1092" spans="1:20" s="37" customFormat="1" ht="18.75" customHeight="1">
      <c r="A1092" s="29">
        <f t="shared" si="20"/>
        <v>1069</v>
      </c>
      <c r="B1092" s="30"/>
      <c r="C1092" s="30" t="s">
        <v>1689</v>
      </c>
      <c r="D1092" s="30" t="s">
        <v>1731</v>
      </c>
      <c r="E1092" s="31">
        <v>43125</v>
      </c>
      <c r="F1092" s="30" t="s">
        <v>114</v>
      </c>
      <c r="G1092" s="30" t="s">
        <v>115</v>
      </c>
      <c r="H1092" s="30" t="s">
        <v>116</v>
      </c>
      <c r="I1092" s="29">
        <v>20000</v>
      </c>
      <c r="J1092" s="29">
        <v>10</v>
      </c>
      <c r="K1092" s="29">
        <v>2000</v>
      </c>
      <c r="L1092" s="38"/>
      <c r="M1092" s="39"/>
      <c r="N1092" s="40"/>
      <c r="O1092" s="35"/>
      <c r="P1092" s="36"/>
      <c r="Q1092" s="36"/>
      <c r="T1092" s="36"/>
    </row>
    <row r="1093" spans="1:20" s="37" customFormat="1" ht="18.75" customHeight="1">
      <c r="A1093" s="29">
        <f t="shared" si="20"/>
        <v>1070</v>
      </c>
      <c r="B1093" s="30"/>
      <c r="C1093" s="30" t="s">
        <v>100</v>
      </c>
      <c r="D1093" s="30" t="s">
        <v>1597</v>
      </c>
      <c r="E1093" s="31">
        <v>43126</v>
      </c>
      <c r="F1093" s="30" t="s">
        <v>102</v>
      </c>
      <c r="G1093" s="30" t="s">
        <v>103</v>
      </c>
      <c r="H1093" s="30" t="s">
        <v>1732</v>
      </c>
      <c r="I1093" s="29">
        <v>22320000</v>
      </c>
      <c r="J1093" s="29">
        <v>10</v>
      </c>
      <c r="K1093" s="29">
        <v>2232000</v>
      </c>
      <c r="L1093" s="38" t="s">
        <v>52</v>
      </c>
      <c r="M1093" s="39">
        <v>43137</v>
      </c>
      <c r="N1093" s="40" t="s">
        <v>1665</v>
      </c>
      <c r="O1093" s="35"/>
      <c r="P1093" s="36"/>
      <c r="Q1093" s="36"/>
      <c r="T1093" s="36"/>
    </row>
    <row r="1094" spans="1:20" s="37" customFormat="1" ht="18.75" customHeight="1">
      <c r="A1094" s="29">
        <f t="shared" si="20"/>
        <v>1071</v>
      </c>
      <c r="B1094" s="30"/>
      <c r="C1094" s="30" t="s">
        <v>1733</v>
      </c>
      <c r="D1094" s="30" t="s">
        <v>1734</v>
      </c>
      <c r="E1094" s="31">
        <v>43126</v>
      </c>
      <c r="F1094" s="30" t="s">
        <v>1735</v>
      </c>
      <c r="G1094" s="30" t="s">
        <v>1736</v>
      </c>
      <c r="H1094" s="30" t="s">
        <v>1737</v>
      </c>
      <c r="I1094" s="29">
        <v>3691818</v>
      </c>
      <c r="J1094" s="29">
        <v>10</v>
      </c>
      <c r="K1094" s="29">
        <v>369182</v>
      </c>
      <c r="L1094" s="38"/>
      <c r="M1094" s="39"/>
      <c r="N1094" s="40"/>
      <c r="O1094" s="35"/>
      <c r="P1094" s="36"/>
      <c r="Q1094" s="36"/>
      <c r="T1094" s="36"/>
    </row>
    <row r="1095" spans="1:20" s="37" customFormat="1" ht="18.75" customHeight="1">
      <c r="A1095" s="29">
        <f t="shared" si="20"/>
        <v>1072</v>
      </c>
      <c r="B1095" s="30"/>
      <c r="C1095" s="30" t="s">
        <v>468</v>
      </c>
      <c r="D1095" s="30" t="s">
        <v>1738</v>
      </c>
      <c r="E1095" s="31">
        <v>43126</v>
      </c>
      <c r="F1095" s="30" t="s">
        <v>159</v>
      </c>
      <c r="G1095" s="30" t="s">
        <v>160</v>
      </c>
      <c r="H1095" s="30" t="s">
        <v>161</v>
      </c>
      <c r="I1095" s="29">
        <v>9000000</v>
      </c>
      <c r="J1095" s="29">
        <v>10</v>
      </c>
      <c r="K1095" s="29">
        <v>900000</v>
      </c>
      <c r="L1095" s="38"/>
      <c r="M1095" s="39"/>
      <c r="N1095" s="40"/>
      <c r="O1095" s="35"/>
      <c r="P1095" s="36"/>
      <c r="Q1095" s="36"/>
      <c r="T1095" s="36"/>
    </row>
    <row r="1096" spans="1:20" s="37" customFormat="1" ht="18.75" customHeight="1">
      <c r="A1096" s="29">
        <f t="shared" si="20"/>
        <v>1073</v>
      </c>
      <c r="B1096" s="30"/>
      <c r="C1096" s="30" t="s">
        <v>502</v>
      </c>
      <c r="D1096" s="30" t="s">
        <v>1739</v>
      </c>
      <c r="E1096" s="31">
        <v>43126</v>
      </c>
      <c r="F1096" s="30" t="s">
        <v>362</v>
      </c>
      <c r="G1096" s="30" t="s">
        <v>363</v>
      </c>
      <c r="H1096" s="30" t="s">
        <v>129</v>
      </c>
      <c r="I1096" s="29">
        <v>454545</v>
      </c>
      <c r="J1096" s="29">
        <v>10</v>
      </c>
      <c r="K1096" s="29">
        <v>45455</v>
      </c>
      <c r="L1096" s="38"/>
      <c r="M1096" s="39"/>
      <c r="N1096" s="40"/>
      <c r="O1096" s="35"/>
      <c r="P1096" s="36"/>
      <c r="Q1096" s="36"/>
      <c r="T1096" s="36"/>
    </row>
    <row r="1097" spans="1:20" s="37" customFormat="1" ht="18.75" customHeight="1">
      <c r="A1097" s="29">
        <f t="shared" si="20"/>
        <v>1074</v>
      </c>
      <c r="B1097" s="30"/>
      <c r="C1097" s="30" t="s">
        <v>167</v>
      </c>
      <c r="D1097" s="30" t="s">
        <v>1740</v>
      </c>
      <c r="E1097" s="31">
        <v>43127</v>
      </c>
      <c r="F1097" s="30" t="s">
        <v>258</v>
      </c>
      <c r="G1097" s="30" t="s">
        <v>259</v>
      </c>
      <c r="H1097" s="30" t="s">
        <v>1741</v>
      </c>
      <c r="I1097" s="65">
        <v>58637410</v>
      </c>
      <c r="J1097" s="65">
        <v>10</v>
      </c>
      <c r="K1097" s="65">
        <v>5863741</v>
      </c>
      <c r="L1097" s="38" t="s">
        <v>52</v>
      </c>
      <c r="M1097" s="39">
        <v>43140</v>
      </c>
      <c r="N1097" s="40" t="s">
        <v>1665</v>
      </c>
      <c r="O1097" s="35"/>
      <c r="P1097" s="36">
        <f>K1097-6422563</f>
        <v>-558822</v>
      </c>
      <c r="Q1097" s="36" t="s">
        <v>1742</v>
      </c>
      <c r="T1097" s="36"/>
    </row>
    <row r="1098" spans="1:20" s="37" customFormat="1" ht="18.75" customHeight="1">
      <c r="A1098" s="29">
        <f t="shared" si="20"/>
        <v>1075</v>
      </c>
      <c r="B1098" s="30"/>
      <c r="C1098" s="30" t="s">
        <v>231</v>
      </c>
      <c r="D1098" s="30" t="s">
        <v>1743</v>
      </c>
      <c r="E1098" s="31">
        <v>43129</v>
      </c>
      <c r="F1098" s="30" t="s">
        <v>233</v>
      </c>
      <c r="G1098" s="30" t="s">
        <v>234</v>
      </c>
      <c r="H1098" s="30" t="s">
        <v>235</v>
      </c>
      <c r="I1098" s="29">
        <v>102827500</v>
      </c>
      <c r="J1098" s="29">
        <v>10</v>
      </c>
      <c r="K1098" s="29">
        <v>10282750</v>
      </c>
      <c r="L1098" s="38" t="s">
        <v>52</v>
      </c>
      <c r="M1098" s="39">
        <v>43137</v>
      </c>
      <c r="N1098" s="40" t="s">
        <v>1665</v>
      </c>
      <c r="O1098" s="35"/>
      <c r="P1098" s="36">
        <f>P1097-K317</f>
        <v>-677224</v>
      </c>
      <c r="Q1098" s="36"/>
      <c r="T1098" s="36"/>
    </row>
    <row r="1099" spans="1:20" s="37" customFormat="1" ht="18.75" customHeight="1">
      <c r="A1099" s="29">
        <f t="shared" si="20"/>
        <v>1076</v>
      </c>
      <c r="B1099" s="30"/>
      <c r="C1099" s="30" t="s">
        <v>231</v>
      </c>
      <c r="D1099" s="30" t="s">
        <v>1744</v>
      </c>
      <c r="E1099" s="31">
        <v>43129</v>
      </c>
      <c r="F1099" s="30" t="s">
        <v>233</v>
      </c>
      <c r="G1099" s="30" t="s">
        <v>234</v>
      </c>
      <c r="H1099" s="30" t="s">
        <v>235</v>
      </c>
      <c r="I1099" s="29">
        <v>88082700</v>
      </c>
      <c r="J1099" s="29">
        <v>10</v>
      </c>
      <c r="K1099" s="29">
        <v>8808270</v>
      </c>
      <c r="L1099" s="38" t="s">
        <v>52</v>
      </c>
      <c r="M1099" s="39">
        <v>43137</v>
      </c>
      <c r="N1099" s="40" t="s">
        <v>1665</v>
      </c>
      <c r="O1099" s="35"/>
      <c r="P1099" s="36"/>
      <c r="Q1099" s="36"/>
      <c r="T1099" s="36"/>
    </row>
    <row r="1100" spans="1:20" s="37" customFormat="1" ht="18.75" customHeight="1">
      <c r="A1100" s="29">
        <f t="shared" si="20"/>
        <v>1077</v>
      </c>
      <c r="B1100" s="30"/>
      <c r="C1100" s="30" t="s">
        <v>162</v>
      </c>
      <c r="D1100" s="30" t="s">
        <v>1745</v>
      </c>
      <c r="E1100" s="31">
        <v>43129</v>
      </c>
      <c r="F1100" s="30" t="s">
        <v>164</v>
      </c>
      <c r="G1100" s="30" t="s">
        <v>165</v>
      </c>
      <c r="H1100" s="30" t="s">
        <v>166</v>
      </c>
      <c r="I1100" s="29">
        <v>27350520</v>
      </c>
      <c r="J1100" s="29">
        <v>10</v>
      </c>
      <c r="K1100" s="29">
        <v>2735052</v>
      </c>
      <c r="L1100" s="38" t="s">
        <v>52</v>
      </c>
      <c r="M1100" s="39">
        <v>43140</v>
      </c>
      <c r="N1100" s="40" t="s">
        <v>1665</v>
      </c>
      <c r="O1100" s="35"/>
      <c r="P1100" s="36"/>
      <c r="Q1100" s="36"/>
      <c r="T1100" s="36"/>
    </row>
    <row r="1101" spans="1:20" s="37" customFormat="1" ht="18.75" customHeight="1">
      <c r="A1101" s="29">
        <f t="shared" si="20"/>
        <v>1078</v>
      </c>
      <c r="B1101" s="30"/>
      <c r="C1101" s="30" t="s">
        <v>1237</v>
      </c>
      <c r="D1101" s="30" t="s">
        <v>1746</v>
      </c>
      <c r="E1101" s="31">
        <v>43130</v>
      </c>
      <c r="F1101" s="30" t="s">
        <v>1239</v>
      </c>
      <c r="G1101" s="30" t="s">
        <v>1240</v>
      </c>
      <c r="H1101" s="30" t="s">
        <v>1241</v>
      </c>
      <c r="I1101" s="29">
        <v>30894552</v>
      </c>
      <c r="J1101" s="29">
        <v>10</v>
      </c>
      <c r="K1101" s="29">
        <v>3089455</v>
      </c>
      <c r="L1101" s="38" t="s">
        <v>52</v>
      </c>
      <c r="M1101" s="39">
        <v>43137</v>
      </c>
      <c r="N1101" s="40" t="s">
        <v>1665</v>
      </c>
      <c r="O1101" s="35"/>
      <c r="P1101" s="36"/>
      <c r="Q1101" s="36"/>
      <c r="T1101" s="36"/>
    </row>
    <row r="1102" spans="1:20" s="37" customFormat="1" ht="18.75" customHeight="1">
      <c r="A1102" s="29">
        <f t="shared" si="20"/>
        <v>1079</v>
      </c>
      <c r="B1102" s="30"/>
      <c r="C1102" s="30" t="s">
        <v>226</v>
      </c>
      <c r="D1102" s="30" t="s">
        <v>1747</v>
      </c>
      <c r="E1102" s="31">
        <v>43131</v>
      </c>
      <c r="F1102" s="30" t="s">
        <v>228</v>
      </c>
      <c r="G1102" s="30" t="s">
        <v>229</v>
      </c>
      <c r="H1102" s="30" t="s">
        <v>1625</v>
      </c>
      <c r="I1102" s="29">
        <v>3044000</v>
      </c>
      <c r="J1102" s="29">
        <v>10</v>
      </c>
      <c r="K1102" s="29">
        <v>304400</v>
      </c>
      <c r="L1102" s="38"/>
      <c r="M1102" s="39"/>
      <c r="N1102" s="40"/>
      <c r="O1102" s="35"/>
      <c r="P1102" s="36"/>
      <c r="Q1102" s="36"/>
      <c r="T1102" s="36"/>
    </row>
    <row r="1103" spans="1:20" s="37" customFormat="1" ht="18.75" customHeight="1">
      <c r="A1103" s="29">
        <f t="shared" si="20"/>
        <v>1080</v>
      </c>
      <c r="B1103" s="30"/>
      <c r="C1103" s="30" t="s">
        <v>248</v>
      </c>
      <c r="D1103" s="30" t="s">
        <v>1748</v>
      </c>
      <c r="E1103" s="31">
        <v>43131</v>
      </c>
      <c r="F1103" s="30" t="s">
        <v>1749</v>
      </c>
      <c r="G1103" s="30" t="s">
        <v>251</v>
      </c>
      <c r="H1103" s="30" t="s">
        <v>1750</v>
      </c>
      <c r="I1103" s="29">
        <v>291706000</v>
      </c>
      <c r="J1103" s="29">
        <v>10</v>
      </c>
      <c r="K1103" s="29">
        <v>29170600</v>
      </c>
      <c r="L1103" s="38" t="s">
        <v>52</v>
      </c>
      <c r="M1103" s="39">
        <v>43137</v>
      </c>
      <c r="N1103" s="40" t="s">
        <v>1665</v>
      </c>
      <c r="O1103" s="35"/>
      <c r="P1103" s="36"/>
      <c r="Q1103" s="36"/>
      <c r="T1103" s="36"/>
    </row>
    <row r="1104" spans="1:20" s="37" customFormat="1" ht="18.75" customHeight="1">
      <c r="A1104" s="29">
        <f t="shared" si="20"/>
        <v>1081</v>
      </c>
      <c r="B1104" s="30"/>
      <c r="C1104" s="30" t="s">
        <v>248</v>
      </c>
      <c r="D1104" s="30" t="s">
        <v>1751</v>
      </c>
      <c r="E1104" s="31">
        <v>43131</v>
      </c>
      <c r="F1104" s="30" t="s">
        <v>1749</v>
      </c>
      <c r="G1104" s="30" t="s">
        <v>251</v>
      </c>
      <c r="H1104" s="30" t="s">
        <v>1752</v>
      </c>
      <c r="I1104" s="29">
        <v>6400000</v>
      </c>
      <c r="J1104" s="29">
        <v>10</v>
      </c>
      <c r="K1104" s="29">
        <v>640000</v>
      </c>
      <c r="L1104" s="38" t="s">
        <v>52</v>
      </c>
      <c r="M1104" s="39">
        <v>43137</v>
      </c>
      <c r="N1104" s="40" t="s">
        <v>1665</v>
      </c>
      <c r="O1104" s="35"/>
      <c r="P1104" s="36"/>
      <c r="Q1104" s="36"/>
      <c r="T1104" s="36"/>
    </row>
    <row r="1105" spans="1:255" s="37" customFormat="1" ht="18.75" customHeight="1">
      <c r="A1105" s="29">
        <f t="shared" si="20"/>
        <v>1082</v>
      </c>
      <c r="B1105" s="30"/>
      <c r="C1105" s="30" t="s">
        <v>1237</v>
      </c>
      <c r="D1105" s="30" t="s">
        <v>1753</v>
      </c>
      <c r="E1105" s="31">
        <v>43131</v>
      </c>
      <c r="F1105" s="30" t="s">
        <v>1239</v>
      </c>
      <c r="G1105" s="30" t="s">
        <v>1240</v>
      </c>
      <c r="H1105" s="30" t="s">
        <v>1754</v>
      </c>
      <c r="I1105" s="29">
        <v>30894552</v>
      </c>
      <c r="J1105" s="29">
        <v>10</v>
      </c>
      <c r="K1105" s="29">
        <v>3089455</v>
      </c>
      <c r="L1105" s="38" t="s">
        <v>52</v>
      </c>
      <c r="M1105" s="39">
        <v>43137</v>
      </c>
      <c r="N1105" s="40" t="s">
        <v>1665</v>
      </c>
      <c r="O1105" s="35"/>
      <c r="P1105" s="36"/>
      <c r="Q1105" s="36"/>
      <c r="T1105" s="36"/>
    </row>
    <row r="1106" spans="1:255" s="37" customFormat="1" ht="18.75" customHeight="1">
      <c r="A1106" s="233" t="s">
        <v>264</v>
      </c>
      <c r="B1106" s="234"/>
      <c r="C1106" s="234"/>
      <c r="D1106" s="234"/>
      <c r="E1106" s="234"/>
      <c r="F1106" s="234"/>
      <c r="G1106" s="234"/>
      <c r="H1106" s="235"/>
      <c r="I1106" s="43">
        <f>SUM(I1045:I1105)</f>
        <v>3472196229</v>
      </c>
      <c r="J1106" s="43"/>
      <c r="K1106" s="62">
        <f>SUM(K1045:K1105)</f>
        <v>347214626</v>
      </c>
      <c r="L1106" s="44"/>
      <c r="M1106" s="44"/>
      <c r="N1106" s="46"/>
      <c r="O1106" s="35"/>
      <c r="P1106" s="49"/>
      <c r="Q1106" s="36"/>
      <c r="R1106" s="10"/>
      <c r="S1106" s="10"/>
      <c r="T1106" s="10"/>
      <c r="U1106" s="10"/>
      <c r="V1106" s="10"/>
      <c r="W1106" s="10"/>
      <c r="X1106" s="10"/>
      <c r="Y1106" s="10"/>
      <c r="Z1106" s="10"/>
      <c r="AA1106" s="10"/>
      <c r="AB1106" s="10"/>
      <c r="AC1106" s="10"/>
      <c r="AD1106" s="10"/>
      <c r="AE1106" s="10"/>
      <c r="AF1106" s="10"/>
      <c r="AG1106" s="10"/>
      <c r="AH1106" s="10"/>
      <c r="AI1106" s="10"/>
      <c r="AJ1106" s="10"/>
      <c r="AK1106" s="10"/>
      <c r="AL1106" s="10"/>
      <c r="AM1106" s="10"/>
      <c r="AN1106" s="10"/>
      <c r="AO1106" s="10"/>
      <c r="AP1106" s="10"/>
      <c r="AQ1106" s="10"/>
      <c r="AR1106" s="10"/>
      <c r="AS1106" s="10"/>
      <c r="AT1106" s="10"/>
      <c r="AU1106" s="10"/>
      <c r="AV1106" s="10"/>
      <c r="AW1106" s="10"/>
      <c r="AX1106" s="10"/>
      <c r="AY1106" s="10"/>
      <c r="AZ1106" s="10"/>
      <c r="BA1106" s="10"/>
      <c r="BB1106" s="10"/>
      <c r="BC1106" s="10"/>
      <c r="BD1106" s="10"/>
      <c r="BE1106" s="10"/>
      <c r="BF1106" s="10"/>
      <c r="BG1106" s="10"/>
      <c r="BH1106" s="10"/>
      <c r="BI1106" s="10"/>
      <c r="BJ1106" s="10"/>
      <c r="BK1106" s="10"/>
      <c r="BL1106" s="10"/>
      <c r="BM1106" s="10"/>
      <c r="BN1106" s="10"/>
      <c r="BO1106" s="10"/>
      <c r="BP1106" s="10"/>
      <c r="BQ1106" s="10"/>
      <c r="BR1106" s="10"/>
      <c r="BS1106" s="10"/>
      <c r="BT1106" s="10"/>
      <c r="BU1106" s="10"/>
      <c r="BV1106" s="10"/>
      <c r="BW1106" s="10"/>
      <c r="BX1106" s="10"/>
      <c r="BY1106" s="10"/>
      <c r="BZ1106" s="10"/>
      <c r="CA1106" s="10"/>
      <c r="CB1106" s="10"/>
      <c r="CC1106" s="10"/>
      <c r="CD1106" s="10"/>
      <c r="CE1106" s="10"/>
      <c r="CF1106" s="10"/>
      <c r="CG1106" s="10"/>
      <c r="CH1106" s="10"/>
      <c r="CI1106" s="10"/>
      <c r="CJ1106" s="10"/>
      <c r="CK1106" s="10"/>
      <c r="CL1106" s="10"/>
      <c r="CM1106" s="10"/>
      <c r="CN1106" s="10"/>
      <c r="CO1106" s="10"/>
      <c r="CP1106" s="10"/>
      <c r="CQ1106" s="10"/>
      <c r="CR1106" s="10"/>
      <c r="CS1106" s="10"/>
      <c r="CT1106" s="10"/>
      <c r="CU1106" s="10"/>
      <c r="CV1106" s="10"/>
      <c r="CW1106" s="10"/>
      <c r="CX1106" s="10"/>
      <c r="CY1106" s="10"/>
      <c r="CZ1106" s="10"/>
      <c r="DA1106" s="10"/>
      <c r="DB1106" s="10"/>
      <c r="DC1106" s="10"/>
      <c r="DD1106" s="10"/>
      <c r="DE1106" s="10"/>
      <c r="DF1106" s="10"/>
      <c r="DG1106" s="10"/>
      <c r="DH1106" s="10"/>
      <c r="DI1106" s="10"/>
      <c r="DJ1106" s="10"/>
      <c r="DK1106" s="10"/>
      <c r="DL1106" s="10"/>
      <c r="DM1106" s="10"/>
      <c r="DN1106" s="10"/>
      <c r="DO1106" s="10"/>
      <c r="DP1106" s="10"/>
      <c r="DQ1106" s="10"/>
      <c r="DR1106" s="10"/>
      <c r="DS1106" s="10"/>
      <c r="DT1106" s="10"/>
      <c r="DU1106" s="10"/>
      <c r="DV1106" s="10"/>
      <c r="DW1106" s="10"/>
      <c r="DX1106" s="10"/>
      <c r="DY1106" s="10"/>
      <c r="DZ1106" s="10"/>
      <c r="EA1106" s="10"/>
      <c r="EB1106" s="10"/>
      <c r="EC1106" s="10"/>
      <c r="ED1106" s="10"/>
      <c r="EE1106" s="10"/>
      <c r="EF1106" s="10"/>
      <c r="EG1106" s="10"/>
      <c r="EH1106" s="10"/>
      <c r="EI1106" s="10"/>
      <c r="EJ1106" s="10"/>
      <c r="EK1106" s="10"/>
      <c r="EL1106" s="10"/>
      <c r="EM1106" s="10"/>
      <c r="EN1106" s="10"/>
      <c r="EO1106" s="10"/>
      <c r="EP1106" s="10"/>
      <c r="EQ1106" s="10"/>
      <c r="ER1106" s="10"/>
      <c r="ES1106" s="10"/>
      <c r="ET1106" s="10"/>
      <c r="EU1106" s="10"/>
      <c r="EV1106" s="10"/>
      <c r="EW1106" s="10"/>
      <c r="EX1106" s="10"/>
      <c r="EY1106" s="10"/>
      <c r="EZ1106" s="10"/>
      <c r="FA1106" s="10"/>
      <c r="FB1106" s="10"/>
      <c r="FC1106" s="10"/>
      <c r="FD1106" s="10"/>
      <c r="FE1106" s="10"/>
      <c r="FF1106" s="10"/>
      <c r="FG1106" s="10"/>
      <c r="FH1106" s="10"/>
      <c r="FI1106" s="10"/>
      <c r="FJ1106" s="10"/>
      <c r="FK1106" s="10"/>
      <c r="FL1106" s="10"/>
      <c r="FM1106" s="10"/>
      <c r="FN1106" s="10"/>
      <c r="FO1106" s="10"/>
      <c r="FP1106" s="10"/>
      <c r="FQ1106" s="10"/>
      <c r="FR1106" s="10"/>
      <c r="FS1106" s="10"/>
      <c r="FT1106" s="10"/>
      <c r="FU1106" s="10"/>
      <c r="FV1106" s="10"/>
      <c r="FW1106" s="10"/>
      <c r="FX1106" s="10"/>
      <c r="FY1106" s="10"/>
      <c r="FZ1106" s="10"/>
      <c r="GA1106" s="10"/>
      <c r="GB1106" s="10"/>
      <c r="GC1106" s="10"/>
      <c r="GD1106" s="10"/>
      <c r="GE1106" s="10"/>
      <c r="GF1106" s="10"/>
      <c r="GG1106" s="10"/>
      <c r="GH1106" s="10"/>
      <c r="GI1106" s="10"/>
      <c r="GJ1106" s="10"/>
      <c r="GK1106" s="10"/>
      <c r="GL1106" s="10"/>
      <c r="GM1106" s="10"/>
      <c r="GN1106" s="10"/>
      <c r="GO1106" s="10"/>
      <c r="GP1106" s="10"/>
      <c r="GQ1106" s="10"/>
      <c r="GR1106" s="10"/>
      <c r="GS1106" s="10"/>
      <c r="GT1106" s="10"/>
      <c r="GU1106" s="10"/>
      <c r="GV1106" s="10"/>
      <c r="GW1106" s="10"/>
      <c r="GX1106" s="10"/>
      <c r="GY1106" s="10"/>
      <c r="GZ1106" s="10"/>
      <c r="HA1106" s="10"/>
      <c r="HB1106" s="10"/>
      <c r="HC1106" s="10"/>
      <c r="HD1106" s="10"/>
      <c r="HE1106" s="10"/>
      <c r="HF1106" s="10"/>
      <c r="HG1106" s="10"/>
      <c r="HH1106" s="10"/>
      <c r="HI1106" s="10"/>
      <c r="HJ1106" s="10"/>
      <c r="HK1106" s="10"/>
      <c r="HL1106" s="10"/>
      <c r="HM1106" s="10"/>
      <c r="HN1106" s="10"/>
      <c r="HO1106" s="10"/>
      <c r="HP1106" s="10"/>
      <c r="HQ1106" s="10"/>
      <c r="HR1106" s="10"/>
      <c r="HS1106" s="10"/>
      <c r="HT1106" s="10"/>
      <c r="HU1106" s="10"/>
      <c r="HV1106" s="10"/>
      <c r="HW1106" s="10"/>
      <c r="HX1106" s="10"/>
      <c r="HY1106" s="10"/>
      <c r="HZ1106" s="10"/>
      <c r="IA1106" s="10"/>
      <c r="IB1106" s="10"/>
      <c r="IC1106" s="10"/>
      <c r="ID1106" s="10"/>
      <c r="IE1106" s="10"/>
      <c r="IF1106" s="10"/>
      <c r="IG1106" s="10"/>
      <c r="IH1106" s="10"/>
      <c r="II1106" s="10"/>
      <c r="IJ1106" s="10"/>
      <c r="IK1106" s="10"/>
      <c r="IL1106" s="10"/>
      <c r="IM1106" s="10"/>
      <c r="IN1106" s="10"/>
      <c r="IO1106" s="10"/>
      <c r="IP1106" s="10"/>
      <c r="IQ1106" s="10"/>
      <c r="IR1106" s="10"/>
      <c r="IS1106" s="10"/>
      <c r="IT1106" s="10"/>
      <c r="IU1106" s="10"/>
    </row>
    <row r="1107" spans="1:255" s="37" customFormat="1" ht="18.75" customHeight="1">
      <c r="A1107" s="29">
        <f>A1105+1</f>
        <v>1083</v>
      </c>
      <c r="B1107" s="30"/>
      <c r="C1107" s="30" t="s">
        <v>617</v>
      </c>
      <c r="D1107" s="30" t="s">
        <v>1676</v>
      </c>
      <c r="E1107" s="31">
        <v>43105</v>
      </c>
      <c r="F1107" s="30" t="s">
        <v>835</v>
      </c>
      <c r="G1107" s="30" t="s">
        <v>836</v>
      </c>
      <c r="H1107" s="30" t="s">
        <v>858</v>
      </c>
      <c r="I1107" s="29">
        <v>511926</v>
      </c>
      <c r="J1107" s="29">
        <v>10</v>
      </c>
      <c r="K1107" s="29">
        <v>51193</v>
      </c>
      <c r="L1107" s="38"/>
      <c r="M1107" s="39"/>
      <c r="N1107" s="40"/>
      <c r="O1107" s="35"/>
      <c r="P1107" s="36"/>
      <c r="Q1107" s="36"/>
      <c r="T1107" s="36"/>
    </row>
    <row r="1108" spans="1:255" s="37" customFormat="1" ht="18.75" customHeight="1">
      <c r="A1108" s="29">
        <f>A1107+1</f>
        <v>1084</v>
      </c>
      <c r="B1108" s="30"/>
      <c r="C1108" s="30" t="s">
        <v>1335</v>
      </c>
      <c r="D1108" s="30" t="s">
        <v>1755</v>
      </c>
      <c r="E1108" s="31">
        <v>43106</v>
      </c>
      <c r="F1108" s="30" t="s">
        <v>1337</v>
      </c>
      <c r="G1108" s="30" t="s">
        <v>1338</v>
      </c>
      <c r="H1108" s="30" t="s">
        <v>1478</v>
      </c>
      <c r="I1108" s="29">
        <v>913182</v>
      </c>
      <c r="J1108" s="29">
        <v>10</v>
      </c>
      <c r="K1108" s="29">
        <v>91318</v>
      </c>
      <c r="L1108" s="38"/>
      <c r="M1108" s="39"/>
      <c r="N1108" s="40"/>
      <c r="O1108" s="35"/>
      <c r="P1108" s="36"/>
      <c r="Q1108" s="36"/>
      <c r="T1108" s="36"/>
    </row>
    <row r="1109" spans="1:255" s="37" customFormat="1" ht="18.75" customHeight="1">
      <c r="A1109" s="29">
        <f t="shared" ref="A1109:A1172" si="21">A1108+1</f>
        <v>1085</v>
      </c>
      <c r="B1109" s="30"/>
      <c r="C1109" s="30" t="s">
        <v>366</v>
      </c>
      <c r="D1109" s="30" t="s">
        <v>1756</v>
      </c>
      <c r="E1109" s="31">
        <v>43109</v>
      </c>
      <c r="F1109" s="30" t="s">
        <v>1526</v>
      </c>
      <c r="G1109" s="30" t="s">
        <v>1527</v>
      </c>
      <c r="H1109" s="30" t="s">
        <v>1528</v>
      </c>
      <c r="I1109" s="29">
        <v>7058625</v>
      </c>
      <c r="J1109" s="29">
        <v>10</v>
      </c>
      <c r="K1109" s="29">
        <v>705863</v>
      </c>
      <c r="L1109" s="38"/>
      <c r="M1109" s="39"/>
      <c r="N1109" s="40"/>
      <c r="O1109" s="35"/>
      <c r="P1109" s="36"/>
      <c r="Q1109" s="36"/>
      <c r="T1109" s="36"/>
    </row>
    <row r="1110" spans="1:255" s="37" customFormat="1" ht="18.75" customHeight="1">
      <c r="A1110" s="29">
        <f t="shared" si="21"/>
        <v>1086</v>
      </c>
      <c r="B1110" s="30"/>
      <c r="C1110" s="30" t="s">
        <v>1335</v>
      </c>
      <c r="D1110" s="30" t="s">
        <v>1757</v>
      </c>
      <c r="E1110" s="31">
        <v>43111</v>
      </c>
      <c r="F1110" s="30" t="s">
        <v>1337</v>
      </c>
      <c r="G1110" s="30" t="s">
        <v>1338</v>
      </c>
      <c r="H1110" s="30" t="s">
        <v>1478</v>
      </c>
      <c r="I1110" s="29">
        <v>913182</v>
      </c>
      <c r="J1110" s="29">
        <v>10</v>
      </c>
      <c r="K1110" s="29">
        <v>91318</v>
      </c>
      <c r="L1110" s="38"/>
      <c r="M1110" s="39"/>
      <c r="N1110" s="40"/>
      <c r="O1110" s="35"/>
      <c r="P1110" s="36"/>
      <c r="Q1110" s="36"/>
      <c r="T1110" s="36"/>
    </row>
    <row r="1111" spans="1:255" s="37" customFormat="1" ht="18.75" customHeight="1">
      <c r="A1111" s="29">
        <f t="shared" si="21"/>
        <v>1087</v>
      </c>
      <c r="B1111" s="30"/>
      <c r="C1111" s="30" t="s">
        <v>1250</v>
      </c>
      <c r="D1111" s="30" t="s">
        <v>1758</v>
      </c>
      <c r="E1111" s="31">
        <v>43112</v>
      </c>
      <c r="F1111" s="30" t="s">
        <v>333</v>
      </c>
      <c r="G1111" s="30" t="s">
        <v>334</v>
      </c>
      <c r="H1111" s="30" t="s">
        <v>134</v>
      </c>
      <c r="I1111" s="29">
        <v>2824000</v>
      </c>
      <c r="J1111" s="29">
        <v>10</v>
      </c>
      <c r="K1111" s="29">
        <v>282400</v>
      </c>
      <c r="L1111" s="38"/>
      <c r="M1111" s="39"/>
      <c r="N1111" s="40"/>
      <c r="O1111" s="35"/>
      <c r="P1111" s="36"/>
      <c r="Q1111" s="36"/>
      <c r="T1111" s="36"/>
    </row>
    <row r="1112" spans="1:255" s="37" customFormat="1" ht="18.75" customHeight="1">
      <c r="A1112" s="29">
        <f t="shared" si="21"/>
        <v>1088</v>
      </c>
      <c r="B1112" s="30"/>
      <c r="C1112" s="30" t="s">
        <v>69</v>
      </c>
      <c r="D1112" s="30" t="s">
        <v>1759</v>
      </c>
      <c r="E1112" s="31">
        <v>43112</v>
      </c>
      <c r="F1112" s="30" t="s">
        <v>71</v>
      </c>
      <c r="G1112" s="30" t="s">
        <v>72</v>
      </c>
      <c r="H1112" s="30" t="s">
        <v>1350</v>
      </c>
      <c r="I1112" s="29">
        <v>2000000</v>
      </c>
      <c r="J1112" s="29">
        <v>10</v>
      </c>
      <c r="K1112" s="29">
        <v>200000</v>
      </c>
      <c r="L1112" s="38"/>
      <c r="M1112" s="39"/>
      <c r="N1112" s="40"/>
      <c r="O1112" s="35"/>
      <c r="P1112" s="36"/>
      <c r="Q1112" s="36"/>
      <c r="T1112" s="36"/>
    </row>
    <row r="1113" spans="1:255" s="37" customFormat="1" ht="18.75" customHeight="1">
      <c r="A1113" s="29">
        <f t="shared" si="21"/>
        <v>1089</v>
      </c>
      <c r="B1113" s="30"/>
      <c r="C1113" s="30" t="s">
        <v>726</v>
      </c>
      <c r="D1113" s="30" t="s">
        <v>1760</v>
      </c>
      <c r="E1113" s="31">
        <v>43113</v>
      </c>
      <c r="F1113" s="30" t="s">
        <v>63</v>
      </c>
      <c r="G1113" s="30" t="s">
        <v>64</v>
      </c>
      <c r="H1113" s="30" t="s">
        <v>1761</v>
      </c>
      <c r="I1113" s="29">
        <v>13636364</v>
      </c>
      <c r="J1113" s="29">
        <v>10</v>
      </c>
      <c r="K1113" s="29">
        <v>1363636</v>
      </c>
      <c r="L1113" s="38"/>
      <c r="M1113" s="39"/>
      <c r="N1113" s="40"/>
      <c r="O1113" s="35"/>
      <c r="P1113" s="36"/>
      <c r="Q1113" s="36"/>
      <c r="T1113" s="36"/>
    </row>
    <row r="1114" spans="1:255" s="37" customFormat="1" ht="18.75" customHeight="1">
      <c r="A1114" s="29">
        <f t="shared" si="21"/>
        <v>1090</v>
      </c>
      <c r="B1114" s="30"/>
      <c r="C1114" s="30" t="s">
        <v>54</v>
      </c>
      <c r="D1114" s="30" t="s">
        <v>1762</v>
      </c>
      <c r="E1114" s="31">
        <v>43115</v>
      </c>
      <c r="F1114" s="30" t="s">
        <v>56</v>
      </c>
      <c r="G1114" s="30" t="s">
        <v>57</v>
      </c>
      <c r="H1114" s="30" t="s">
        <v>1667</v>
      </c>
      <c r="I1114" s="29">
        <v>6526250</v>
      </c>
      <c r="J1114" s="29">
        <v>10</v>
      </c>
      <c r="K1114" s="29">
        <v>652625</v>
      </c>
      <c r="L1114" s="38"/>
      <c r="M1114" s="39"/>
      <c r="N1114" s="40"/>
      <c r="O1114" s="35"/>
      <c r="P1114" s="36"/>
      <c r="Q1114" s="36"/>
      <c r="T1114" s="36"/>
    </row>
    <row r="1115" spans="1:255" s="37" customFormat="1" ht="18.75" customHeight="1">
      <c r="A1115" s="29">
        <f t="shared" si="21"/>
        <v>1091</v>
      </c>
      <c r="B1115" s="30"/>
      <c r="C1115" s="30" t="s">
        <v>54</v>
      </c>
      <c r="D1115" s="30" t="s">
        <v>1763</v>
      </c>
      <c r="E1115" s="31">
        <v>43116</v>
      </c>
      <c r="F1115" s="30" t="s">
        <v>56</v>
      </c>
      <c r="G1115" s="30" t="s">
        <v>57</v>
      </c>
      <c r="H1115" s="30" t="s">
        <v>1667</v>
      </c>
      <c r="I1115" s="29">
        <v>16439150</v>
      </c>
      <c r="J1115" s="29">
        <v>10</v>
      </c>
      <c r="K1115" s="29">
        <v>1643915</v>
      </c>
      <c r="L1115" s="38"/>
      <c r="M1115" s="39"/>
      <c r="N1115" s="40"/>
      <c r="O1115" s="35"/>
      <c r="P1115" s="36"/>
      <c r="Q1115" s="36"/>
      <c r="T1115" s="36"/>
    </row>
    <row r="1116" spans="1:255" s="37" customFormat="1" ht="18.75" customHeight="1">
      <c r="A1116" s="29">
        <f t="shared" si="21"/>
        <v>1092</v>
      </c>
      <c r="B1116" s="30"/>
      <c r="C1116" s="30" t="s">
        <v>278</v>
      </c>
      <c r="D1116" s="30" t="s">
        <v>1764</v>
      </c>
      <c r="E1116" s="31">
        <v>43122</v>
      </c>
      <c r="F1116" s="30" t="s">
        <v>280</v>
      </c>
      <c r="G1116" s="30" t="s">
        <v>281</v>
      </c>
      <c r="H1116" s="30" t="s">
        <v>1528</v>
      </c>
      <c r="I1116" s="29">
        <v>5882350</v>
      </c>
      <c r="J1116" s="29">
        <v>10</v>
      </c>
      <c r="K1116" s="29">
        <v>588235</v>
      </c>
      <c r="L1116" s="38"/>
      <c r="M1116" s="39"/>
      <c r="N1116" s="40"/>
      <c r="O1116" s="35"/>
      <c r="P1116" s="36"/>
      <c r="Q1116" s="36"/>
      <c r="T1116" s="36"/>
    </row>
    <row r="1117" spans="1:255" s="37" customFormat="1" ht="18.75" customHeight="1">
      <c r="A1117" s="29">
        <f t="shared" si="21"/>
        <v>1093</v>
      </c>
      <c r="B1117" s="30"/>
      <c r="C1117" s="30" t="s">
        <v>54</v>
      </c>
      <c r="D1117" s="30" t="s">
        <v>1765</v>
      </c>
      <c r="E1117" s="31">
        <v>43126</v>
      </c>
      <c r="F1117" s="30" t="s">
        <v>56</v>
      </c>
      <c r="G1117" s="30" t="s">
        <v>57</v>
      </c>
      <c r="H1117" s="30" t="s">
        <v>1667</v>
      </c>
      <c r="I1117" s="29">
        <v>12093124</v>
      </c>
      <c r="J1117" s="29">
        <v>10</v>
      </c>
      <c r="K1117" s="29">
        <v>1209312</v>
      </c>
      <c r="L1117" s="38"/>
      <c r="M1117" s="39"/>
      <c r="N1117" s="40"/>
      <c r="O1117" s="35"/>
      <c r="P1117" s="36"/>
      <c r="Q1117" s="36"/>
      <c r="T1117" s="36"/>
    </row>
    <row r="1118" spans="1:255" s="37" customFormat="1" ht="18.75" customHeight="1">
      <c r="A1118" s="29">
        <f t="shared" si="21"/>
        <v>1094</v>
      </c>
      <c r="B1118" s="30"/>
      <c r="C1118" s="30" t="s">
        <v>1335</v>
      </c>
      <c r="D1118" s="30" t="s">
        <v>1766</v>
      </c>
      <c r="E1118" s="31">
        <v>43127</v>
      </c>
      <c r="F1118" s="30" t="s">
        <v>1337</v>
      </c>
      <c r="G1118" s="30" t="s">
        <v>1338</v>
      </c>
      <c r="H1118" s="30" t="s">
        <v>1478</v>
      </c>
      <c r="I1118" s="29">
        <v>1111636</v>
      </c>
      <c r="J1118" s="29">
        <v>10</v>
      </c>
      <c r="K1118" s="29">
        <v>111164</v>
      </c>
      <c r="L1118" s="38"/>
      <c r="M1118" s="39"/>
      <c r="N1118" s="40"/>
      <c r="O1118" s="35"/>
      <c r="P1118" s="36"/>
      <c r="Q1118" s="36"/>
      <c r="T1118" s="36"/>
    </row>
    <row r="1119" spans="1:255" s="37" customFormat="1" ht="18.75" customHeight="1">
      <c r="A1119" s="29">
        <f t="shared" si="21"/>
        <v>1095</v>
      </c>
      <c r="B1119" s="30"/>
      <c r="C1119" s="30" t="s">
        <v>726</v>
      </c>
      <c r="D1119" s="30" t="s">
        <v>1767</v>
      </c>
      <c r="E1119" s="31">
        <v>43130</v>
      </c>
      <c r="F1119" s="30" t="s">
        <v>63</v>
      </c>
      <c r="G1119" s="30" t="s">
        <v>64</v>
      </c>
      <c r="H1119" s="30" t="s">
        <v>1761</v>
      </c>
      <c r="I1119" s="29">
        <v>13181818</v>
      </c>
      <c r="J1119" s="29">
        <v>10</v>
      </c>
      <c r="K1119" s="29">
        <v>1318182</v>
      </c>
      <c r="L1119" s="38"/>
      <c r="M1119" s="39"/>
      <c r="N1119" s="40"/>
      <c r="O1119" s="35"/>
      <c r="P1119" s="36"/>
      <c r="Q1119" s="36"/>
      <c r="T1119" s="36"/>
    </row>
    <row r="1120" spans="1:255" s="37" customFormat="1">
      <c r="A1120" s="29">
        <f t="shared" si="21"/>
        <v>1096</v>
      </c>
      <c r="B1120" s="30"/>
      <c r="C1120" s="30" t="s">
        <v>726</v>
      </c>
      <c r="D1120" s="30" t="s">
        <v>1768</v>
      </c>
      <c r="E1120" s="31">
        <v>43131</v>
      </c>
      <c r="F1120" s="30" t="s">
        <v>63</v>
      </c>
      <c r="G1120" s="30" t="s">
        <v>64</v>
      </c>
      <c r="H1120" s="30" t="s">
        <v>1769</v>
      </c>
      <c r="I1120" s="29">
        <v>39463636</v>
      </c>
      <c r="J1120" s="29">
        <v>10</v>
      </c>
      <c r="K1120" s="29">
        <v>3946364</v>
      </c>
      <c r="L1120" s="38" t="s">
        <v>52</v>
      </c>
      <c r="M1120" s="39">
        <v>43158</v>
      </c>
      <c r="N1120" s="40" t="s">
        <v>1770</v>
      </c>
      <c r="O1120" s="35"/>
      <c r="P1120" s="36"/>
      <c r="Q1120" s="36"/>
      <c r="T1120" s="36"/>
    </row>
    <row r="1121" spans="1:20" s="37" customFormat="1" ht="18.75" customHeight="1">
      <c r="A1121" s="29">
        <f t="shared" si="21"/>
        <v>1097</v>
      </c>
      <c r="B1121" s="30"/>
      <c r="C1121" s="30" t="s">
        <v>54</v>
      </c>
      <c r="D1121" s="30" t="s">
        <v>1771</v>
      </c>
      <c r="E1121" s="31">
        <v>43131</v>
      </c>
      <c r="F1121" s="30" t="s">
        <v>56</v>
      </c>
      <c r="G1121" s="30" t="s">
        <v>57</v>
      </c>
      <c r="H1121" s="30" t="s">
        <v>1667</v>
      </c>
      <c r="I1121" s="29">
        <v>11482700</v>
      </c>
      <c r="J1121" s="29">
        <v>10</v>
      </c>
      <c r="K1121" s="29">
        <v>1148270</v>
      </c>
      <c r="L1121" s="38"/>
      <c r="M1121" s="39"/>
      <c r="N1121" s="40"/>
      <c r="O1121" s="35"/>
      <c r="P1121" s="36"/>
      <c r="Q1121" s="36"/>
      <c r="T1121" s="36"/>
    </row>
    <row r="1122" spans="1:20" s="37" customFormat="1" ht="18.75" customHeight="1">
      <c r="A1122" s="29">
        <f t="shared" si="21"/>
        <v>1098</v>
      </c>
      <c r="B1122" s="30"/>
      <c r="C1122" s="30" t="s">
        <v>202</v>
      </c>
      <c r="D1122" s="30" t="s">
        <v>1772</v>
      </c>
      <c r="E1122" s="31">
        <v>43131</v>
      </c>
      <c r="F1122" s="30" t="s">
        <v>84</v>
      </c>
      <c r="G1122" s="30" t="s">
        <v>85</v>
      </c>
      <c r="H1122" s="30" t="s">
        <v>1055</v>
      </c>
      <c r="I1122" s="29">
        <v>1957431</v>
      </c>
      <c r="J1122" s="29">
        <v>10</v>
      </c>
      <c r="K1122" s="29">
        <v>195743</v>
      </c>
      <c r="L1122" s="38"/>
      <c r="M1122" s="39"/>
      <c r="N1122" s="40"/>
      <c r="O1122" s="35"/>
      <c r="P1122" s="36"/>
      <c r="Q1122" s="36"/>
      <c r="T1122" s="36"/>
    </row>
    <row r="1123" spans="1:20" s="37" customFormat="1" ht="18.75" customHeight="1">
      <c r="A1123" s="29">
        <f t="shared" si="21"/>
        <v>1099</v>
      </c>
      <c r="B1123" s="30"/>
      <c r="C1123" s="30" t="s">
        <v>1773</v>
      </c>
      <c r="D1123" s="30" t="s">
        <v>1774</v>
      </c>
      <c r="E1123" s="31">
        <v>43132</v>
      </c>
      <c r="F1123" s="30" t="s">
        <v>89</v>
      </c>
      <c r="G1123" s="30" t="s">
        <v>90</v>
      </c>
      <c r="H1123" s="30" t="s">
        <v>858</v>
      </c>
      <c r="I1123" s="29">
        <v>203636</v>
      </c>
      <c r="J1123" s="29">
        <v>10</v>
      </c>
      <c r="K1123" s="29">
        <v>20364</v>
      </c>
      <c r="L1123" s="38"/>
      <c r="M1123" s="39"/>
      <c r="N1123" s="40"/>
      <c r="O1123" s="35"/>
      <c r="P1123" s="36"/>
      <c r="Q1123" s="36"/>
      <c r="T1123" s="36"/>
    </row>
    <row r="1124" spans="1:20" s="37" customFormat="1" ht="18.75" customHeight="1">
      <c r="A1124" s="29">
        <f t="shared" si="21"/>
        <v>1100</v>
      </c>
      <c r="B1124" s="30"/>
      <c r="C1124" s="30" t="s">
        <v>1773</v>
      </c>
      <c r="D1124" s="30" t="s">
        <v>1775</v>
      </c>
      <c r="E1124" s="31">
        <v>43132</v>
      </c>
      <c r="F1124" s="30" t="s">
        <v>89</v>
      </c>
      <c r="G1124" s="30" t="s">
        <v>90</v>
      </c>
      <c r="H1124" s="30" t="s">
        <v>858</v>
      </c>
      <c r="I1124" s="29">
        <v>899951</v>
      </c>
      <c r="J1124" s="29">
        <v>10</v>
      </c>
      <c r="K1124" s="29">
        <v>89995</v>
      </c>
      <c r="L1124" s="38"/>
      <c r="M1124" s="39"/>
      <c r="N1124" s="40"/>
      <c r="O1124" s="35"/>
      <c r="P1124" s="36"/>
      <c r="Q1124" s="36"/>
      <c r="T1124" s="36"/>
    </row>
    <row r="1125" spans="1:20" s="37" customFormat="1" ht="18.75" customHeight="1">
      <c r="A1125" s="29">
        <f t="shared" si="21"/>
        <v>1101</v>
      </c>
      <c r="B1125" s="30"/>
      <c r="C1125" s="30" t="s">
        <v>848</v>
      </c>
      <c r="D1125" s="30" t="s">
        <v>1776</v>
      </c>
      <c r="E1125" s="31">
        <v>43134</v>
      </c>
      <c r="F1125" s="30" t="s">
        <v>850</v>
      </c>
      <c r="G1125" s="30" t="s">
        <v>851</v>
      </c>
      <c r="H1125" s="30" t="s">
        <v>1528</v>
      </c>
      <c r="I1125" s="29">
        <v>3701749</v>
      </c>
      <c r="J1125" s="29">
        <v>10</v>
      </c>
      <c r="K1125" s="29">
        <v>370176</v>
      </c>
      <c r="L1125" s="38"/>
      <c r="M1125" s="39"/>
      <c r="N1125" s="40"/>
      <c r="O1125" s="35"/>
      <c r="P1125" s="36"/>
      <c r="Q1125" s="36"/>
      <c r="T1125" s="36"/>
    </row>
    <row r="1126" spans="1:20" s="37" customFormat="1" ht="18.75" customHeight="1">
      <c r="A1126" s="29">
        <f t="shared" si="21"/>
        <v>1102</v>
      </c>
      <c r="B1126" s="30"/>
      <c r="C1126" s="30" t="s">
        <v>502</v>
      </c>
      <c r="D1126" s="30" t="s">
        <v>1777</v>
      </c>
      <c r="E1126" s="31">
        <v>43134</v>
      </c>
      <c r="F1126" s="30" t="s">
        <v>362</v>
      </c>
      <c r="G1126" s="30" t="s">
        <v>363</v>
      </c>
      <c r="H1126" s="30" t="s">
        <v>129</v>
      </c>
      <c r="I1126" s="29">
        <v>454545</v>
      </c>
      <c r="J1126" s="29">
        <v>10</v>
      </c>
      <c r="K1126" s="29">
        <v>45455</v>
      </c>
      <c r="L1126" s="38"/>
      <c r="M1126" s="39"/>
      <c r="N1126" s="40"/>
      <c r="O1126" s="35"/>
      <c r="P1126" s="36"/>
      <c r="Q1126" s="36"/>
      <c r="T1126" s="36"/>
    </row>
    <row r="1127" spans="1:20" s="37" customFormat="1" ht="18.75" customHeight="1">
      <c r="A1127" s="29">
        <f t="shared" si="21"/>
        <v>1103</v>
      </c>
      <c r="B1127" s="30"/>
      <c r="C1127" s="30" t="s">
        <v>468</v>
      </c>
      <c r="D1127" s="30" t="s">
        <v>1778</v>
      </c>
      <c r="E1127" s="31">
        <v>43136</v>
      </c>
      <c r="F1127" s="30" t="s">
        <v>554</v>
      </c>
      <c r="G1127" s="30" t="s">
        <v>555</v>
      </c>
      <c r="H1127" s="30" t="s">
        <v>1779</v>
      </c>
      <c r="I1127" s="29">
        <v>12260000</v>
      </c>
      <c r="J1127" s="29">
        <v>10</v>
      </c>
      <c r="K1127" s="29">
        <v>1226000</v>
      </c>
      <c r="L1127" s="38"/>
      <c r="M1127" s="39"/>
      <c r="N1127" s="40"/>
      <c r="O1127" s="35"/>
      <c r="P1127" s="36"/>
      <c r="Q1127" s="36"/>
      <c r="T1127" s="36"/>
    </row>
    <row r="1128" spans="1:20" s="37" customFormat="1" ht="18.75" customHeight="1">
      <c r="A1128" s="29">
        <f t="shared" si="21"/>
        <v>1104</v>
      </c>
      <c r="B1128" s="30"/>
      <c r="C1128" s="30" t="s">
        <v>167</v>
      </c>
      <c r="D1128" s="30" t="s">
        <v>1780</v>
      </c>
      <c r="E1128" s="31">
        <v>43136</v>
      </c>
      <c r="F1128" s="30" t="s">
        <v>1781</v>
      </c>
      <c r="G1128" s="30" t="s">
        <v>1782</v>
      </c>
      <c r="H1128" s="30" t="s">
        <v>134</v>
      </c>
      <c r="I1128" s="29">
        <v>18168182</v>
      </c>
      <c r="J1128" s="29">
        <v>10</v>
      </c>
      <c r="K1128" s="29">
        <v>1816818</v>
      </c>
      <c r="L1128" s="38"/>
      <c r="M1128" s="39"/>
      <c r="N1128" s="40"/>
      <c r="O1128" s="35"/>
      <c r="P1128" s="36"/>
      <c r="Q1128" s="36"/>
      <c r="T1128" s="36"/>
    </row>
    <row r="1129" spans="1:20" s="37" customFormat="1" ht="18.75" customHeight="1">
      <c r="A1129" s="29">
        <f t="shared" si="21"/>
        <v>1105</v>
      </c>
      <c r="B1129" s="30"/>
      <c r="C1129" s="30" t="s">
        <v>502</v>
      </c>
      <c r="D1129" s="30" t="s">
        <v>1783</v>
      </c>
      <c r="E1129" s="31">
        <v>43136</v>
      </c>
      <c r="F1129" s="30" t="s">
        <v>362</v>
      </c>
      <c r="G1129" s="30" t="s">
        <v>363</v>
      </c>
      <c r="H1129" s="30" t="s">
        <v>129</v>
      </c>
      <c r="I1129" s="29">
        <v>454545</v>
      </c>
      <c r="J1129" s="29">
        <v>10</v>
      </c>
      <c r="K1129" s="29">
        <v>45455</v>
      </c>
      <c r="L1129" s="38"/>
      <c r="M1129" s="39"/>
      <c r="N1129" s="40"/>
      <c r="O1129" s="35"/>
      <c r="P1129" s="36"/>
      <c r="Q1129" s="36"/>
      <c r="T1129" s="36"/>
    </row>
    <row r="1130" spans="1:20" s="37" customFormat="1" ht="18.75" customHeight="1">
      <c r="A1130" s="29">
        <f t="shared" si="21"/>
        <v>1106</v>
      </c>
      <c r="B1130" s="30"/>
      <c r="C1130" s="30" t="s">
        <v>502</v>
      </c>
      <c r="D1130" s="30" t="s">
        <v>1784</v>
      </c>
      <c r="E1130" s="31">
        <v>43136</v>
      </c>
      <c r="F1130" s="30" t="s">
        <v>666</v>
      </c>
      <c r="G1130" s="30" t="s">
        <v>363</v>
      </c>
      <c r="H1130" s="30" t="s">
        <v>667</v>
      </c>
      <c r="I1130" s="29">
        <v>3636364</v>
      </c>
      <c r="J1130" s="29">
        <v>10</v>
      </c>
      <c r="K1130" s="29">
        <v>363636</v>
      </c>
      <c r="L1130" s="38"/>
      <c r="M1130" s="39"/>
      <c r="N1130" s="40"/>
      <c r="O1130" s="35"/>
      <c r="P1130" s="36"/>
      <c r="Q1130" s="36"/>
      <c r="T1130" s="36"/>
    </row>
    <row r="1131" spans="1:20" s="37" customFormat="1" ht="18.75" customHeight="1">
      <c r="A1131" s="29">
        <f t="shared" si="21"/>
        <v>1107</v>
      </c>
      <c r="B1131" s="30"/>
      <c r="C1131" s="30" t="s">
        <v>1689</v>
      </c>
      <c r="D1131" s="30" t="s">
        <v>1785</v>
      </c>
      <c r="E1131" s="31">
        <v>43136</v>
      </c>
      <c r="F1131" s="30" t="s">
        <v>114</v>
      </c>
      <c r="G1131" s="30" t="s">
        <v>115</v>
      </c>
      <c r="H1131" s="30" t="s">
        <v>116</v>
      </c>
      <c r="I1131" s="29">
        <v>10000</v>
      </c>
      <c r="J1131" s="29">
        <v>10</v>
      </c>
      <c r="K1131" s="29">
        <v>1000</v>
      </c>
      <c r="L1131" s="38"/>
      <c r="M1131" s="39"/>
      <c r="N1131" s="40"/>
      <c r="O1131" s="35"/>
      <c r="P1131" s="36"/>
      <c r="Q1131" s="36"/>
      <c r="T1131" s="36"/>
    </row>
    <row r="1132" spans="1:20" s="37" customFormat="1" ht="18.75" customHeight="1">
      <c r="A1132" s="29">
        <f t="shared" si="21"/>
        <v>1108</v>
      </c>
      <c r="B1132" s="30"/>
      <c r="C1132" s="30" t="s">
        <v>1689</v>
      </c>
      <c r="D1132" s="30" t="s">
        <v>1786</v>
      </c>
      <c r="E1132" s="31">
        <v>43136</v>
      </c>
      <c r="F1132" s="30" t="s">
        <v>114</v>
      </c>
      <c r="G1132" s="30" t="s">
        <v>115</v>
      </c>
      <c r="H1132" s="30" t="s">
        <v>116</v>
      </c>
      <c r="I1132" s="29">
        <v>10000</v>
      </c>
      <c r="J1132" s="29">
        <v>10</v>
      </c>
      <c r="K1132" s="29">
        <v>1000</v>
      </c>
      <c r="L1132" s="38"/>
      <c r="M1132" s="39"/>
      <c r="N1132" s="40"/>
      <c r="O1132" s="35"/>
      <c r="P1132" s="36"/>
      <c r="Q1132" s="36"/>
      <c r="T1132" s="36"/>
    </row>
    <row r="1133" spans="1:20" s="37" customFormat="1" ht="18.75" customHeight="1">
      <c r="A1133" s="29">
        <f t="shared" si="21"/>
        <v>1109</v>
      </c>
      <c r="B1133" s="30"/>
      <c r="C1133" s="30" t="s">
        <v>93</v>
      </c>
      <c r="D1133" s="30" t="s">
        <v>1787</v>
      </c>
      <c r="E1133" s="31">
        <v>43136</v>
      </c>
      <c r="F1133" s="30" t="s">
        <v>49</v>
      </c>
      <c r="G1133" s="30" t="s">
        <v>50</v>
      </c>
      <c r="H1133" s="30" t="s">
        <v>1788</v>
      </c>
      <c r="I1133" s="29">
        <v>152720000</v>
      </c>
      <c r="J1133" s="29">
        <v>10</v>
      </c>
      <c r="K1133" s="29">
        <v>15272000</v>
      </c>
      <c r="L1133" s="38" t="s">
        <v>52</v>
      </c>
      <c r="M1133" s="39">
        <v>43210</v>
      </c>
      <c r="N1133" s="40" t="s">
        <v>1770</v>
      </c>
      <c r="O1133" s="35"/>
      <c r="P1133" s="36"/>
      <c r="Q1133" s="36"/>
      <c r="T1133" s="36"/>
    </row>
    <row r="1134" spans="1:20" s="37" customFormat="1" ht="18.75" customHeight="1">
      <c r="A1134" s="29">
        <f t="shared" si="21"/>
        <v>1110</v>
      </c>
      <c r="B1134" s="30"/>
      <c r="C1134" s="30" t="s">
        <v>468</v>
      </c>
      <c r="D1134" s="30" t="s">
        <v>1789</v>
      </c>
      <c r="E1134" s="31">
        <v>43137</v>
      </c>
      <c r="F1134" s="30" t="s">
        <v>554</v>
      </c>
      <c r="G1134" s="30" t="s">
        <v>555</v>
      </c>
      <c r="H1134" s="30" t="s">
        <v>1790</v>
      </c>
      <c r="I1134" s="29">
        <v>8125000</v>
      </c>
      <c r="J1134" s="29">
        <v>10</v>
      </c>
      <c r="K1134" s="29">
        <v>812500</v>
      </c>
      <c r="L1134" s="38"/>
      <c r="M1134" s="39"/>
      <c r="N1134" s="40"/>
      <c r="O1134" s="35"/>
      <c r="P1134" s="36"/>
      <c r="Q1134" s="36"/>
      <c r="T1134" s="36"/>
    </row>
    <row r="1135" spans="1:20" s="37" customFormat="1" ht="18.75" customHeight="1">
      <c r="A1135" s="29">
        <f t="shared" si="21"/>
        <v>1111</v>
      </c>
      <c r="B1135" s="30"/>
      <c r="C1135" s="30" t="s">
        <v>167</v>
      </c>
      <c r="D1135" s="30" t="s">
        <v>1791</v>
      </c>
      <c r="E1135" s="31">
        <v>43137</v>
      </c>
      <c r="F1135" s="30" t="s">
        <v>1781</v>
      </c>
      <c r="G1135" s="30" t="s">
        <v>1782</v>
      </c>
      <c r="H1135" s="30" t="s">
        <v>134</v>
      </c>
      <c r="I1135" s="29">
        <v>7686364</v>
      </c>
      <c r="J1135" s="29">
        <v>10</v>
      </c>
      <c r="K1135" s="29">
        <v>768636</v>
      </c>
      <c r="L1135" s="38"/>
      <c r="M1135" s="39"/>
      <c r="N1135" s="40"/>
      <c r="O1135" s="35"/>
      <c r="P1135" s="36"/>
      <c r="Q1135" s="36"/>
      <c r="T1135" s="36"/>
    </row>
    <row r="1136" spans="1:20" s="37" customFormat="1" ht="18.75" customHeight="1">
      <c r="A1136" s="29">
        <f t="shared" si="21"/>
        <v>1112</v>
      </c>
      <c r="B1136" s="30"/>
      <c r="C1136" s="30" t="s">
        <v>1250</v>
      </c>
      <c r="D1136" s="30" t="s">
        <v>1792</v>
      </c>
      <c r="E1136" s="31">
        <v>43137</v>
      </c>
      <c r="F1136" s="30" t="s">
        <v>333</v>
      </c>
      <c r="G1136" s="30" t="s">
        <v>334</v>
      </c>
      <c r="H1136" s="30" t="s">
        <v>134</v>
      </c>
      <c r="I1136" s="29">
        <v>733000</v>
      </c>
      <c r="J1136" s="29">
        <v>10</v>
      </c>
      <c r="K1136" s="29">
        <v>73300</v>
      </c>
      <c r="L1136" s="38"/>
      <c r="M1136" s="39"/>
      <c r="N1136" s="40"/>
      <c r="O1136" s="35"/>
      <c r="P1136" s="36"/>
      <c r="Q1136" s="36"/>
      <c r="T1136" s="36"/>
    </row>
    <row r="1137" spans="1:20" s="37" customFormat="1" ht="18.75" customHeight="1">
      <c r="A1137" s="29">
        <f t="shared" si="21"/>
        <v>1113</v>
      </c>
      <c r="B1137" s="30"/>
      <c r="C1137" s="30" t="s">
        <v>1689</v>
      </c>
      <c r="D1137" s="30" t="s">
        <v>1793</v>
      </c>
      <c r="E1137" s="31">
        <v>43137</v>
      </c>
      <c r="F1137" s="30" t="s">
        <v>114</v>
      </c>
      <c r="G1137" s="30" t="s">
        <v>115</v>
      </c>
      <c r="H1137" s="30" t="s">
        <v>116</v>
      </c>
      <c r="I1137" s="29">
        <v>23981</v>
      </c>
      <c r="J1137" s="29">
        <v>10</v>
      </c>
      <c r="K1137" s="29">
        <v>2398</v>
      </c>
      <c r="L1137" s="38"/>
      <c r="M1137" s="39"/>
      <c r="N1137" s="40"/>
      <c r="O1137" s="35"/>
      <c r="P1137" s="36"/>
      <c r="Q1137" s="36"/>
      <c r="T1137" s="36"/>
    </row>
    <row r="1138" spans="1:20" s="37" customFormat="1" ht="18.75" customHeight="1">
      <c r="A1138" s="29">
        <f t="shared" si="21"/>
        <v>1114</v>
      </c>
      <c r="B1138" s="30"/>
      <c r="C1138" s="30" t="s">
        <v>1689</v>
      </c>
      <c r="D1138" s="30" t="s">
        <v>1794</v>
      </c>
      <c r="E1138" s="31">
        <v>43137</v>
      </c>
      <c r="F1138" s="30" t="s">
        <v>114</v>
      </c>
      <c r="G1138" s="30" t="s">
        <v>115</v>
      </c>
      <c r="H1138" s="30" t="s">
        <v>116</v>
      </c>
      <c r="I1138" s="29">
        <v>63000</v>
      </c>
      <c r="J1138" s="29">
        <v>10</v>
      </c>
      <c r="K1138" s="29">
        <v>6300</v>
      </c>
      <c r="L1138" s="38"/>
      <c r="M1138" s="39"/>
      <c r="N1138" s="40"/>
      <c r="O1138" s="35"/>
      <c r="P1138" s="36"/>
      <c r="Q1138" s="36"/>
      <c r="T1138" s="36"/>
    </row>
    <row r="1139" spans="1:20" s="37" customFormat="1" ht="18.75" customHeight="1">
      <c r="A1139" s="29">
        <f t="shared" si="21"/>
        <v>1115</v>
      </c>
      <c r="B1139" s="30"/>
      <c r="C1139" s="30" t="s">
        <v>1689</v>
      </c>
      <c r="D1139" s="30" t="s">
        <v>1795</v>
      </c>
      <c r="E1139" s="31">
        <v>43137</v>
      </c>
      <c r="F1139" s="30" t="s">
        <v>114</v>
      </c>
      <c r="G1139" s="30" t="s">
        <v>115</v>
      </c>
      <c r="H1139" s="30" t="s">
        <v>116</v>
      </c>
      <c r="I1139" s="29">
        <v>10000</v>
      </c>
      <c r="J1139" s="29">
        <v>10</v>
      </c>
      <c r="K1139" s="29">
        <v>1000</v>
      </c>
      <c r="L1139" s="38"/>
      <c r="M1139" s="39"/>
      <c r="N1139" s="40"/>
      <c r="O1139" s="35"/>
      <c r="P1139" s="36"/>
      <c r="Q1139" s="36"/>
      <c r="T1139" s="36"/>
    </row>
    <row r="1140" spans="1:20" s="37" customFormat="1" ht="18.75" customHeight="1">
      <c r="A1140" s="29">
        <f t="shared" si="21"/>
        <v>1116</v>
      </c>
      <c r="B1140" s="30"/>
      <c r="C1140" s="30" t="s">
        <v>1689</v>
      </c>
      <c r="D1140" s="30" t="s">
        <v>1796</v>
      </c>
      <c r="E1140" s="31">
        <v>43137</v>
      </c>
      <c r="F1140" s="30" t="s">
        <v>114</v>
      </c>
      <c r="G1140" s="30" t="s">
        <v>115</v>
      </c>
      <c r="H1140" s="30" t="s">
        <v>116</v>
      </c>
      <c r="I1140" s="29">
        <v>10000</v>
      </c>
      <c r="J1140" s="29">
        <v>10</v>
      </c>
      <c r="K1140" s="29">
        <v>1000</v>
      </c>
      <c r="L1140" s="38"/>
      <c r="M1140" s="39"/>
      <c r="N1140" s="40"/>
      <c r="O1140" s="35"/>
      <c r="P1140" s="36"/>
      <c r="Q1140" s="36"/>
      <c r="T1140" s="36"/>
    </row>
    <row r="1141" spans="1:20" s="37" customFormat="1" ht="18.75" customHeight="1">
      <c r="A1141" s="29">
        <f t="shared" si="21"/>
        <v>1117</v>
      </c>
      <c r="B1141" s="30"/>
      <c r="C1141" s="30" t="s">
        <v>1689</v>
      </c>
      <c r="D1141" s="30" t="s">
        <v>1797</v>
      </c>
      <c r="E1141" s="31">
        <v>43137</v>
      </c>
      <c r="F1141" s="30" t="s">
        <v>114</v>
      </c>
      <c r="G1141" s="30" t="s">
        <v>115</v>
      </c>
      <c r="H1141" s="30" t="s">
        <v>116</v>
      </c>
      <c r="I1141" s="29">
        <v>10000</v>
      </c>
      <c r="J1141" s="29">
        <v>10</v>
      </c>
      <c r="K1141" s="29">
        <v>1000</v>
      </c>
      <c r="L1141" s="38"/>
      <c r="M1141" s="39"/>
      <c r="N1141" s="40"/>
      <c r="O1141" s="35"/>
      <c r="P1141" s="36"/>
      <c r="Q1141" s="36"/>
      <c r="T1141" s="36"/>
    </row>
    <row r="1142" spans="1:20" s="37" customFormat="1" ht="18.75" customHeight="1">
      <c r="A1142" s="29">
        <f t="shared" si="21"/>
        <v>1118</v>
      </c>
      <c r="B1142" s="30"/>
      <c r="C1142" s="30" t="s">
        <v>69</v>
      </c>
      <c r="D1142" s="30" t="s">
        <v>1798</v>
      </c>
      <c r="E1142" s="31">
        <v>43138</v>
      </c>
      <c r="F1142" s="30" t="s">
        <v>71</v>
      </c>
      <c r="G1142" s="30" t="s">
        <v>72</v>
      </c>
      <c r="H1142" s="30" t="s">
        <v>1350</v>
      </c>
      <c r="I1142" s="29">
        <v>280000</v>
      </c>
      <c r="J1142" s="29">
        <v>10</v>
      </c>
      <c r="K1142" s="29">
        <v>28000</v>
      </c>
      <c r="L1142" s="38"/>
      <c r="M1142" s="39"/>
      <c r="N1142" s="40"/>
      <c r="O1142" s="35"/>
      <c r="P1142" s="36"/>
      <c r="Q1142" s="36"/>
      <c r="T1142" s="36"/>
    </row>
    <row r="1143" spans="1:20" s="37" customFormat="1" ht="18.75" customHeight="1">
      <c r="A1143" s="29">
        <f t="shared" si="21"/>
        <v>1119</v>
      </c>
      <c r="B1143" s="30"/>
      <c r="C1143" s="30" t="s">
        <v>167</v>
      </c>
      <c r="D1143" s="30" t="s">
        <v>564</v>
      </c>
      <c r="E1143" s="31">
        <v>43138</v>
      </c>
      <c r="F1143" s="30" t="s">
        <v>1781</v>
      </c>
      <c r="G1143" s="30" t="s">
        <v>1782</v>
      </c>
      <c r="H1143" s="30" t="s">
        <v>134</v>
      </c>
      <c r="I1143" s="29">
        <v>18109091</v>
      </c>
      <c r="J1143" s="29">
        <v>10</v>
      </c>
      <c r="K1143" s="29">
        <v>1810909</v>
      </c>
      <c r="L1143" s="38"/>
      <c r="M1143" s="39"/>
      <c r="N1143" s="40"/>
      <c r="O1143" s="35"/>
      <c r="P1143" s="36"/>
      <c r="Q1143" s="36"/>
      <c r="T1143" s="36"/>
    </row>
    <row r="1144" spans="1:20" s="37" customFormat="1" ht="18.75" customHeight="1">
      <c r="A1144" s="29">
        <f t="shared" si="21"/>
        <v>1120</v>
      </c>
      <c r="B1144" s="30"/>
      <c r="C1144" s="30" t="s">
        <v>468</v>
      </c>
      <c r="D1144" s="30" t="s">
        <v>1799</v>
      </c>
      <c r="E1144" s="31">
        <v>43138</v>
      </c>
      <c r="F1144" s="30" t="s">
        <v>1512</v>
      </c>
      <c r="G1144" s="30" t="s">
        <v>182</v>
      </c>
      <c r="H1144" s="30" t="s">
        <v>1541</v>
      </c>
      <c r="I1144" s="29">
        <v>801636</v>
      </c>
      <c r="J1144" s="29">
        <v>10</v>
      </c>
      <c r="K1144" s="29">
        <v>80164</v>
      </c>
      <c r="L1144" s="38"/>
      <c r="M1144" s="39"/>
      <c r="N1144" s="40"/>
      <c r="O1144" s="35"/>
      <c r="P1144" s="36"/>
      <c r="Q1144" s="36"/>
      <c r="T1144" s="36"/>
    </row>
    <row r="1145" spans="1:20" s="37" customFormat="1" ht="18.75" customHeight="1">
      <c r="A1145" s="29">
        <f t="shared" si="21"/>
        <v>1121</v>
      </c>
      <c r="B1145" s="30"/>
      <c r="C1145" s="30" t="s">
        <v>848</v>
      </c>
      <c r="D1145" s="30" t="s">
        <v>1800</v>
      </c>
      <c r="E1145" s="31">
        <v>43138</v>
      </c>
      <c r="F1145" s="30" t="s">
        <v>850</v>
      </c>
      <c r="G1145" s="30" t="s">
        <v>851</v>
      </c>
      <c r="H1145" s="30" t="s">
        <v>1528</v>
      </c>
      <c r="I1145" s="29">
        <v>295685</v>
      </c>
      <c r="J1145" s="29">
        <v>10</v>
      </c>
      <c r="K1145" s="29">
        <v>29569</v>
      </c>
      <c r="L1145" s="38"/>
      <c r="M1145" s="39"/>
      <c r="N1145" s="40"/>
      <c r="O1145" s="35"/>
      <c r="P1145" s="36"/>
      <c r="Q1145" s="36"/>
      <c r="T1145" s="36"/>
    </row>
    <row r="1146" spans="1:20" s="37" customFormat="1" ht="18.75" customHeight="1">
      <c r="A1146" s="29">
        <f t="shared" si="21"/>
        <v>1122</v>
      </c>
      <c r="B1146" s="30"/>
      <c r="C1146" s="30" t="s">
        <v>617</v>
      </c>
      <c r="D1146" s="30" t="s">
        <v>1801</v>
      </c>
      <c r="E1146" s="31">
        <v>43138</v>
      </c>
      <c r="F1146" s="30" t="s">
        <v>835</v>
      </c>
      <c r="G1146" s="30" t="s">
        <v>836</v>
      </c>
      <c r="H1146" s="30" t="s">
        <v>858</v>
      </c>
      <c r="I1146" s="29">
        <v>234770</v>
      </c>
      <c r="J1146" s="29">
        <v>10</v>
      </c>
      <c r="K1146" s="29">
        <v>23477</v>
      </c>
      <c r="L1146" s="38"/>
      <c r="M1146" s="39"/>
      <c r="N1146" s="40"/>
      <c r="O1146" s="35"/>
      <c r="P1146" s="36"/>
      <c r="Q1146" s="36"/>
      <c r="T1146" s="36"/>
    </row>
    <row r="1147" spans="1:20" s="37" customFormat="1" ht="18.75" customHeight="1">
      <c r="A1147" s="29">
        <f t="shared" si="21"/>
        <v>1123</v>
      </c>
      <c r="B1147" s="30"/>
      <c r="C1147" s="30" t="s">
        <v>617</v>
      </c>
      <c r="D1147" s="30" t="s">
        <v>1802</v>
      </c>
      <c r="E1147" s="31">
        <v>43138</v>
      </c>
      <c r="F1147" s="30" t="s">
        <v>835</v>
      </c>
      <c r="G1147" s="30" t="s">
        <v>836</v>
      </c>
      <c r="H1147" s="30" t="s">
        <v>858</v>
      </c>
      <c r="I1147" s="29">
        <v>301428</v>
      </c>
      <c r="J1147" s="29">
        <v>10</v>
      </c>
      <c r="K1147" s="29">
        <v>30143</v>
      </c>
      <c r="L1147" s="38"/>
      <c r="M1147" s="39"/>
      <c r="N1147" s="40"/>
      <c r="O1147" s="35"/>
      <c r="P1147" s="36"/>
      <c r="Q1147" s="36"/>
      <c r="T1147" s="36"/>
    </row>
    <row r="1148" spans="1:20" s="37" customFormat="1" ht="18.75" customHeight="1">
      <c r="A1148" s="29">
        <f t="shared" si="21"/>
        <v>1124</v>
      </c>
      <c r="B1148" s="30"/>
      <c r="C1148" s="30" t="s">
        <v>204</v>
      </c>
      <c r="D1148" s="30" t="s">
        <v>1803</v>
      </c>
      <c r="E1148" s="31">
        <v>43139</v>
      </c>
      <c r="F1148" s="30" t="s">
        <v>206</v>
      </c>
      <c r="G1148" s="30" t="s">
        <v>207</v>
      </c>
      <c r="H1148" s="30" t="s">
        <v>1804</v>
      </c>
      <c r="I1148" s="29">
        <v>482615920</v>
      </c>
      <c r="J1148" s="29">
        <v>10</v>
      </c>
      <c r="K1148" s="29">
        <v>48261592</v>
      </c>
      <c r="L1148" s="38" t="s">
        <v>52</v>
      </c>
      <c r="M1148" s="39">
        <v>43158</v>
      </c>
      <c r="N1148" s="40" t="s">
        <v>1770</v>
      </c>
      <c r="O1148" s="35"/>
      <c r="P1148" s="36"/>
      <c r="Q1148" s="36"/>
      <c r="T1148" s="36"/>
    </row>
    <row r="1149" spans="1:20" s="37" customFormat="1" ht="18.75" customHeight="1">
      <c r="A1149" s="29">
        <f t="shared" si="21"/>
        <v>1125</v>
      </c>
      <c r="B1149" s="30"/>
      <c r="C1149" s="30" t="s">
        <v>1805</v>
      </c>
      <c r="D1149" s="30" t="s">
        <v>1806</v>
      </c>
      <c r="E1149" s="31">
        <v>43139</v>
      </c>
      <c r="F1149" s="30" t="s">
        <v>1807</v>
      </c>
      <c r="G1149" s="30" t="s">
        <v>1808</v>
      </c>
      <c r="H1149" s="30" t="s">
        <v>1809</v>
      </c>
      <c r="I1149" s="29">
        <v>2000000</v>
      </c>
      <c r="J1149" s="29">
        <v>10</v>
      </c>
      <c r="K1149" s="29">
        <v>200000</v>
      </c>
      <c r="L1149" s="38"/>
      <c r="M1149" s="39"/>
      <c r="N1149" s="40"/>
      <c r="O1149" s="35"/>
      <c r="P1149" s="36"/>
      <c r="Q1149" s="36"/>
      <c r="T1149" s="36"/>
    </row>
    <row r="1150" spans="1:20" s="37" customFormat="1" ht="18.75" customHeight="1">
      <c r="A1150" s="29">
        <f t="shared" si="21"/>
        <v>1126</v>
      </c>
      <c r="B1150" s="30"/>
      <c r="C1150" s="30" t="s">
        <v>119</v>
      </c>
      <c r="D1150" s="30" t="s">
        <v>1810</v>
      </c>
      <c r="E1150" s="31">
        <v>43139</v>
      </c>
      <c r="F1150" s="30" t="s">
        <v>121</v>
      </c>
      <c r="G1150" s="30" t="s">
        <v>122</v>
      </c>
      <c r="H1150" s="30" t="s">
        <v>1811</v>
      </c>
      <c r="I1150" s="29">
        <v>545467896</v>
      </c>
      <c r="J1150" s="29">
        <v>10</v>
      </c>
      <c r="K1150" s="29">
        <v>54546789</v>
      </c>
      <c r="L1150" s="38" t="s">
        <v>52</v>
      </c>
      <c r="M1150" s="39">
        <v>43158</v>
      </c>
      <c r="N1150" s="40" t="s">
        <v>1770</v>
      </c>
      <c r="O1150" s="35"/>
      <c r="P1150" s="36"/>
      <c r="Q1150" s="36"/>
      <c r="T1150" s="36"/>
    </row>
    <row r="1151" spans="1:20" s="37" customFormat="1" ht="18.75" customHeight="1">
      <c r="A1151" s="29">
        <f t="shared" si="21"/>
        <v>1127</v>
      </c>
      <c r="B1151" s="30"/>
      <c r="C1151" s="30" t="s">
        <v>69</v>
      </c>
      <c r="D1151" s="30" t="s">
        <v>1812</v>
      </c>
      <c r="E1151" s="31">
        <v>43139</v>
      </c>
      <c r="F1151" s="30" t="s">
        <v>71</v>
      </c>
      <c r="G1151" s="30" t="s">
        <v>72</v>
      </c>
      <c r="H1151" s="30" t="s">
        <v>1350</v>
      </c>
      <c r="I1151" s="29">
        <v>2000000</v>
      </c>
      <c r="J1151" s="29">
        <v>10</v>
      </c>
      <c r="K1151" s="29">
        <v>200000</v>
      </c>
      <c r="L1151" s="38"/>
      <c r="M1151" s="39"/>
      <c r="N1151" s="40"/>
      <c r="O1151" s="35"/>
      <c r="P1151" s="36"/>
      <c r="Q1151" s="36"/>
      <c r="T1151" s="36"/>
    </row>
    <row r="1152" spans="1:20" s="37" customFormat="1" ht="18.75" customHeight="1">
      <c r="A1152" s="29">
        <f t="shared" si="21"/>
        <v>1128</v>
      </c>
      <c r="B1152" s="30"/>
      <c r="C1152" s="30" t="s">
        <v>1813</v>
      </c>
      <c r="D1152" s="30" t="s">
        <v>1814</v>
      </c>
      <c r="E1152" s="31">
        <v>43140</v>
      </c>
      <c r="F1152" s="30" t="s">
        <v>1606</v>
      </c>
      <c r="G1152" s="30" t="s">
        <v>149</v>
      </c>
      <c r="H1152" s="30" t="s">
        <v>330</v>
      </c>
      <c r="I1152" s="29">
        <v>1800000</v>
      </c>
      <c r="J1152" s="29">
        <v>10</v>
      </c>
      <c r="K1152" s="29">
        <v>180000</v>
      </c>
      <c r="L1152" s="38"/>
      <c r="M1152" s="39"/>
      <c r="N1152" s="40"/>
      <c r="O1152" s="35"/>
      <c r="P1152" s="36"/>
      <c r="Q1152" s="36"/>
      <c r="T1152" s="36"/>
    </row>
    <row r="1153" spans="1:20" s="37" customFormat="1" ht="18.75" customHeight="1">
      <c r="A1153" s="29">
        <f t="shared" si="21"/>
        <v>1129</v>
      </c>
      <c r="B1153" s="30"/>
      <c r="C1153" s="30" t="s">
        <v>167</v>
      </c>
      <c r="D1153" s="30" t="s">
        <v>1815</v>
      </c>
      <c r="E1153" s="31">
        <v>43140</v>
      </c>
      <c r="F1153" s="30" t="s">
        <v>1781</v>
      </c>
      <c r="G1153" s="30" t="s">
        <v>1782</v>
      </c>
      <c r="H1153" s="30" t="s">
        <v>134</v>
      </c>
      <c r="I1153" s="29">
        <v>18122727</v>
      </c>
      <c r="J1153" s="29">
        <v>10</v>
      </c>
      <c r="K1153" s="29">
        <v>1812273</v>
      </c>
      <c r="L1153" s="38"/>
      <c r="M1153" s="39"/>
      <c r="N1153" s="40"/>
      <c r="O1153" s="35"/>
      <c r="P1153" s="36"/>
      <c r="Q1153" s="36"/>
      <c r="T1153" s="36"/>
    </row>
    <row r="1154" spans="1:20" s="37" customFormat="1" ht="18.75" customHeight="1">
      <c r="A1154" s="29">
        <f t="shared" si="21"/>
        <v>1130</v>
      </c>
      <c r="B1154" s="30"/>
      <c r="C1154" s="30" t="s">
        <v>1689</v>
      </c>
      <c r="D1154" s="30" t="s">
        <v>1816</v>
      </c>
      <c r="E1154" s="31">
        <v>43140</v>
      </c>
      <c r="F1154" s="30" t="s">
        <v>114</v>
      </c>
      <c r="G1154" s="30" t="s">
        <v>115</v>
      </c>
      <c r="H1154" s="30" t="s">
        <v>116</v>
      </c>
      <c r="I1154" s="29">
        <v>20896</v>
      </c>
      <c r="J1154" s="29">
        <v>10</v>
      </c>
      <c r="K1154" s="29">
        <v>2090</v>
      </c>
      <c r="L1154" s="38"/>
      <c r="M1154" s="39"/>
      <c r="N1154" s="40"/>
      <c r="O1154" s="35"/>
      <c r="P1154" s="36"/>
      <c r="Q1154" s="36"/>
      <c r="T1154" s="36"/>
    </row>
    <row r="1155" spans="1:20" s="37" customFormat="1" ht="18.75" customHeight="1">
      <c r="A1155" s="29">
        <f t="shared" si="21"/>
        <v>1131</v>
      </c>
      <c r="B1155" s="30"/>
      <c r="C1155" s="30" t="s">
        <v>1689</v>
      </c>
      <c r="D1155" s="30" t="s">
        <v>1817</v>
      </c>
      <c r="E1155" s="31">
        <v>43140</v>
      </c>
      <c r="F1155" s="30" t="s">
        <v>114</v>
      </c>
      <c r="G1155" s="30" t="s">
        <v>115</v>
      </c>
      <c r="H1155" s="30" t="s">
        <v>116</v>
      </c>
      <c r="I1155" s="29">
        <v>31391</v>
      </c>
      <c r="J1155" s="29">
        <v>10</v>
      </c>
      <c r="K1155" s="29">
        <v>3139</v>
      </c>
      <c r="L1155" s="38"/>
      <c r="M1155" s="39"/>
      <c r="N1155" s="40"/>
      <c r="O1155" s="35"/>
      <c r="P1155" s="36"/>
      <c r="Q1155" s="36"/>
      <c r="T1155" s="36"/>
    </row>
    <row r="1156" spans="1:20" s="37" customFormat="1" ht="18.75" customHeight="1">
      <c r="A1156" s="29">
        <f t="shared" si="21"/>
        <v>1132</v>
      </c>
      <c r="B1156" s="30"/>
      <c r="C1156" s="30" t="s">
        <v>93</v>
      </c>
      <c r="D1156" s="30" t="s">
        <v>1818</v>
      </c>
      <c r="E1156" s="31">
        <v>43141</v>
      </c>
      <c r="F1156" s="30" t="s">
        <v>49</v>
      </c>
      <c r="G1156" s="30" t="s">
        <v>50</v>
      </c>
      <c r="H1156" s="30" t="s">
        <v>1788</v>
      </c>
      <c r="I1156" s="29">
        <v>10880000</v>
      </c>
      <c r="J1156" s="29">
        <v>10</v>
      </c>
      <c r="K1156" s="29">
        <v>1088000</v>
      </c>
      <c r="L1156" s="38"/>
      <c r="M1156" s="39"/>
      <c r="N1156" s="40"/>
      <c r="O1156" s="35"/>
      <c r="P1156" s="36"/>
      <c r="Q1156" s="36"/>
      <c r="T1156" s="36"/>
    </row>
    <row r="1157" spans="1:20" s="37" customFormat="1" ht="18.75" customHeight="1">
      <c r="A1157" s="29">
        <f t="shared" si="21"/>
        <v>1133</v>
      </c>
      <c r="B1157" s="30"/>
      <c r="C1157" s="30" t="s">
        <v>1335</v>
      </c>
      <c r="D1157" s="30" t="s">
        <v>1819</v>
      </c>
      <c r="E1157" s="31">
        <v>43141</v>
      </c>
      <c r="F1157" s="30" t="s">
        <v>1337</v>
      </c>
      <c r="G1157" s="30" t="s">
        <v>1338</v>
      </c>
      <c r="H1157" s="30" t="s">
        <v>1478</v>
      </c>
      <c r="I1157" s="29">
        <v>1667455</v>
      </c>
      <c r="J1157" s="29">
        <v>10</v>
      </c>
      <c r="K1157" s="29">
        <v>166746</v>
      </c>
      <c r="L1157" s="38"/>
      <c r="M1157" s="39"/>
      <c r="N1157" s="40"/>
      <c r="O1157" s="35"/>
      <c r="P1157" s="36"/>
      <c r="Q1157" s="36"/>
      <c r="T1157" s="36"/>
    </row>
    <row r="1158" spans="1:20" s="37" customFormat="1" ht="18.75" customHeight="1">
      <c r="A1158" s="29">
        <f t="shared" si="21"/>
        <v>1134</v>
      </c>
      <c r="B1158" s="30"/>
      <c r="C1158" s="30" t="s">
        <v>726</v>
      </c>
      <c r="D1158" s="30" t="s">
        <v>1820</v>
      </c>
      <c r="E1158" s="31">
        <v>43143</v>
      </c>
      <c r="F1158" s="30" t="s">
        <v>63</v>
      </c>
      <c r="G1158" s="30" t="s">
        <v>64</v>
      </c>
      <c r="H1158" s="30" t="s">
        <v>1821</v>
      </c>
      <c r="I1158" s="29">
        <v>10063637</v>
      </c>
      <c r="J1158" s="29">
        <v>10</v>
      </c>
      <c r="K1158" s="29">
        <v>1006363</v>
      </c>
      <c r="L1158" s="38"/>
      <c r="M1158" s="39"/>
      <c r="N1158" s="40"/>
      <c r="O1158" s="35"/>
      <c r="P1158" s="36"/>
      <c r="Q1158" s="36"/>
      <c r="T1158" s="36"/>
    </row>
    <row r="1159" spans="1:20" s="37" customFormat="1" ht="18.75" customHeight="1">
      <c r="A1159" s="29">
        <f t="shared" si="21"/>
        <v>1135</v>
      </c>
      <c r="B1159" s="30"/>
      <c r="C1159" s="30" t="s">
        <v>261</v>
      </c>
      <c r="D1159" s="30" t="s">
        <v>1822</v>
      </c>
      <c r="E1159" s="31">
        <v>43143</v>
      </c>
      <c r="F1159" s="30" t="s">
        <v>139</v>
      </c>
      <c r="G1159" s="30" t="s">
        <v>140</v>
      </c>
      <c r="H1159" s="30" t="s">
        <v>1823</v>
      </c>
      <c r="I1159" s="29">
        <v>450477</v>
      </c>
      <c r="J1159" s="29">
        <v>10</v>
      </c>
      <c r="K1159" s="29">
        <v>45048</v>
      </c>
      <c r="L1159" s="38"/>
      <c r="M1159" s="39"/>
      <c r="N1159" s="40"/>
      <c r="O1159" s="35"/>
      <c r="P1159" s="36"/>
      <c r="Q1159" s="36"/>
      <c r="T1159" s="36"/>
    </row>
    <row r="1160" spans="1:20" s="37" customFormat="1" ht="18.75" customHeight="1">
      <c r="A1160" s="29">
        <f t="shared" si="21"/>
        <v>1136</v>
      </c>
      <c r="B1160" s="30"/>
      <c r="C1160" s="30" t="s">
        <v>261</v>
      </c>
      <c r="D1160" s="30" t="s">
        <v>1824</v>
      </c>
      <c r="E1160" s="31">
        <v>43143</v>
      </c>
      <c r="F1160" s="30" t="s">
        <v>139</v>
      </c>
      <c r="G1160" s="30" t="s">
        <v>140</v>
      </c>
      <c r="H1160" s="30" t="s">
        <v>1823</v>
      </c>
      <c r="I1160" s="29">
        <v>450629</v>
      </c>
      <c r="J1160" s="29">
        <v>10</v>
      </c>
      <c r="K1160" s="29">
        <v>45063</v>
      </c>
      <c r="L1160" s="38"/>
      <c r="M1160" s="39"/>
      <c r="N1160" s="40"/>
      <c r="O1160" s="35"/>
      <c r="P1160" s="36"/>
      <c r="Q1160" s="36"/>
      <c r="T1160" s="36"/>
    </row>
    <row r="1161" spans="1:20" s="37" customFormat="1" ht="18.75" customHeight="1">
      <c r="A1161" s="29">
        <f t="shared" si="21"/>
        <v>1137</v>
      </c>
      <c r="B1161" s="30"/>
      <c r="C1161" s="30" t="s">
        <v>261</v>
      </c>
      <c r="D1161" s="30" t="s">
        <v>1825</v>
      </c>
      <c r="E1161" s="31">
        <v>43143</v>
      </c>
      <c r="F1161" s="30" t="s">
        <v>139</v>
      </c>
      <c r="G1161" s="30" t="s">
        <v>140</v>
      </c>
      <c r="H1161" s="30" t="s">
        <v>1823</v>
      </c>
      <c r="I1161" s="29">
        <v>544438</v>
      </c>
      <c r="J1161" s="29">
        <v>10</v>
      </c>
      <c r="K1161" s="29">
        <v>54444</v>
      </c>
      <c r="L1161" s="38"/>
      <c r="M1161" s="39"/>
      <c r="N1161" s="40"/>
      <c r="O1161" s="35"/>
      <c r="P1161" s="36"/>
      <c r="Q1161" s="36"/>
      <c r="T1161" s="36"/>
    </row>
    <row r="1162" spans="1:20" s="37" customFormat="1" ht="18.75" customHeight="1">
      <c r="A1162" s="29">
        <f t="shared" si="21"/>
        <v>1138</v>
      </c>
      <c r="B1162" s="30"/>
      <c r="C1162" s="30" t="s">
        <v>1826</v>
      </c>
      <c r="D1162" s="30" t="s">
        <v>1530</v>
      </c>
      <c r="E1162" s="31">
        <v>43157</v>
      </c>
      <c r="F1162" s="30" t="s">
        <v>1827</v>
      </c>
      <c r="G1162" s="30" t="s">
        <v>1828</v>
      </c>
      <c r="H1162" s="30" t="s">
        <v>1829</v>
      </c>
      <c r="I1162" s="29">
        <v>4000000</v>
      </c>
      <c r="J1162" s="29">
        <v>10</v>
      </c>
      <c r="K1162" s="29">
        <v>400000</v>
      </c>
      <c r="L1162" s="38"/>
      <c r="M1162" s="39"/>
      <c r="N1162" s="40"/>
      <c r="O1162" s="35"/>
      <c r="P1162" s="36"/>
      <c r="Q1162" s="36"/>
      <c r="T1162" s="36"/>
    </row>
    <row r="1163" spans="1:20" s="37" customFormat="1" ht="18.75" customHeight="1">
      <c r="A1163" s="29">
        <f t="shared" si="21"/>
        <v>1139</v>
      </c>
      <c r="B1163" s="30"/>
      <c r="C1163" s="30" t="s">
        <v>100</v>
      </c>
      <c r="D1163" s="30" t="s">
        <v>760</v>
      </c>
      <c r="E1163" s="31">
        <v>43157</v>
      </c>
      <c r="F1163" s="30" t="s">
        <v>102</v>
      </c>
      <c r="G1163" s="30" t="s">
        <v>103</v>
      </c>
      <c r="H1163" s="30" t="s">
        <v>104</v>
      </c>
      <c r="I1163" s="29">
        <v>29820000</v>
      </c>
      <c r="J1163" s="29">
        <v>10</v>
      </c>
      <c r="K1163" s="29">
        <v>2982000</v>
      </c>
      <c r="L1163" s="38" t="s">
        <v>52</v>
      </c>
      <c r="M1163" s="39">
        <v>43180</v>
      </c>
      <c r="N1163" s="40" t="s">
        <v>1770</v>
      </c>
      <c r="O1163" s="35"/>
      <c r="P1163" s="36"/>
      <c r="Q1163" s="36"/>
      <c r="T1163" s="36"/>
    </row>
    <row r="1164" spans="1:20" s="37" customFormat="1" ht="18.75" customHeight="1">
      <c r="A1164" s="29">
        <f t="shared" si="21"/>
        <v>1140</v>
      </c>
      <c r="B1164" s="30"/>
      <c r="C1164" s="30" t="s">
        <v>231</v>
      </c>
      <c r="D1164" s="30" t="s">
        <v>1830</v>
      </c>
      <c r="E1164" s="31">
        <v>43157</v>
      </c>
      <c r="F1164" s="30" t="s">
        <v>233</v>
      </c>
      <c r="G1164" s="30" t="s">
        <v>234</v>
      </c>
      <c r="H1164" s="30" t="s">
        <v>235</v>
      </c>
      <c r="I1164" s="29">
        <v>71243600</v>
      </c>
      <c r="J1164" s="29">
        <v>10</v>
      </c>
      <c r="K1164" s="29">
        <v>7124360</v>
      </c>
      <c r="L1164" s="38" t="s">
        <v>52</v>
      </c>
      <c r="M1164" s="39">
        <v>43180</v>
      </c>
      <c r="N1164" s="40" t="s">
        <v>1770</v>
      </c>
      <c r="O1164" s="35"/>
      <c r="P1164" s="36"/>
      <c r="Q1164" s="36"/>
      <c r="T1164" s="36"/>
    </row>
    <row r="1165" spans="1:20" s="37" customFormat="1" ht="18.75" customHeight="1">
      <c r="A1165" s="29">
        <f t="shared" si="21"/>
        <v>1141</v>
      </c>
      <c r="B1165" s="30"/>
      <c r="C1165" s="30" t="s">
        <v>93</v>
      </c>
      <c r="D1165" s="30" t="s">
        <v>1831</v>
      </c>
      <c r="E1165" s="31">
        <v>43157</v>
      </c>
      <c r="F1165" s="30" t="s">
        <v>49</v>
      </c>
      <c r="G1165" s="30" t="s">
        <v>50</v>
      </c>
      <c r="H1165" s="30" t="s">
        <v>1788</v>
      </c>
      <c r="I1165" s="29">
        <v>175600000</v>
      </c>
      <c r="J1165" s="29">
        <v>10</v>
      </c>
      <c r="K1165" s="29">
        <v>17560000</v>
      </c>
      <c r="L1165" s="38" t="s">
        <v>52</v>
      </c>
      <c r="M1165" s="39">
        <v>43180</v>
      </c>
      <c r="N1165" s="40" t="s">
        <v>1770</v>
      </c>
      <c r="O1165" s="35"/>
      <c r="P1165" s="36"/>
      <c r="Q1165" s="36"/>
      <c r="T1165" s="36"/>
    </row>
    <row r="1166" spans="1:20" s="37" customFormat="1" ht="18.75" customHeight="1">
      <c r="A1166" s="29">
        <f t="shared" si="21"/>
        <v>1142</v>
      </c>
      <c r="B1166" s="30"/>
      <c r="C1166" s="30" t="s">
        <v>1689</v>
      </c>
      <c r="D1166" s="30" t="s">
        <v>1832</v>
      </c>
      <c r="E1166" s="31">
        <v>43158</v>
      </c>
      <c r="F1166" s="30" t="s">
        <v>114</v>
      </c>
      <c r="G1166" s="30" t="s">
        <v>115</v>
      </c>
      <c r="H1166" s="30" t="s">
        <v>116</v>
      </c>
      <c r="I1166" s="29">
        <v>10000</v>
      </c>
      <c r="J1166" s="29">
        <v>10</v>
      </c>
      <c r="K1166" s="29">
        <v>1000</v>
      </c>
      <c r="L1166" s="38"/>
      <c r="M1166" s="39"/>
      <c r="N1166" s="40"/>
      <c r="O1166" s="35"/>
      <c r="P1166" s="36"/>
      <c r="Q1166" s="36"/>
      <c r="T1166" s="36"/>
    </row>
    <row r="1167" spans="1:20" s="37" customFormat="1" ht="18.75" customHeight="1">
      <c r="A1167" s="29">
        <f t="shared" si="21"/>
        <v>1143</v>
      </c>
      <c r="B1167" s="30"/>
      <c r="C1167" s="30" t="s">
        <v>1689</v>
      </c>
      <c r="D1167" s="30" t="s">
        <v>1833</v>
      </c>
      <c r="E1167" s="31">
        <v>43158</v>
      </c>
      <c r="F1167" s="30" t="s">
        <v>114</v>
      </c>
      <c r="G1167" s="30" t="s">
        <v>115</v>
      </c>
      <c r="H1167" s="30" t="s">
        <v>116</v>
      </c>
      <c r="I1167" s="29">
        <v>10000</v>
      </c>
      <c r="J1167" s="29">
        <v>10</v>
      </c>
      <c r="K1167" s="29">
        <v>1000</v>
      </c>
      <c r="L1167" s="38"/>
      <c r="M1167" s="39"/>
      <c r="N1167" s="40"/>
      <c r="O1167" s="35"/>
      <c r="P1167" s="36"/>
      <c r="Q1167" s="36"/>
      <c r="T1167" s="36"/>
    </row>
    <row r="1168" spans="1:20" s="37" customFormat="1" ht="18.75" customHeight="1">
      <c r="A1168" s="29">
        <f t="shared" si="21"/>
        <v>1144</v>
      </c>
      <c r="B1168" s="30"/>
      <c r="C1168" s="30" t="s">
        <v>1689</v>
      </c>
      <c r="D1168" s="30" t="s">
        <v>1834</v>
      </c>
      <c r="E1168" s="31">
        <v>43158</v>
      </c>
      <c r="F1168" s="30" t="s">
        <v>114</v>
      </c>
      <c r="G1168" s="30" t="s">
        <v>115</v>
      </c>
      <c r="H1168" s="30" t="s">
        <v>116</v>
      </c>
      <c r="I1168" s="29">
        <v>10000</v>
      </c>
      <c r="J1168" s="29">
        <v>10</v>
      </c>
      <c r="K1168" s="29">
        <v>1000</v>
      </c>
      <c r="L1168" s="38"/>
      <c r="M1168" s="39"/>
      <c r="N1168" s="40"/>
      <c r="O1168" s="35"/>
      <c r="P1168" s="36"/>
      <c r="Q1168" s="36"/>
      <c r="T1168" s="36"/>
    </row>
    <row r="1169" spans="1:255" s="37" customFormat="1" ht="18.75" customHeight="1">
      <c r="A1169" s="29">
        <f t="shared" si="21"/>
        <v>1145</v>
      </c>
      <c r="B1169" s="30"/>
      <c r="C1169" s="30" t="s">
        <v>1689</v>
      </c>
      <c r="D1169" s="30" t="s">
        <v>1835</v>
      </c>
      <c r="E1169" s="31">
        <v>43158</v>
      </c>
      <c r="F1169" s="30" t="s">
        <v>114</v>
      </c>
      <c r="G1169" s="30" t="s">
        <v>115</v>
      </c>
      <c r="H1169" s="30" t="s">
        <v>116</v>
      </c>
      <c r="I1169" s="29">
        <v>20000</v>
      </c>
      <c r="J1169" s="29">
        <v>10</v>
      </c>
      <c r="K1169" s="29">
        <v>2000</v>
      </c>
      <c r="L1169" s="38"/>
      <c r="M1169" s="39"/>
      <c r="N1169" s="40"/>
      <c r="O1169" s="35"/>
      <c r="P1169" s="36"/>
      <c r="Q1169" s="36"/>
      <c r="T1169" s="36"/>
    </row>
    <row r="1170" spans="1:255" s="37" customFormat="1" ht="18.75" customHeight="1">
      <c r="A1170" s="29">
        <f t="shared" si="21"/>
        <v>1146</v>
      </c>
      <c r="B1170" s="30"/>
      <c r="C1170" s="30" t="s">
        <v>167</v>
      </c>
      <c r="D1170" s="30" t="s">
        <v>1836</v>
      </c>
      <c r="E1170" s="31">
        <v>43159</v>
      </c>
      <c r="F1170" s="30" t="s">
        <v>258</v>
      </c>
      <c r="G1170" s="30" t="s">
        <v>259</v>
      </c>
      <c r="H1170" s="30" t="s">
        <v>1837</v>
      </c>
      <c r="I1170" s="29">
        <v>16782365</v>
      </c>
      <c r="J1170" s="29">
        <v>10</v>
      </c>
      <c r="K1170" s="29">
        <v>1678237</v>
      </c>
      <c r="L1170" s="38"/>
      <c r="M1170" s="39"/>
      <c r="N1170" s="40"/>
      <c r="O1170" s="35"/>
      <c r="P1170" s="36"/>
      <c r="Q1170" s="36"/>
      <c r="T1170" s="36"/>
    </row>
    <row r="1171" spans="1:255" s="37" customFormat="1" ht="18.75" customHeight="1">
      <c r="A1171" s="29">
        <f t="shared" si="21"/>
        <v>1147</v>
      </c>
      <c r="B1171" s="30"/>
      <c r="C1171" s="30" t="s">
        <v>119</v>
      </c>
      <c r="D1171" s="30" t="s">
        <v>1838</v>
      </c>
      <c r="E1171" s="31">
        <v>43159</v>
      </c>
      <c r="F1171" s="30" t="s">
        <v>121</v>
      </c>
      <c r="G1171" s="30" t="s">
        <v>122</v>
      </c>
      <c r="H1171" s="30" t="s">
        <v>212</v>
      </c>
      <c r="I1171" s="29">
        <v>326667986</v>
      </c>
      <c r="J1171" s="29">
        <v>10</v>
      </c>
      <c r="K1171" s="29">
        <v>32666798</v>
      </c>
      <c r="L1171" s="38" t="s">
        <v>52</v>
      </c>
      <c r="M1171" s="39">
        <v>43171</v>
      </c>
      <c r="N1171" s="40" t="s">
        <v>1770</v>
      </c>
      <c r="O1171" s="35"/>
      <c r="P1171" s="36"/>
      <c r="Q1171" s="36"/>
      <c r="T1171" s="36"/>
    </row>
    <row r="1172" spans="1:255" s="37" customFormat="1" ht="18.75" customHeight="1">
      <c r="A1172" s="29">
        <f t="shared" si="21"/>
        <v>1148</v>
      </c>
      <c r="B1172" s="30"/>
      <c r="C1172" s="30" t="s">
        <v>119</v>
      </c>
      <c r="D1172" s="30" t="s">
        <v>1839</v>
      </c>
      <c r="E1172" s="31">
        <v>43159</v>
      </c>
      <c r="F1172" s="30" t="s">
        <v>121</v>
      </c>
      <c r="G1172" s="30" t="s">
        <v>122</v>
      </c>
      <c r="H1172" s="30" t="s">
        <v>212</v>
      </c>
      <c r="I1172" s="29">
        <v>288613813</v>
      </c>
      <c r="J1172" s="29">
        <v>10</v>
      </c>
      <c r="K1172" s="29">
        <v>28861381</v>
      </c>
      <c r="L1172" s="38" t="s">
        <v>52</v>
      </c>
      <c r="M1172" s="39">
        <v>43171</v>
      </c>
      <c r="N1172" s="40" t="s">
        <v>1770</v>
      </c>
      <c r="O1172" s="35"/>
      <c r="P1172" s="36"/>
      <c r="Q1172" s="36"/>
      <c r="T1172" s="36"/>
    </row>
    <row r="1173" spans="1:255" s="37" customFormat="1" ht="18.75" customHeight="1">
      <c r="A1173" s="29">
        <f t="shared" ref="A1173:A1178" si="22">A1172+1</f>
        <v>1149</v>
      </c>
      <c r="B1173" s="30"/>
      <c r="C1173" s="30" t="s">
        <v>231</v>
      </c>
      <c r="D1173" s="30" t="s">
        <v>1840</v>
      </c>
      <c r="E1173" s="31">
        <v>43159</v>
      </c>
      <c r="F1173" s="30" t="s">
        <v>239</v>
      </c>
      <c r="G1173" s="30" t="s">
        <v>240</v>
      </c>
      <c r="H1173" s="30" t="s">
        <v>1841</v>
      </c>
      <c r="I1173" s="29">
        <v>28576000</v>
      </c>
      <c r="J1173" s="29">
        <v>10</v>
      </c>
      <c r="K1173" s="29">
        <v>2857600</v>
      </c>
      <c r="L1173" s="38" t="s">
        <v>52</v>
      </c>
      <c r="M1173" s="39">
        <v>43180</v>
      </c>
      <c r="N1173" s="40" t="s">
        <v>1770</v>
      </c>
      <c r="O1173" s="35"/>
      <c r="P1173" s="36"/>
      <c r="Q1173" s="36"/>
      <c r="T1173" s="36"/>
    </row>
    <row r="1174" spans="1:255" s="37" customFormat="1" ht="18.75" customHeight="1">
      <c r="A1174" s="29">
        <f t="shared" si="22"/>
        <v>1150</v>
      </c>
      <c r="B1174" s="30"/>
      <c r="C1174" s="30" t="s">
        <v>231</v>
      </c>
      <c r="D1174" s="30" t="s">
        <v>1842</v>
      </c>
      <c r="E1174" s="31">
        <v>43159</v>
      </c>
      <c r="F1174" s="30" t="s">
        <v>239</v>
      </c>
      <c r="G1174" s="30" t="s">
        <v>240</v>
      </c>
      <c r="H1174" s="30" t="s">
        <v>1843</v>
      </c>
      <c r="I1174" s="29">
        <v>100682000</v>
      </c>
      <c r="J1174" s="29">
        <v>10</v>
      </c>
      <c r="K1174" s="29">
        <v>10068200</v>
      </c>
      <c r="L1174" s="38" t="s">
        <v>52</v>
      </c>
      <c r="M1174" s="39">
        <v>43180</v>
      </c>
      <c r="N1174" s="40" t="s">
        <v>1770</v>
      </c>
      <c r="O1174" s="35"/>
      <c r="P1174" s="36"/>
      <c r="Q1174" s="36"/>
      <c r="T1174" s="36"/>
    </row>
    <row r="1175" spans="1:255" s="37" customFormat="1" ht="18.75" customHeight="1">
      <c r="A1175" s="29">
        <f t="shared" si="22"/>
        <v>1151</v>
      </c>
      <c r="B1175" s="30"/>
      <c r="C1175" s="30" t="s">
        <v>248</v>
      </c>
      <c r="D1175" s="30" t="s">
        <v>1844</v>
      </c>
      <c r="E1175" s="31">
        <v>43159</v>
      </c>
      <c r="F1175" s="30" t="s">
        <v>250</v>
      </c>
      <c r="G1175" s="30" t="s">
        <v>251</v>
      </c>
      <c r="H1175" s="30" t="s">
        <v>1845</v>
      </c>
      <c r="I1175" s="29">
        <v>212237500</v>
      </c>
      <c r="J1175" s="29">
        <v>10</v>
      </c>
      <c r="K1175" s="29">
        <v>21223750</v>
      </c>
      <c r="L1175" s="38" t="s">
        <v>52</v>
      </c>
      <c r="M1175" s="39">
        <v>43180</v>
      </c>
      <c r="N1175" s="40" t="s">
        <v>1770</v>
      </c>
      <c r="O1175" s="35"/>
      <c r="P1175" s="36"/>
      <c r="Q1175" s="36"/>
      <c r="T1175" s="36"/>
    </row>
    <row r="1176" spans="1:255" s="37" customFormat="1" ht="18.75" customHeight="1">
      <c r="A1176" s="29">
        <f t="shared" si="22"/>
        <v>1152</v>
      </c>
      <c r="B1176" s="30"/>
      <c r="C1176" s="30" t="s">
        <v>248</v>
      </c>
      <c r="D1176" s="30" t="s">
        <v>1846</v>
      </c>
      <c r="E1176" s="31">
        <v>43159</v>
      </c>
      <c r="F1176" s="30" t="s">
        <v>250</v>
      </c>
      <c r="G1176" s="30" t="s">
        <v>251</v>
      </c>
      <c r="H1176" s="30" t="s">
        <v>1847</v>
      </c>
      <c r="I1176" s="29">
        <v>1600000</v>
      </c>
      <c r="J1176" s="29">
        <v>10</v>
      </c>
      <c r="K1176" s="29">
        <v>160000</v>
      </c>
      <c r="L1176" s="38" t="s">
        <v>52</v>
      </c>
      <c r="M1176" s="39">
        <v>43180</v>
      </c>
      <c r="N1176" s="40" t="s">
        <v>1770</v>
      </c>
      <c r="O1176" s="35"/>
      <c r="P1176" s="36"/>
      <c r="Q1176" s="36"/>
      <c r="T1176" s="36"/>
    </row>
    <row r="1177" spans="1:255" s="37" customFormat="1" ht="18.75" customHeight="1">
      <c r="A1177" s="29">
        <f t="shared" si="22"/>
        <v>1153</v>
      </c>
      <c r="B1177" s="30"/>
      <c r="C1177" s="30" t="s">
        <v>248</v>
      </c>
      <c r="D1177" s="30" t="s">
        <v>1848</v>
      </c>
      <c r="E1177" s="31">
        <v>43159</v>
      </c>
      <c r="F1177" s="30" t="s">
        <v>250</v>
      </c>
      <c r="G1177" s="30" t="s">
        <v>251</v>
      </c>
      <c r="H1177" s="30" t="s">
        <v>1849</v>
      </c>
      <c r="I1177" s="29">
        <v>660000</v>
      </c>
      <c r="J1177" s="29">
        <v>10</v>
      </c>
      <c r="K1177" s="29">
        <v>66000</v>
      </c>
      <c r="L1177" s="38" t="s">
        <v>52</v>
      </c>
      <c r="M1177" s="39">
        <v>43180</v>
      </c>
      <c r="N1177" s="40" t="s">
        <v>1770</v>
      </c>
      <c r="O1177" s="35"/>
      <c r="P1177" s="36"/>
      <c r="Q1177" s="36"/>
      <c r="T1177" s="36"/>
    </row>
    <row r="1178" spans="1:255" s="37" customFormat="1" ht="18.75" customHeight="1">
      <c r="A1178" s="29">
        <f t="shared" si="22"/>
        <v>1154</v>
      </c>
      <c r="B1178" s="30"/>
      <c r="C1178" s="30" t="s">
        <v>93</v>
      </c>
      <c r="D1178" s="30" t="s">
        <v>1850</v>
      </c>
      <c r="E1178" s="31">
        <v>43159</v>
      </c>
      <c r="F1178" s="30" t="s">
        <v>49</v>
      </c>
      <c r="G1178" s="30" t="s">
        <v>50</v>
      </c>
      <c r="H1178" s="30" t="s">
        <v>1788</v>
      </c>
      <c r="I1178" s="29">
        <v>122400000</v>
      </c>
      <c r="J1178" s="29">
        <v>10</v>
      </c>
      <c r="K1178" s="29">
        <v>12240000</v>
      </c>
      <c r="L1178" s="38" t="s">
        <v>52</v>
      </c>
      <c r="M1178" s="39">
        <v>43210</v>
      </c>
      <c r="N1178" s="40" t="s">
        <v>1770</v>
      </c>
      <c r="O1178" s="35"/>
      <c r="P1178" s="36"/>
      <c r="Q1178" s="36"/>
      <c r="T1178" s="36"/>
    </row>
    <row r="1179" spans="1:255" s="37" customFormat="1" ht="18.75" customHeight="1">
      <c r="A1179" s="233" t="s">
        <v>264</v>
      </c>
      <c r="B1179" s="234"/>
      <c r="C1179" s="234"/>
      <c r="D1179" s="234"/>
      <c r="E1179" s="234"/>
      <c r="F1179" s="234"/>
      <c r="G1179" s="234"/>
      <c r="H1179" s="235"/>
      <c r="I1179" s="43">
        <f>SUM(I1107:I1178)</f>
        <v>2820247031</v>
      </c>
      <c r="J1179" s="43"/>
      <c r="K1179" s="43">
        <f>SUM(K1107:K1178)</f>
        <v>282024706</v>
      </c>
      <c r="L1179" s="44"/>
      <c r="M1179" s="44"/>
      <c r="N1179" s="46"/>
      <c r="O1179" s="35"/>
      <c r="P1179" s="49"/>
      <c r="Q1179" s="36"/>
      <c r="R1179" s="10"/>
      <c r="S1179" s="10"/>
      <c r="T1179" s="10"/>
      <c r="U1179" s="10"/>
      <c r="V1179" s="10"/>
      <c r="W1179" s="10"/>
      <c r="X1179" s="10"/>
      <c r="Y1179" s="10"/>
      <c r="Z1179" s="10"/>
      <c r="AA1179" s="10"/>
      <c r="AB1179" s="10"/>
      <c r="AC1179" s="10"/>
      <c r="AD1179" s="10"/>
      <c r="AE1179" s="10"/>
      <c r="AF1179" s="10"/>
      <c r="AG1179" s="10"/>
      <c r="AH1179" s="10"/>
      <c r="AI1179" s="10"/>
      <c r="AJ1179" s="10"/>
      <c r="AK1179" s="10"/>
      <c r="AL1179" s="10"/>
      <c r="AM1179" s="10"/>
      <c r="AN1179" s="10"/>
      <c r="AO1179" s="10"/>
      <c r="AP1179" s="10"/>
      <c r="AQ1179" s="10"/>
      <c r="AR1179" s="10"/>
      <c r="AS1179" s="10"/>
      <c r="AT1179" s="10"/>
      <c r="AU1179" s="10"/>
      <c r="AV1179" s="10"/>
      <c r="AW1179" s="10"/>
      <c r="AX1179" s="10"/>
      <c r="AY1179" s="10"/>
      <c r="AZ1179" s="10"/>
      <c r="BA1179" s="10"/>
      <c r="BB1179" s="10"/>
      <c r="BC1179" s="10"/>
      <c r="BD1179" s="10"/>
      <c r="BE1179" s="10"/>
      <c r="BF1179" s="10"/>
      <c r="BG1179" s="10"/>
      <c r="BH1179" s="10"/>
      <c r="BI1179" s="10"/>
      <c r="BJ1179" s="10"/>
      <c r="BK1179" s="10"/>
      <c r="BL1179" s="10"/>
      <c r="BM1179" s="10"/>
      <c r="BN1179" s="10"/>
      <c r="BO1179" s="10"/>
      <c r="BP1179" s="10"/>
      <c r="BQ1179" s="10"/>
      <c r="BR1179" s="10"/>
      <c r="BS1179" s="10"/>
      <c r="BT1179" s="10"/>
      <c r="BU1179" s="10"/>
      <c r="BV1179" s="10"/>
      <c r="BW1179" s="10"/>
      <c r="BX1179" s="10"/>
      <c r="BY1179" s="10"/>
      <c r="BZ1179" s="10"/>
      <c r="CA1179" s="10"/>
      <c r="CB1179" s="10"/>
      <c r="CC1179" s="10"/>
      <c r="CD1179" s="10"/>
      <c r="CE1179" s="10"/>
      <c r="CF1179" s="10"/>
      <c r="CG1179" s="10"/>
      <c r="CH1179" s="10"/>
      <c r="CI1179" s="10"/>
      <c r="CJ1179" s="10"/>
      <c r="CK1179" s="10"/>
      <c r="CL1179" s="10"/>
      <c r="CM1179" s="10"/>
      <c r="CN1179" s="10"/>
      <c r="CO1179" s="10"/>
      <c r="CP1179" s="10"/>
      <c r="CQ1179" s="10"/>
      <c r="CR1179" s="10"/>
      <c r="CS1179" s="10"/>
      <c r="CT1179" s="10"/>
      <c r="CU1179" s="10"/>
      <c r="CV1179" s="10"/>
      <c r="CW1179" s="10"/>
      <c r="CX1179" s="10"/>
      <c r="CY1179" s="10"/>
      <c r="CZ1179" s="10"/>
      <c r="DA1179" s="10"/>
      <c r="DB1179" s="10"/>
      <c r="DC1179" s="10"/>
      <c r="DD1179" s="10"/>
      <c r="DE1179" s="10"/>
      <c r="DF1179" s="10"/>
      <c r="DG1179" s="10"/>
      <c r="DH1179" s="10"/>
      <c r="DI1179" s="10"/>
      <c r="DJ1179" s="10"/>
      <c r="DK1179" s="10"/>
      <c r="DL1179" s="10"/>
      <c r="DM1179" s="10"/>
      <c r="DN1179" s="10"/>
      <c r="DO1179" s="10"/>
      <c r="DP1179" s="10"/>
      <c r="DQ1179" s="10"/>
      <c r="DR1179" s="10"/>
      <c r="DS1179" s="10"/>
      <c r="DT1179" s="10"/>
      <c r="DU1179" s="10"/>
      <c r="DV1179" s="10"/>
      <c r="DW1179" s="10"/>
      <c r="DX1179" s="10"/>
      <c r="DY1179" s="10"/>
      <c r="DZ1179" s="10"/>
      <c r="EA1179" s="10"/>
      <c r="EB1179" s="10"/>
      <c r="EC1179" s="10"/>
      <c r="ED1179" s="10"/>
      <c r="EE1179" s="10"/>
      <c r="EF1179" s="10"/>
      <c r="EG1179" s="10"/>
      <c r="EH1179" s="10"/>
      <c r="EI1179" s="10"/>
      <c r="EJ1179" s="10"/>
      <c r="EK1179" s="10"/>
      <c r="EL1179" s="10"/>
      <c r="EM1179" s="10"/>
      <c r="EN1179" s="10"/>
      <c r="EO1179" s="10"/>
      <c r="EP1179" s="10"/>
      <c r="EQ1179" s="10"/>
      <c r="ER1179" s="10"/>
      <c r="ES1179" s="10"/>
      <c r="ET1179" s="10"/>
      <c r="EU1179" s="10"/>
      <c r="EV1179" s="10"/>
      <c r="EW1179" s="10"/>
      <c r="EX1179" s="10"/>
      <c r="EY1179" s="10"/>
      <c r="EZ1179" s="10"/>
      <c r="FA1179" s="10"/>
      <c r="FB1179" s="10"/>
      <c r="FC1179" s="10"/>
      <c r="FD1179" s="10"/>
      <c r="FE1179" s="10"/>
      <c r="FF1179" s="10"/>
      <c r="FG1179" s="10"/>
      <c r="FH1179" s="10"/>
      <c r="FI1179" s="10"/>
      <c r="FJ1179" s="10"/>
      <c r="FK1179" s="10"/>
      <c r="FL1179" s="10"/>
      <c r="FM1179" s="10"/>
      <c r="FN1179" s="10"/>
      <c r="FO1179" s="10"/>
      <c r="FP1179" s="10"/>
      <c r="FQ1179" s="10"/>
      <c r="FR1179" s="10"/>
      <c r="FS1179" s="10"/>
      <c r="FT1179" s="10"/>
      <c r="FU1179" s="10"/>
      <c r="FV1179" s="10"/>
      <c r="FW1179" s="10"/>
      <c r="FX1179" s="10"/>
      <c r="FY1179" s="10"/>
      <c r="FZ1179" s="10"/>
      <c r="GA1179" s="10"/>
      <c r="GB1179" s="10"/>
      <c r="GC1179" s="10"/>
      <c r="GD1179" s="10"/>
      <c r="GE1179" s="10"/>
      <c r="GF1179" s="10"/>
      <c r="GG1179" s="10"/>
      <c r="GH1179" s="10"/>
      <c r="GI1179" s="10"/>
      <c r="GJ1179" s="10"/>
      <c r="GK1179" s="10"/>
      <c r="GL1179" s="10"/>
      <c r="GM1179" s="10"/>
      <c r="GN1179" s="10"/>
      <c r="GO1179" s="10"/>
      <c r="GP1179" s="10"/>
      <c r="GQ1179" s="10"/>
      <c r="GR1179" s="10"/>
      <c r="GS1179" s="10"/>
      <c r="GT1179" s="10"/>
      <c r="GU1179" s="10"/>
      <c r="GV1179" s="10"/>
      <c r="GW1179" s="10"/>
      <c r="GX1179" s="10"/>
      <c r="GY1179" s="10"/>
      <c r="GZ1179" s="10"/>
      <c r="HA1179" s="10"/>
      <c r="HB1179" s="10"/>
      <c r="HC1179" s="10"/>
      <c r="HD1179" s="10"/>
      <c r="HE1179" s="10"/>
      <c r="HF1179" s="10"/>
      <c r="HG1179" s="10"/>
      <c r="HH1179" s="10"/>
      <c r="HI1179" s="10"/>
      <c r="HJ1179" s="10"/>
      <c r="HK1179" s="10"/>
      <c r="HL1179" s="10"/>
      <c r="HM1179" s="10"/>
      <c r="HN1179" s="10"/>
      <c r="HO1179" s="10"/>
      <c r="HP1179" s="10"/>
      <c r="HQ1179" s="10"/>
      <c r="HR1179" s="10"/>
      <c r="HS1179" s="10"/>
      <c r="HT1179" s="10"/>
      <c r="HU1179" s="10"/>
      <c r="HV1179" s="10"/>
      <c r="HW1179" s="10"/>
      <c r="HX1179" s="10"/>
      <c r="HY1179" s="10"/>
      <c r="HZ1179" s="10"/>
      <c r="IA1179" s="10"/>
      <c r="IB1179" s="10"/>
      <c r="IC1179" s="10"/>
      <c r="ID1179" s="10"/>
      <c r="IE1179" s="10"/>
      <c r="IF1179" s="10"/>
      <c r="IG1179" s="10"/>
      <c r="IH1179" s="10"/>
      <c r="II1179" s="10"/>
      <c r="IJ1179" s="10"/>
      <c r="IK1179" s="10"/>
      <c r="IL1179" s="10"/>
      <c r="IM1179" s="10"/>
      <c r="IN1179" s="10"/>
      <c r="IO1179" s="10"/>
      <c r="IP1179" s="10"/>
      <c r="IQ1179" s="10"/>
      <c r="IR1179" s="10"/>
      <c r="IS1179" s="10"/>
      <c r="IT1179" s="10"/>
      <c r="IU1179" s="10"/>
    </row>
    <row r="1180" spans="1:255" s="37" customFormat="1" ht="18.75" customHeight="1">
      <c r="A1180" s="29">
        <f>A1178+1</f>
        <v>1155</v>
      </c>
      <c r="B1180" s="30"/>
      <c r="C1180" s="30" t="s">
        <v>1851</v>
      </c>
      <c r="D1180" s="30" t="s">
        <v>1852</v>
      </c>
      <c r="E1180" s="31">
        <v>43137</v>
      </c>
      <c r="F1180" s="30" t="s">
        <v>1035</v>
      </c>
      <c r="G1180" s="30" t="s">
        <v>1036</v>
      </c>
      <c r="H1180" s="30" t="s">
        <v>134</v>
      </c>
      <c r="I1180" s="29">
        <v>554000</v>
      </c>
      <c r="J1180" s="29">
        <v>10</v>
      </c>
      <c r="K1180" s="29">
        <v>55400</v>
      </c>
      <c r="L1180" s="38"/>
      <c r="M1180" s="39"/>
      <c r="N1180" s="40"/>
      <c r="O1180" s="35"/>
      <c r="P1180" s="36"/>
      <c r="Q1180" s="36"/>
      <c r="T1180" s="36"/>
    </row>
    <row r="1181" spans="1:255" s="37" customFormat="1" ht="18.75" customHeight="1">
      <c r="A1181" s="29">
        <f>A1180+1</f>
        <v>1156</v>
      </c>
      <c r="B1181" s="30"/>
      <c r="C1181" s="30" t="s">
        <v>1853</v>
      </c>
      <c r="D1181" s="30" t="s">
        <v>1854</v>
      </c>
      <c r="E1181" s="31">
        <v>43139</v>
      </c>
      <c r="F1181" s="30" t="s">
        <v>71</v>
      </c>
      <c r="G1181" s="30" t="s">
        <v>72</v>
      </c>
      <c r="H1181" s="30" t="s">
        <v>40</v>
      </c>
      <c r="I1181" s="29">
        <v>800000</v>
      </c>
      <c r="J1181" s="29">
        <v>10</v>
      </c>
      <c r="K1181" s="29">
        <v>80000</v>
      </c>
      <c r="L1181" s="38"/>
      <c r="M1181" s="39"/>
      <c r="N1181" s="40"/>
      <c r="O1181" s="35"/>
      <c r="P1181" s="36"/>
      <c r="Q1181" s="36"/>
      <c r="T1181" s="36"/>
    </row>
    <row r="1182" spans="1:255" s="37" customFormat="1" ht="18.75" customHeight="1">
      <c r="A1182" s="29">
        <f t="shared" ref="A1182:A1245" si="23">A1181+1</f>
        <v>1157</v>
      </c>
      <c r="B1182" s="30"/>
      <c r="C1182" s="30" t="s">
        <v>54</v>
      </c>
      <c r="D1182" s="30" t="s">
        <v>1855</v>
      </c>
      <c r="E1182" s="31">
        <v>43139</v>
      </c>
      <c r="F1182" s="30" t="s">
        <v>56</v>
      </c>
      <c r="G1182" s="30" t="s">
        <v>57</v>
      </c>
      <c r="H1182" s="30" t="s">
        <v>1856</v>
      </c>
      <c r="I1182" s="29">
        <v>12090244</v>
      </c>
      <c r="J1182" s="29">
        <v>10</v>
      </c>
      <c r="K1182" s="29">
        <v>1209024</v>
      </c>
      <c r="L1182" s="38"/>
      <c r="M1182" s="39"/>
      <c r="N1182" s="40"/>
      <c r="O1182" s="35"/>
      <c r="P1182" s="36"/>
      <c r="Q1182" s="36"/>
      <c r="T1182" s="36"/>
    </row>
    <row r="1183" spans="1:255" s="37" customFormat="1" ht="18.75" customHeight="1">
      <c r="A1183" s="29">
        <f t="shared" si="23"/>
        <v>1158</v>
      </c>
      <c r="B1183" s="30"/>
      <c r="C1183" s="30" t="s">
        <v>1853</v>
      </c>
      <c r="D1183" s="30" t="s">
        <v>1857</v>
      </c>
      <c r="E1183" s="31">
        <v>43144</v>
      </c>
      <c r="F1183" s="30" t="s">
        <v>71</v>
      </c>
      <c r="G1183" s="30" t="s">
        <v>72</v>
      </c>
      <c r="H1183" s="30" t="s">
        <v>40</v>
      </c>
      <c r="I1183" s="29">
        <v>400000</v>
      </c>
      <c r="J1183" s="29">
        <v>10</v>
      </c>
      <c r="K1183" s="29">
        <v>40000</v>
      </c>
      <c r="L1183" s="38"/>
      <c r="M1183" s="39"/>
      <c r="N1183" s="40"/>
      <c r="O1183" s="35"/>
      <c r="P1183" s="36"/>
      <c r="Q1183" s="36"/>
      <c r="T1183" s="36"/>
    </row>
    <row r="1184" spans="1:255" s="37" customFormat="1" ht="18.75" customHeight="1">
      <c r="A1184" s="29">
        <f t="shared" si="23"/>
        <v>1159</v>
      </c>
      <c r="B1184" s="30"/>
      <c r="C1184" s="30" t="s">
        <v>54</v>
      </c>
      <c r="D1184" s="30" t="s">
        <v>1858</v>
      </c>
      <c r="E1184" s="31">
        <v>43144</v>
      </c>
      <c r="F1184" s="30" t="s">
        <v>56</v>
      </c>
      <c r="G1184" s="30" t="s">
        <v>57</v>
      </c>
      <c r="H1184" s="30" t="s">
        <v>1856</v>
      </c>
      <c r="I1184" s="29">
        <v>6525000</v>
      </c>
      <c r="J1184" s="29">
        <v>10</v>
      </c>
      <c r="K1184" s="29">
        <v>652500</v>
      </c>
      <c r="L1184" s="38"/>
      <c r="M1184" s="39"/>
      <c r="N1184" s="40"/>
      <c r="O1184" s="35"/>
      <c r="P1184" s="36"/>
      <c r="Q1184" s="36"/>
      <c r="T1184" s="36"/>
    </row>
    <row r="1185" spans="1:20" s="37" customFormat="1" ht="18.75" customHeight="1">
      <c r="A1185" s="29">
        <f t="shared" si="23"/>
        <v>1160</v>
      </c>
      <c r="B1185" s="30"/>
      <c r="C1185" s="30" t="s">
        <v>726</v>
      </c>
      <c r="D1185" s="30" t="s">
        <v>1859</v>
      </c>
      <c r="E1185" s="31">
        <v>43155</v>
      </c>
      <c r="F1185" s="30" t="s">
        <v>63</v>
      </c>
      <c r="G1185" s="30" t="s">
        <v>64</v>
      </c>
      <c r="H1185" s="30" t="s">
        <v>1860</v>
      </c>
      <c r="I1185" s="29">
        <v>6818182</v>
      </c>
      <c r="J1185" s="29">
        <v>10</v>
      </c>
      <c r="K1185" s="29">
        <v>681818</v>
      </c>
      <c r="L1185" s="38"/>
      <c r="M1185" s="39"/>
      <c r="N1185" s="40"/>
      <c r="O1185" s="35"/>
      <c r="P1185" s="36"/>
      <c r="Q1185" s="36"/>
      <c r="T1185" s="36"/>
    </row>
    <row r="1186" spans="1:20" s="37" customFormat="1" ht="18.75" customHeight="1">
      <c r="A1186" s="29">
        <f t="shared" si="23"/>
        <v>1161</v>
      </c>
      <c r="B1186" s="30"/>
      <c r="C1186" s="30" t="s">
        <v>502</v>
      </c>
      <c r="D1186" s="30" t="s">
        <v>1861</v>
      </c>
      <c r="E1186" s="31">
        <v>43155</v>
      </c>
      <c r="F1186" s="30" t="s">
        <v>362</v>
      </c>
      <c r="G1186" s="30" t="s">
        <v>363</v>
      </c>
      <c r="H1186" s="30" t="s">
        <v>129</v>
      </c>
      <c r="I1186" s="29">
        <v>454545</v>
      </c>
      <c r="J1186" s="29">
        <v>10</v>
      </c>
      <c r="K1186" s="29">
        <v>45455</v>
      </c>
      <c r="L1186" s="38"/>
      <c r="M1186" s="39"/>
      <c r="N1186" s="40"/>
      <c r="O1186" s="35"/>
      <c r="P1186" s="36"/>
      <c r="Q1186" s="36"/>
      <c r="T1186" s="36"/>
    </row>
    <row r="1187" spans="1:20" s="37" customFormat="1" ht="18.75" customHeight="1">
      <c r="A1187" s="29">
        <f t="shared" si="23"/>
        <v>1162</v>
      </c>
      <c r="B1187" s="30"/>
      <c r="C1187" s="30" t="s">
        <v>74</v>
      </c>
      <c r="D1187" s="30" t="s">
        <v>1862</v>
      </c>
      <c r="E1187" s="31">
        <v>43162</v>
      </c>
      <c r="F1187" s="30" t="s">
        <v>76</v>
      </c>
      <c r="G1187" s="30" t="s">
        <v>77</v>
      </c>
      <c r="H1187" s="30" t="s">
        <v>1863</v>
      </c>
      <c r="I1187" s="29">
        <v>2633800</v>
      </c>
      <c r="J1187" s="29">
        <v>10</v>
      </c>
      <c r="K1187" s="29">
        <v>263380</v>
      </c>
      <c r="L1187" s="38"/>
      <c r="M1187" s="39"/>
      <c r="N1187" s="40"/>
      <c r="O1187" s="35"/>
      <c r="P1187" s="36"/>
      <c r="Q1187" s="36"/>
      <c r="T1187" s="36"/>
    </row>
    <row r="1188" spans="1:20" s="37" customFormat="1" ht="18.75" customHeight="1">
      <c r="A1188" s="29">
        <f t="shared" si="23"/>
        <v>1163</v>
      </c>
      <c r="B1188" s="30"/>
      <c r="C1188" s="30" t="s">
        <v>1228</v>
      </c>
      <c r="D1188" s="30" t="s">
        <v>703</v>
      </c>
      <c r="E1188" s="31">
        <v>43162</v>
      </c>
      <c r="F1188" s="30" t="s">
        <v>1230</v>
      </c>
      <c r="G1188" s="30" t="s">
        <v>1231</v>
      </c>
      <c r="H1188" s="30" t="s">
        <v>1232</v>
      </c>
      <c r="I1188" s="29">
        <v>18000000</v>
      </c>
      <c r="J1188" s="29">
        <v>10</v>
      </c>
      <c r="K1188" s="29">
        <v>1800000</v>
      </c>
      <c r="L1188" s="38"/>
      <c r="M1188" s="39"/>
      <c r="N1188" s="40"/>
      <c r="O1188" s="35"/>
      <c r="P1188" s="36"/>
      <c r="Q1188" s="36"/>
      <c r="T1188" s="36"/>
    </row>
    <row r="1189" spans="1:20" s="37" customFormat="1" ht="18.75" customHeight="1">
      <c r="A1189" s="29">
        <f t="shared" si="23"/>
        <v>1164</v>
      </c>
      <c r="B1189" s="30"/>
      <c r="C1189" s="30" t="s">
        <v>167</v>
      </c>
      <c r="D1189" s="30" t="s">
        <v>1864</v>
      </c>
      <c r="E1189" s="31">
        <v>43164</v>
      </c>
      <c r="F1189" s="30" t="s">
        <v>336</v>
      </c>
      <c r="G1189" s="30" t="s">
        <v>337</v>
      </c>
      <c r="H1189" s="30" t="s">
        <v>1865</v>
      </c>
      <c r="I1189" s="29">
        <v>77105225</v>
      </c>
      <c r="J1189" s="29">
        <v>10</v>
      </c>
      <c r="K1189" s="29">
        <v>7710523</v>
      </c>
      <c r="L1189" s="38" t="s">
        <v>52</v>
      </c>
      <c r="M1189" s="39">
        <v>43171</v>
      </c>
      <c r="N1189" s="40" t="s">
        <v>1866</v>
      </c>
      <c r="O1189" s="35"/>
      <c r="P1189" s="36"/>
      <c r="Q1189" s="36"/>
      <c r="T1189" s="36"/>
    </row>
    <row r="1190" spans="1:20" s="37" customFormat="1" ht="18.75" customHeight="1">
      <c r="A1190" s="29">
        <f t="shared" si="23"/>
        <v>1165</v>
      </c>
      <c r="B1190" s="30"/>
      <c r="C1190" s="30" t="s">
        <v>291</v>
      </c>
      <c r="D1190" s="30" t="s">
        <v>1867</v>
      </c>
      <c r="E1190" s="31">
        <v>43164</v>
      </c>
      <c r="F1190" s="30" t="s">
        <v>293</v>
      </c>
      <c r="G1190" s="30" t="s">
        <v>294</v>
      </c>
      <c r="H1190" s="30" t="s">
        <v>134</v>
      </c>
      <c r="I1190" s="29">
        <v>1772727</v>
      </c>
      <c r="J1190" s="29">
        <v>10</v>
      </c>
      <c r="K1190" s="29">
        <v>177273</v>
      </c>
      <c r="L1190" s="38"/>
      <c r="M1190" s="39"/>
      <c r="N1190" s="40"/>
      <c r="O1190" s="35"/>
      <c r="P1190" s="36"/>
      <c r="Q1190" s="36"/>
      <c r="T1190" s="36"/>
    </row>
    <row r="1191" spans="1:20" s="37" customFormat="1" ht="18.75" customHeight="1">
      <c r="A1191" s="29">
        <f t="shared" si="23"/>
        <v>1166</v>
      </c>
      <c r="B1191" s="30"/>
      <c r="C1191" s="30" t="s">
        <v>162</v>
      </c>
      <c r="D1191" s="30" t="s">
        <v>1868</v>
      </c>
      <c r="E1191" s="31">
        <v>43164</v>
      </c>
      <c r="F1191" s="30" t="s">
        <v>164</v>
      </c>
      <c r="G1191" s="30" t="s">
        <v>165</v>
      </c>
      <c r="H1191" s="30" t="s">
        <v>166</v>
      </c>
      <c r="I1191" s="29">
        <v>21486080</v>
      </c>
      <c r="J1191" s="29">
        <v>10</v>
      </c>
      <c r="K1191" s="29">
        <v>2148608</v>
      </c>
      <c r="L1191" s="38" t="s">
        <v>52</v>
      </c>
      <c r="M1191" s="39">
        <v>43210</v>
      </c>
      <c r="N1191" s="40" t="s">
        <v>1866</v>
      </c>
      <c r="O1191" s="35"/>
      <c r="P1191" s="36"/>
      <c r="Q1191" s="36"/>
      <c r="T1191" s="36"/>
    </row>
    <row r="1192" spans="1:20" s="37" customFormat="1" ht="18.75" customHeight="1">
      <c r="A1192" s="29">
        <f t="shared" si="23"/>
        <v>1167</v>
      </c>
      <c r="B1192" s="30"/>
      <c r="C1192" s="30" t="s">
        <v>162</v>
      </c>
      <c r="D1192" s="30" t="s">
        <v>1869</v>
      </c>
      <c r="E1192" s="31">
        <v>43164</v>
      </c>
      <c r="F1192" s="30" t="s">
        <v>164</v>
      </c>
      <c r="G1192" s="30" t="s">
        <v>165</v>
      </c>
      <c r="H1192" s="30" t="s">
        <v>166</v>
      </c>
      <c r="I1192" s="29">
        <v>60725140</v>
      </c>
      <c r="J1192" s="29">
        <v>10</v>
      </c>
      <c r="K1192" s="29">
        <v>6072514</v>
      </c>
      <c r="L1192" s="38" t="s">
        <v>52</v>
      </c>
      <c r="M1192" s="39">
        <v>43210</v>
      </c>
      <c r="N1192" s="40" t="s">
        <v>1866</v>
      </c>
      <c r="O1192" s="35"/>
      <c r="P1192" s="36"/>
      <c r="Q1192" s="36"/>
      <c r="T1192" s="36"/>
    </row>
    <row r="1193" spans="1:20" s="37" customFormat="1" ht="18.75" customHeight="1">
      <c r="A1193" s="29">
        <f t="shared" si="23"/>
        <v>1168</v>
      </c>
      <c r="B1193" s="30"/>
      <c r="C1193" s="30" t="s">
        <v>1250</v>
      </c>
      <c r="D1193" s="30" t="s">
        <v>1870</v>
      </c>
      <c r="E1193" s="31">
        <v>43164</v>
      </c>
      <c r="F1193" s="30" t="s">
        <v>333</v>
      </c>
      <c r="G1193" s="30" t="s">
        <v>334</v>
      </c>
      <c r="H1193" s="30" t="s">
        <v>134</v>
      </c>
      <c r="I1193" s="29">
        <v>1911000</v>
      </c>
      <c r="J1193" s="29">
        <v>10</v>
      </c>
      <c r="K1193" s="29">
        <v>191100</v>
      </c>
      <c r="L1193" s="38"/>
      <c r="M1193" s="39"/>
      <c r="N1193" s="40"/>
      <c r="O1193" s="35"/>
      <c r="P1193" s="36"/>
      <c r="Q1193" s="36"/>
      <c r="T1193" s="36"/>
    </row>
    <row r="1194" spans="1:20" s="37" customFormat="1" ht="18.75" customHeight="1">
      <c r="A1194" s="29">
        <f t="shared" si="23"/>
        <v>1169</v>
      </c>
      <c r="B1194" s="30"/>
      <c r="C1194" s="30" t="s">
        <v>502</v>
      </c>
      <c r="D1194" s="30" t="s">
        <v>1871</v>
      </c>
      <c r="E1194" s="31">
        <v>43165</v>
      </c>
      <c r="F1194" s="30" t="s">
        <v>362</v>
      </c>
      <c r="G1194" s="30" t="s">
        <v>363</v>
      </c>
      <c r="H1194" s="30" t="s">
        <v>129</v>
      </c>
      <c r="I1194" s="29">
        <v>454545</v>
      </c>
      <c r="J1194" s="29">
        <v>10</v>
      </c>
      <c r="K1194" s="29">
        <v>45455</v>
      </c>
      <c r="L1194" s="38"/>
      <c r="M1194" s="39"/>
      <c r="N1194" s="40"/>
      <c r="O1194" s="35"/>
      <c r="P1194" s="36"/>
      <c r="Q1194" s="36"/>
      <c r="T1194" s="36"/>
    </row>
    <row r="1195" spans="1:20" s="37" customFormat="1" ht="18.75" customHeight="1">
      <c r="A1195" s="29">
        <f t="shared" si="23"/>
        <v>1170</v>
      </c>
      <c r="B1195" s="30"/>
      <c r="C1195" s="30" t="s">
        <v>1689</v>
      </c>
      <c r="D1195" s="30" t="s">
        <v>1872</v>
      </c>
      <c r="E1195" s="31">
        <v>43165</v>
      </c>
      <c r="F1195" s="30" t="s">
        <v>114</v>
      </c>
      <c r="G1195" s="30" t="s">
        <v>115</v>
      </c>
      <c r="H1195" s="30" t="s">
        <v>116</v>
      </c>
      <c r="I1195" s="29">
        <v>227250</v>
      </c>
      <c r="J1195" s="29">
        <v>10</v>
      </c>
      <c r="K1195" s="29">
        <v>22725</v>
      </c>
      <c r="L1195" s="38"/>
      <c r="M1195" s="39"/>
      <c r="N1195" s="40"/>
      <c r="O1195" s="35"/>
      <c r="P1195" s="36"/>
      <c r="Q1195" s="36"/>
      <c r="T1195" s="36"/>
    </row>
    <row r="1196" spans="1:20" s="37" customFormat="1" ht="18.75" customHeight="1">
      <c r="A1196" s="29">
        <f t="shared" si="23"/>
        <v>1171</v>
      </c>
      <c r="B1196" s="30"/>
      <c r="C1196" s="30" t="s">
        <v>1250</v>
      </c>
      <c r="D1196" s="30" t="s">
        <v>1873</v>
      </c>
      <c r="E1196" s="31">
        <v>43167</v>
      </c>
      <c r="F1196" s="30" t="s">
        <v>333</v>
      </c>
      <c r="G1196" s="30" t="s">
        <v>334</v>
      </c>
      <c r="H1196" s="30" t="s">
        <v>134</v>
      </c>
      <c r="I1196" s="29">
        <v>1043000</v>
      </c>
      <c r="J1196" s="29">
        <v>10</v>
      </c>
      <c r="K1196" s="29">
        <v>104300</v>
      </c>
      <c r="L1196" s="38"/>
      <c r="M1196" s="39"/>
      <c r="N1196" s="40"/>
      <c r="O1196" s="35"/>
      <c r="P1196" s="36"/>
      <c r="Q1196" s="36"/>
      <c r="T1196" s="36"/>
    </row>
    <row r="1197" spans="1:20" s="37" customFormat="1" ht="18.75" customHeight="1">
      <c r="A1197" s="29">
        <f t="shared" si="23"/>
        <v>1172</v>
      </c>
      <c r="B1197" s="30"/>
      <c r="C1197" s="30" t="s">
        <v>1250</v>
      </c>
      <c r="D1197" s="30" t="s">
        <v>1874</v>
      </c>
      <c r="E1197" s="31">
        <v>43167</v>
      </c>
      <c r="F1197" s="30" t="s">
        <v>333</v>
      </c>
      <c r="G1197" s="30" t="s">
        <v>334</v>
      </c>
      <c r="H1197" s="30" t="s">
        <v>134</v>
      </c>
      <c r="I1197" s="29">
        <v>2866000</v>
      </c>
      <c r="J1197" s="29">
        <v>10</v>
      </c>
      <c r="K1197" s="29">
        <v>286600</v>
      </c>
      <c r="L1197" s="38"/>
      <c r="M1197" s="39"/>
      <c r="N1197" s="40"/>
      <c r="O1197" s="35"/>
      <c r="P1197" s="36"/>
      <c r="Q1197" s="36"/>
      <c r="T1197" s="36"/>
    </row>
    <row r="1198" spans="1:20" s="37" customFormat="1" ht="18.75" customHeight="1">
      <c r="A1198" s="29">
        <f t="shared" si="23"/>
        <v>1173</v>
      </c>
      <c r="B1198" s="30"/>
      <c r="C1198" s="30" t="s">
        <v>1215</v>
      </c>
      <c r="D1198" s="30" t="s">
        <v>108</v>
      </c>
      <c r="E1198" s="31">
        <v>43168</v>
      </c>
      <c r="F1198" s="30" t="s">
        <v>1216</v>
      </c>
      <c r="G1198" s="30" t="s">
        <v>1217</v>
      </c>
      <c r="H1198" s="30" t="s">
        <v>1218</v>
      </c>
      <c r="I1198" s="29">
        <v>87050810</v>
      </c>
      <c r="J1198" s="29">
        <v>10</v>
      </c>
      <c r="K1198" s="29">
        <v>8705081</v>
      </c>
      <c r="L1198" s="38" t="s">
        <v>52</v>
      </c>
      <c r="M1198" s="39">
        <v>43210</v>
      </c>
      <c r="N1198" s="40" t="s">
        <v>1866</v>
      </c>
      <c r="O1198" s="35"/>
      <c r="P1198" s="36"/>
      <c r="Q1198" s="36"/>
      <c r="T1198" s="36"/>
    </row>
    <row r="1199" spans="1:20" s="37" customFormat="1" ht="18.75" customHeight="1">
      <c r="A1199" s="29">
        <f t="shared" si="23"/>
        <v>1174</v>
      </c>
      <c r="B1199" s="30"/>
      <c r="C1199" s="30" t="s">
        <v>1875</v>
      </c>
      <c r="D1199" s="30" t="s">
        <v>1876</v>
      </c>
      <c r="E1199" s="31">
        <v>43168</v>
      </c>
      <c r="F1199" s="30" t="s">
        <v>1877</v>
      </c>
      <c r="G1199" s="30" t="s">
        <v>1878</v>
      </c>
      <c r="H1199" s="30" t="s">
        <v>1879</v>
      </c>
      <c r="I1199" s="29">
        <v>2325090</v>
      </c>
      <c r="J1199" s="29">
        <v>10</v>
      </c>
      <c r="K1199" s="29">
        <v>232509</v>
      </c>
      <c r="L1199" s="38"/>
      <c r="M1199" s="39"/>
      <c r="N1199" s="40"/>
      <c r="O1199" s="35"/>
      <c r="P1199" s="36"/>
      <c r="Q1199" s="36"/>
      <c r="T1199" s="36"/>
    </row>
    <row r="1200" spans="1:20" s="37" customFormat="1" ht="18.75" customHeight="1">
      <c r="A1200" s="29">
        <f t="shared" si="23"/>
        <v>1175</v>
      </c>
      <c r="B1200" s="30"/>
      <c r="C1200" s="30" t="s">
        <v>162</v>
      </c>
      <c r="D1200" s="30" t="s">
        <v>1880</v>
      </c>
      <c r="E1200" s="31">
        <v>43169</v>
      </c>
      <c r="F1200" s="30" t="s">
        <v>164</v>
      </c>
      <c r="G1200" s="30" t="s">
        <v>165</v>
      </c>
      <c r="H1200" s="30" t="s">
        <v>166</v>
      </c>
      <c r="I1200" s="29">
        <v>22278830</v>
      </c>
      <c r="J1200" s="29">
        <v>10</v>
      </c>
      <c r="K1200" s="29">
        <v>2227883</v>
      </c>
      <c r="L1200" s="38" t="s">
        <v>52</v>
      </c>
      <c r="M1200" s="39">
        <v>43210</v>
      </c>
      <c r="N1200" s="40" t="s">
        <v>1866</v>
      </c>
      <c r="O1200" s="35"/>
      <c r="P1200" s="36"/>
      <c r="Q1200" s="36"/>
      <c r="T1200" s="36"/>
    </row>
    <row r="1201" spans="1:20" s="37" customFormat="1" ht="18.75" customHeight="1">
      <c r="A1201" s="29">
        <f t="shared" si="23"/>
        <v>1176</v>
      </c>
      <c r="B1201" s="30"/>
      <c r="C1201" s="30" t="s">
        <v>93</v>
      </c>
      <c r="D1201" s="30" t="s">
        <v>1881</v>
      </c>
      <c r="E1201" s="31">
        <v>43171</v>
      </c>
      <c r="F1201" s="30" t="s">
        <v>49</v>
      </c>
      <c r="G1201" s="30" t="s">
        <v>50</v>
      </c>
      <c r="H1201" s="30" t="s">
        <v>1788</v>
      </c>
      <c r="I1201" s="29">
        <v>188880000</v>
      </c>
      <c r="J1201" s="29">
        <v>10</v>
      </c>
      <c r="K1201" s="29">
        <v>18888000</v>
      </c>
      <c r="L1201" s="38" t="s">
        <v>52</v>
      </c>
      <c r="M1201" s="39">
        <v>43210</v>
      </c>
      <c r="N1201" s="40" t="s">
        <v>1866</v>
      </c>
      <c r="O1201" s="35"/>
      <c r="P1201" s="36"/>
      <c r="Q1201" s="36"/>
      <c r="T1201" s="36"/>
    </row>
    <row r="1202" spans="1:20" s="37" customFormat="1" ht="18.75" customHeight="1">
      <c r="A1202" s="29">
        <f t="shared" si="23"/>
        <v>1177</v>
      </c>
      <c r="B1202" s="30"/>
      <c r="C1202" s="30" t="s">
        <v>502</v>
      </c>
      <c r="D1202" s="30" t="s">
        <v>1882</v>
      </c>
      <c r="E1202" s="31">
        <v>43171</v>
      </c>
      <c r="F1202" s="30" t="s">
        <v>362</v>
      </c>
      <c r="G1202" s="30" t="s">
        <v>363</v>
      </c>
      <c r="H1202" s="30" t="s">
        <v>129</v>
      </c>
      <c r="I1202" s="29">
        <v>454545</v>
      </c>
      <c r="J1202" s="29">
        <v>10</v>
      </c>
      <c r="K1202" s="29">
        <v>45455</v>
      </c>
      <c r="L1202" s="38"/>
      <c r="M1202" s="39"/>
      <c r="N1202" s="40"/>
      <c r="O1202" s="35"/>
      <c r="P1202" s="36"/>
      <c r="Q1202" s="36"/>
      <c r="T1202" s="36"/>
    </row>
    <row r="1203" spans="1:20" s="37" customFormat="1" ht="18.75" customHeight="1">
      <c r="A1203" s="29">
        <f t="shared" si="23"/>
        <v>1178</v>
      </c>
      <c r="B1203" s="30"/>
      <c r="C1203" s="30" t="s">
        <v>1883</v>
      </c>
      <c r="D1203" s="30" t="s">
        <v>1884</v>
      </c>
      <c r="E1203" s="31">
        <v>43171</v>
      </c>
      <c r="F1203" s="30" t="s">
        <v>114</v>
      </c>
      <c r="G1203" s="30" t="s">
        <v>115</v>
      </c>
      <c r="H1203" s="30" t="s">
        <v>116</v>
      </c>
      <c r="I1203" s="29">
        <v>10000</v>
      </c>
      <c r="J1203" s="29">
        <v>10</v>
      </c>
      <c r="K1203" s="29">
        <v>1000</v>
      </c>
      <c r="L1203" s="38"/>
      <c r="M1203" s="39"/>
      <c r="N1203" s="40"/>
      <c r="O1203" s="35"/>
      <c r="P1203" s="36"/>
      <c r="Q1203" s="36"/>
      <c r="T1203" s="36"/>
    </row>
    <row r="1204" spans="1:20" s="37" customFormat="1" ht="18.75" customHeight="1">
      <c r="A1204" s="29">
        <f t="shared" si="23"/>
        <v>1179</v>
      </c>
      <c r="B1204" s="30"/>
      <c r="C1204" s="30" t="s">
        <v>1689</v>
      </c>
      <c r="D1204" s="30" t="s">
        <v>1885</v>
      </c>
      <c r="E1204" s="31">
        <v>43171</v>
      </c>
      <c r="F1204" s="30" t="s">
        <v>114</v>
      </c>
      <c r="G1204" s="30" t="s">
        <v>115</v>
      </c>
      <c r="H1204" s="30" t="s">
        <v>116</v>
      </c>
      <c r="I1204" s="29">
        <v>10000</v>
      </c>
      <c r="J1204" s="29">
        <v>10</v>
      </c>
      <c r="K1204" s="29">
        <v>1000</v>
      </c>
      <c r="L1204" s="38"/>
      <c r="M1204" s="39"/>
      <c r="N1204" s="40"/>
      <c r="O1204" s="35"/>
      <c r="P1204" s="36"/>
      <c r="Q1204" s="36"/>
      <c r="T1204" s="36"/>
    </row>
    <row r="1205" spans="1:20" s="37" customFormat="1" ht="18.75" customHeight="1">
      <c r="A1205" s="29">
        <f t="shared" si="23"/>
        <v>1180</v>
      </c>
      <c r="B1205" s="30"/>
      <c r="C1205" s="30" t="s">
        <v>468</v>
      </c>
      <c r="D1205" s="30" t="s">
        <v>1886</v>
      </c>
      <c r="E1205" s="31">
        <v>43172</v>
      </c>
      <c r="F1205" s="30" t="s">
        <v>159</v>
      </c>
      <c r="G1205" s="30" t="s">
        <v>160</v>
      </c>
      <c r="H1205" s="30" t="s">
        <v>161</v>
      </c>
      <c r="I1205" s="29">
        <v>9000000</v>
      </c>
      <c r="J1205" s="29">
        <v>10</v>
      </c>
      <c r="K1205" s="29">
        <v>900000</v>
      </c>
      <c r="L1205" s="38"/>
      <c r="M1205" s="39"/>
      <c r="N1205" s="40"/>
      <c r="O1205" s="35"/>
      <c r="P1205" s="36"/>
      <c r="Q1205" s="36"/>
      <c r="T1205" s="36"/>
    </row>
    <row r="1206" spans="1:20" s="37" customFormat="1" ht="18.75" customHeight="1">
      <c r="A1206" s="29">
        <f t="shared" si="23"/>
        <v>1181</v>
      </c>
      <c r="B1206" s="30"/>
      <c r="C1206" s="30" t="s">
        <v>261</v>
      </c>
      <c r="D1206" s="30" t="s">
        <v>1887</v>
      </c>
      <c r="E1206" s="31">
        <v>43172</v>
      </c>
      <c r="F1206" s="30" t="s">
        <v>139</v>
      </c>
      <c r="G1206" s="30" t="s">
        <v>140</v>
      </c>
      <c r="H1206" s="30" t="s">
        <v>1888</v>
      </c>
      <c r="I1206" s="29">
        <v>451832</v>
      </c>
      <c r="J1206" s="29">
        <v>10</v>
      </c>
      <c r="K1206" s="29">
        <v>45183</v>
      </c>
      <c r="L1206" s="38"/>
      <c r="M1206" s="39"/>
      <c r="N1206" s="40"/>
      <c r="O1206" s="35"/>
      <c r="P1206" s="36"/>
      <c r="Q1206" s="36"/>
      <c r="T1206" s="36"/>
    </row>
    <row r="1207" spans="1:20" s="37" customFormat="1" ht="18.75" customHeight="1">
      <c r="A1207" s="29">
        <f t="shared" si="23"/>
        <v>1182</v>
      </c>
      <c r="B1207" s="30"/>
      <c r="C1207" s="30" t="s">
        <v>261</v>
      </c>
      <c r="D1207" s="30" t="s">
        <v>1889</v>
      </c>
      <c r="E1207" s="31">
        <v>43172</v>
      </c>
      <c r="F1207" s="30" t="s">
        <v>139</v>
      </c>
      <c r="G1207" s="30" t="s">
        <v>140</v>
      </c>
      <c r="H1207" s="30" t="s">
        <v>1888</v>
      </c>
      <c r="I1207" s="29">
        <v>402409</v>
      </c>
      <c r="J1207" s="29">
        <v>10</v>
      </c>
      <c r="K1207" s="29">
        <v>40241</v>
      </c>
      <c r="L1207" s="38"/>
      <c r="M1207" s="39"/>
      <c r="N1207" s="40"/>
      <c r="O1207" s="35"/>
      <c r="P1207" s="36"/>
      <c r="Q1207" s="36"/>
      <c r="T1207" s="36"/>
    </row>
    <row r="1208" spans="1:20" s="37" customFormat="1" ht="18.75" customHeight="1">
      <c r="A1208" s="29">
        <f t="shared" si="23"/>
        <v>1183</v>
      </c>
      <c r="B1208" s="30"/>
      <c r="C1208" s="30" t="s">
        <v>261</v>
      </c>
      <c r="D1208" s="30" t="s">
        <v>1890</v>
      </c>
      <c r="E1208" s="31">
        <v>43172</v>
      </c>
      <c r="F1208" s="30" t="s">
        <v>139</v>
      </c>
      <c r="G1208" s="30" t="s">
        <v>140</v>
      </c>
      <c r="H1208" s="30" t="s">
        <v>1888</v>
      </c>
      <c r="I1208" s="29">
        <v>397075</v>
      </c>
      <c r="J1208" s="29">
        <v>10</v>
      </c>
      <c r="K1208" s="29">
        <v>39707</v>
      </c>
      <c r="L1208" s="38"/>
      <c r="M1208" s="39"/>
      <c r="N1208" s="40"/>
      <c r="O1208" s="35"/>
      <c r="P1208" s="36"/>
      <c r="Q1208" s="36"/>
      <c r="T1208" s="36"/>
    </row>
    <row r="1209" spans="1:20" s="37" customFormat="1" ht="18.75" customHeight="1">
      <c r="A1209" s="29">
        <f t="shared" si="23"/>
        <v>1184</v>
      </c>
      <c r="B1209" s="30"/>
      <c r="C1209" s="30" t="s">
        <v>1237</v>
      </c>
      <c r="D1209" s="30" t="s">
        <v>1891</v>
      </c>
      <c r="E1209" s="31">
        <v>43173</v>
      </c>
      <c r="F1209" s="30" t="s">
        <v>1239</v>
      </c>
      <c r="G1209" s="30" t="s">
        <v>1240</v>
      </c>
      <c r="H1209" s="30" t="s">
        <v>1241</v>
      </c>
      <c r="I1209" s="29">
        <v>50894552</v>
      </c>
      <c r="J1209" s="29">
        <v>10</v>
      </c>
      <c r="K1209" s="29">
        <v>5089455</v>
      </c>
      <c r="L1209" s="38" t="s">
        <v>52</v>
      </c>
      <c r="M1209" s="39">
        <v>43210</v>
      </c>
      <c r="N1209" s="40" t="s">
        <v>1866</v>
      </c>
      <c r="O1209" s="35"/>
      <c r="P1209" s="36"/>
      <c r="Q1209" s="36"/>
      <c r="T1209" s="36"/>
    </row>
    <row r="1210" spans="1:20" s="37" customFormat="1" ht="18.75" customHeight="1">
      <c r="A1210" s="29">
        <f t="shared" si="23"/>
        <v>1185</v>
      </c>
      <c r="B1210" s="30"/>
      <c r="C1210" s="30" t="s">
        <v>726</v>
      </c>
      <c r="D1210" s="30" t="s">
        <v>1892</v>
      </c>
      <c r="E1210" s="31">
        <v>43173</v>
      </c>
      <c r="F1210" s="30" t="s">
        <v>63</v>
      </c>
      <c r="G1210" s="30" t="s">
        <v>64</v>
      </c>
      <c r="H1210" s="30" t="s">
        <v>1893</v>
      </c>
      <c r="I1210" s="29">
        <v>11363636</v>
      </c>
      <c r="J1210" s="29">
        <v>10</v>
      </c>
      <c r="K1210" s="29">
        <v>1136364</v>
      </c>
      <c r="L1210" s="38"/>
      <c r="M1210" s="39"/>
      <c r="N1210" s="40"/>
      <c r="O1210" s="35"/>
      <c r="P1210" s="36"/>
      <c r="Q1210" s="36"/>
      <c r="T1210" s="36"/>
    </row>
    <row r="1211" spans="1:20" s="37" customFormat="1" ht="18.75" customHeight="1">
      <c r="A1211" s="29">
        <f t="shared" si="23"/>
        <v>1186</v>
      </c>
      <c r="B1211" s="30"/>
      <c r="C1211" s="30" t="s">
        <v>167</v>
      </c>
      <c r="D1211" s="30" t="s">
        <v>1894</v>
      </c>
      <c r="E1211" s="31">
        <v>43174</v>
      </c>
      <c r="F1211" s="30" t="s">
        <v>258</v>
      </c>
      <c r="G1211" s="30" t="s">
        <v>259</v>
      </c>
      <c r="H1211" s="30" t="s">
        <v>1895</v>
      </c>
      <c r="I1211" s="29">
        <v>42879090</v>
      </c>
      <c r="J1211" s="29">
        <v>10</v>
      </c>
      <c r="K1211" s="29">
        <v>4287909</v>
      </c>
      <c r="L1211" s="38" t="s">
        <v>52</v>
      </c>
      <c r="M1211" s="39">
        <v>43210</v>
      </c>
      <c r="N1211" s="40" t="s">
        <v>1866</v>
      </c>
      <c r="O1211" s="35"/>
      <c r="P1211" s="36"/>
      <c r="Q1211" s="36"/>
      <c r="T1211" s="36"/>
    </row>
    <row r="1212" spans="1:20" s="37" customFormat="1" ht="18.75" customHeight="1">
      <c r="A1212" s="29">
        <f t="shared" si="23"/>
        <v>1187</v>
      </c>
      <c r="B1212" s="30"/>
      <c r="C1212" s="30" t="s">
        <v>1250</v>
      </c>
      <c r="D1212" s="30" t="s">
        <v>1896</v>
      </c>
      <c r="E1212" s="31">
        <v>43174</v>
      </c>
      <c r="F1212" s="30" t="s">
        <v>333</v>
      </c>
      <c r="G1212" s="30" t="s">
        <v>334</v>
      </c>
      <c r="H1212" s="30" t="s">
        <v>134</v>
      </c>
      <c r="I1212" s="29">
        <v>1452000</v>
      </c>
      <c r="J1212" s="29">
        <v>10</v>
      </c>
      <c r="K1212" s="29">
        <v>145200</v>
      </c>
      <c r="L1212" s="38"/>
      <c r="M1212" s="39"/>
      <c r="N1212" s="40"/>
      <c r="O1212" s="35"/>
      <c r="P1212" s="36"/>
      <c r="Q1212" s="36"/>
      <c r="T1212" s="36"/>
    </row>
    <row r="1213" spans="1:20" s="37" customFormat="1" ht="18.75" customHeight="1">
      <c r="A1213" s="29">
        <f t="shared" si="23"/>
        <v>1188</v>
      </c>
      <c r="B1213" s="30"/>
      <c r="C1213" s="30" t="s">
        <v>74</v>
      </c>
      <c r="D1213" s="30" t="s">
        <v>631</v>
      </c>
      <c r="E1213" s="31">
        <v>43175</v>
      </c>
      <c r="F1213" s="30" t="s">
        <v>76</v>
      </c>
      <c r="G1213" s="30" t="s">
        <v>77</v>
      </c>
      <c r="H1213" s="30" t="s">
        <v>790</v>
      </c>
      <c r="I1213" s="29">
        <v>1795200</v>
      </c>
      <c r="J1213" s="29">
        <v>10</v>
      </c>
      <c r="K1213" s="29">
        <v>179520</v>
      </c>
      <c r="L1213" s="38"/>
      <c r="M1213" s="39"/>
      <c r="N1213" s="40"/>
      <c r="O1213" s="35"/>
      <c r="P1213" s="36"/>
      <c r="Q1213" s="36"/>
      <c r="T1213" s="36"/>
    </row>
    <row r="1214" spans="1:20" s="37" customFormat="1" ht="18.75" customHeight="1">
      <c r="A1214" s="29">
        <f t="shared" si="23"/>
        <v>1189</v>
      </c>
      <c r="B1214" s="30"/>
      <c r="C1214" s="30" t="s">
        <v>74</v>
      </c>
      <c r="D1214" s="30" t="s">
        <v>1897</v>
      </c>
      <c r="E1214" s="31">
        <v>43175</v>
      </c>
      <c r="F1214" s="30" t="s">
        <v>76</v>
      </c>
      <c r="G1214" s="30" t="s">
        <v>77</v>
      </c>
      <c r="H1214" s="30" t="s">
        <v>561</v>
      </c>
      <c r="I1214" s="29">
        <v>2446200</v>
      </c>
      <c r="J1214" s="29">
        <v>10</v>
      </c>
      <c r="K1214" s="29">
        <v>244620</v>
      </c>
      <c r="L1214" s="38"/>
      <c r="M1214" s="39"/>
      <c r="N1214" s="40"/>
      <c r="O1214" s="35"/>
      <c r="P1214" s="36"/>
      <c r="Q1214" s="36"/>
      <c r="T1214" s="36"/>
    </row>
    <row r="1215" spans="1:20" s="37" customFormat="1" ht="18.75" customHeight="1">
      <c r="A1215" s="29">
        <f t="shared" si="23"/>
        <v>1190</v>
      </c>
      <c r="B1215" s="30"/>
      <c r="C1215" s="30" t="s">
        <v>74</v>
      </c>
      <c r="D1215" s="30" t="s">
        <v>1898</v>
      </c>
      <c r="E1215" s="31">
        <v>43175</v>
      </c>
      <c r="F1215" s="30" t="s">
        <v>76</v>
      </c>
      <c r="G1215" s="30" t="s">
        <v>77</v>
      </c>
      <c r="H1215" s="30" t="s">
        <v>1899</v>
      </c>
      <c r="I1215" s="29">
        <v>589600</v>
      </c>
      <c r="J1215" s="29">
        <v>10</v>
      </c>
      <c r="K1215" s="29">
        <v>58960</v>
      </c>
      <c r="L1215" s="38"/>
      <c r="M1215" s="39"/>
      <c r="N1215" s="40"/>
      <c r="O1215" s="35"/>
      <c r="P1215" s="36"/>
      <c r="Q1215" s="36"/>
      <c r="T1215" s="36"/>
    </row>
    <row r="1216" spans="1:20" s="37" customFormat="1" ht="18.75" customHeight="1">
      <c r="A1216" s="29">
        <f t="shared" si="23"/>
        <v>1191</v>
      </c>
      <c r="B1216" s="30"/>
      <c r="C1216" s="30" t="s">
        <v>1250</v>
      </c>
      <c r="D1216" s="30" t="s">
        <v>1900</v>
      </c>
      <c r="E1216" s="31">
        <v>43175</v>
      </c>
      <c r="F1216" s="30" t="s">
        <v>333</v>
      </c>
      <c r="G1216" s="30" t="s">
        <v>334</v>
      </c>
      <c r="H1216" s="30" t="s">
        <v>134</v>
      </c>
      <c r="I1216" s="29">
        <v>1470000</v>
      </c>
      <c r="J1216" s="29">
        <v>10</v>
      </c>
      <c r="K1216" s="29">
        <v>147000</v>
      </c>
      <c r="L1216" s="38"/>
      <c r="M1216" s="39"/>
      <c r="N1216" s="40"/>
      <c r="O1216" s="35"/>
      <c r="P1216" s="36"/>
      <c r="Q1216" s="36"/>
      <c r="T1216" s="36"/>
    </row>
    <row r="1217" spans="1:20" s="37" customFormat="1" ht="18.75" customHeight="1">
      <c r="A1217" s="29">
        <f t="shared" si="23"/>
        <v>1192</v>
      </c>
      <c r="B1217" s="30"/>
      <c r="C1217" s="30" t="s">
        <v>167</v>
      </c>
      <c r="D1217" s="30" t="s">
        <v>1901</v>
      </c>
      <c r="E1217" s="31">
        <v>43175</v>
      </c>
      <c r="F1217" s="30" t="s">
        <v>169</v>
      </c>
      <c r="G1217" s="30" t="s">
        <v>170</v>
      </c>
      <c r="H1217" s="30" t="s">
        <v>171</v>
      </c>
      <c r="I1217" s="29">
        <v>883000</v>
      </c>
      <c r="J1217" s="29">
        <v>10</v>
      </c>
      <c r="K1217" s="29">
        <v>85300</v>
      </c>
      <c r="L1217" s="38"/>
      <c r="M1217" s="39"/>
      <c r="N1217" s="40"/>
      <c r="O1217" s="35"/>
      <c r="P1217" s="36"/>
      <c r="Q1217" s="36"/>
      <c r="T1217" s="36"/>
    </row>
    <row r="1218" spans="1:20" s="37" customFormat="1" ht="18.75" customHeight="1">
      <c r="A1218" s="29">
        <f t="shared" si="23"/>
        <v>1193</v>
      </c>
      <c r="B1218" s="30"/>
      <c r="C1218" s="30" t="s">
        <v>502</v>
      </c>
      <c r="D1218" s="30" t="s">
        <v>1902</v>
      </c>
      <c r="E1218" s="31">
        <v>43175</v>
      </c>
      <c r="F1218" s="30" t="s">
        <v>362</v>
      </c>
      <c r="G1218" s="30" t="s">
        <v>363</v>
      </c>
      <c r="H1218" s="30" t="s">
        <v>129</v>
      </c>
      <c r="I1218" s="29">
        <v>454545</v>
      </c>
      <c r="J1218" s="29">
        <v>10</v>
      </c>
      <c r="K1218" s="29">
        <v>45455</v>
      </c>
      <c r="L1218" s="38"/>
      <c r="M1218" s="39"/>
      <c r="N1218" s="40"/>
      <c r="O1218" s="35"/>
      <c r="P1218" s="36"/>
      <c r="Q1218" s="36"/>
      <c r="T1218" s="36"/>
    </row>
    <row r="1219" spans="1:20" s="37" customFormat="1" ht="18.75" customHeight="1">
      <c r="A1219" s="29">
        <f t="shared" si="23"/>
        <v>1194</v>
      </c>
      <c r="B1219" s="30"/>
      <c r="C1219" s="30" t="s">
        <v>502</v>
      </c>
      <c r="D1219" s="30" t="s">
        <v>1903</v>
      </c>
      <c r="E1219" s="31">
        <v>43177</v>
      </c>
      <c r="F1219" s="30" t="s">
        <v>666</v>
      </c>
      <c r="G1219" s="30" t="s">
        <v>363</v>
      </c>
      <c r="H1219" s="30" t="s">
        <v>129</v>
      </c>
      <c r="I1219" s="29">
        <v>2865455</v>
      </c>
      <c r="J1219" s="29">
        <v>10</v>
      </c>
      <c r="K1219" s="29">
        <v>286545</v>
      </c>
      <c r="L1219" s="38"/>
      <c r="M1219" s="39"/>
      <c r="N1219" s="40"/>
      <c r="O1219" s="35"/>
      <c r="P1219" s="36"/>
      <c r="Q1219" s="36"/>
      <c r="T1219" s="36"/>
    </row>
    <row r="1220" spans="1:20" s="37" customFormat="1" ht="18.75" customHeight="1">
      <c r="A1220" s="29">
        <f t="shared" si="23"/>
        <v>1195</v>
      </c>
      <c r="B1220" s="30"/>
      <c r="C1220" s="30" t="s">
        <v>194</v>
      </c>
      <c r="D1220" s="30" t="s">
        <v>1904</v>
      </c>
      <c r="E1220" s="31">
        <v>43178</v>
      </c>
      <c r="F1220" s="30" t="s">
        <v>196</v>
      </c>
      <c r="G1220" s="30" t="s">
        <v>197</v>
      </c>
      <c r="H1220" s="30" t="s">
        <v>402</v>
      </c>
      <c r="I1220" s="29">
        <v>2497696</v>
      </c>
      <c r="J1220" s="29">
        <v>10</v>
      </c>
      <c r="K1220" s="29">
        <v>249770</v>
      </c>
      <c r="L1220" s="38"/>
      <c r="M1220" s="39"/>
      <c r="N1220" s="40"/>
      <c r="O1220" s="35"/>
      <c r="P1220" s="36"/>
      <c r="Q1220" s="36"/>
      <c r="T1220" s="36"/>
    </row>
    <row r="1221" spans="1:20" s="37" customFormat="1" ht="18.75" customHeight="1">
      <c r="A1221" s="29">
        <f t="shared" si="23"/>
        <v>1196</v>
      </c>
      <c r="B1221" s="30"/>
      <c r="C1221" s="30" t="s">
        <v>320</v>
      </c>
      <c r="D1221" s="30" t="s">
        <v>1905</v>
      </c>
      <c r="E1221" s="31">
        <v>43179</v>
      </c>
      <c r="F1221" s="30" t="s">
        <v>322</v>
      </c>
      <c r="G1221" s="30" t="s">
        <v>323</v>
      </c>
      <c r="H1221" s="30" t="s">
        <v>1906</v>
      </c>
      <c r="I1221" s="29">
        <v>30908480</v>
      </c>
      <c r="J1221" s="29">
        <v>10</v>
      </c>
      <c r="K1221" s="29">
        <v>3090848</v>
      </c>
      <c r="L1221" s="38" t="s">
        <v>52</v>
      </c>
      <c r="M1221" s="39">
        <v>43210</v>
      </c>
      <c r="N1221" s="40" t="s">
        <v>1866</v>
      </c>
      <c r="O1221" s="35"/>
      <c r="P1221" s="36"/>
      <c r="Q1221" s="36"/>
      <c r="T1221" s="36"/>
    </row>
    <row r="1222" spans="1:20" s="37" customFormat="1" ht="18.75" customHeight="1">
      <c r="A1222" s="29">
        <f t="shared" si="23"/>
        <v>1197</v>
      </c>
      <c r="B1222" s="30"/>
      <c r="C1222" s="30" t="s">
        <v>119</v>
      </c>
      <c r="D1222" s="30" t="s">
        <v>1907</v>
      </c>
      <c r="E1222" s="31">
        <v>43179</v>
      </c>
      <c r="F1222" s="30" t="s">
        <v>121</v>
      </c>
      <c r="G1222" s="30" t="s">
        <v>122</v>
      </c>
      <c r="H1222" s="30" t="s">
        <v>212</v>
      </c>
      <c r="I1222" s="29">
        <v>274182691</v>
      </c>
      <c r="J1222" s="29">
        <v>10</v>
      </c>
      <c r="K1222" s="29">
        <v>27418269</v>
      </c>
      <c r="L1222" s="38" t="s">
        <v>52</v>
      </c>
      <c r="M1222" s="39">
        <v>43185</v>
      </c>
      <c r="N1222" s="40" t="s">
        <v>1866</v>
      </c>
      <c r="O1222" s="35"/>
      <c r="P1222" s="36"/>
      <c r="Q1222" s="36"/>
      <c r="T1222" s="36"/>
    </row>
    <row r="1223" spans="1:20" s="37" customFormat="1" ht="18.75" customHeight="1">
      <c r="A1223" s="29">
        <f t="shared" si="23"/>
        <v>1198</v>
      </c>
      <c r="B1223" s="30"/>
      <c r="C1223" s="30" t="s">
        <v>1908</v>
      </c>
      <c r="D1223" s="30" t="s">
        <v>1909</v>
      </c>
      <c r="E1223" s="31">
        <v>43180</v>
      </c>
      <c r="F1223" s="30" t="s">
        <v>1910</v>
      </c>
      <c r="G1223" s="30" t="s">
        <v>1911</v>
      </c>
      <c r="H1223" s="30" t="s">
        <v>1912</v>
      </c>
      <c r="I1223" s="29">
        <v>1015135</v>
      </c>
      <c r="J1223" s="29">
        <v>10</v>
      </c>
      <c r="K1223" s="29">
        <v>101513</v>
      </c>
      <c r="L1223" s="38"/>
      <c r="M1223" s="39"/>
      <c r="N1223" s="40"/>
      <c r="O1223" s="35"/>
      <c r="P1223" s="36"/>
      <c r="Q1223" s="36"/>
      <c r="T1223" s="36"/>
    </row>
    <row r="1224" spans="1:20" s="37" customFormat="1" ht="18.75" customHeight="1">
      <c r="A1224" s="29">
        <f t="shared" si="23"/>
        <v>1199</v>
      </c>
      <c r="B1224" s="30"/>
      <c r="C1224" s="30" t="s">
        <v>1689</v>
      </c>
      <c r="D1224" s="30" t="s">
        <v>1913</v>
      </c>
      <c r="E1224" s="31">
        <v>43180</v>
      </c>
      <c r="F1224" s="30" t="s">
        <v>114</v>
      </c>
      <c r="G1224" s="30" t="s">
        <v>115</v>
      </c>
      <c r="H1224" s="30" t="s">
        <v>116</v>
      </c>
      <c r="I1224" s="29">
        <v>23510</v>
      </c>
      <c r="J1224" s="29">
        <v>10</v>
      </c>
      <c r="K1224" s="29">
        <v>2351</v>
      </c>
      <c r="L1224" s="38"/>
      <c r="M1224" s="39"/>
      <c r="N1224" s="40"/>
      <c r="O1224" s="35"/>
      <c r="P1224" s="36"/>
      <c r="Q1224" s="36"/>
      <c r="T1224" s="36"/>
    </row>
    <row r="1225" spans="1:20" s="37" customFormat="1" ht="18.75" customHeight="1">
      <c r="A1225" s="29">
        <f t="shared" si="23"/>
        <v>1200</v>
      </c>
      <c r="B1225" s="30"/>
      <c r="C1225" s="30" t="s">
        <v>1689</v>
      </c>
      <c r="D1225" s="30" t="s">
        <v>1914</v>
      </c>
      <c r="E1225" s="31">
        <v>43180</v>
      </c>
      <c r="F1225" s="30" t="s">
        <v>114</v>
      </c>
      <c r="G1225" s="30" t="s">
        <v>115</v>
      </c>
      <c r="H1225" s="30" t="s">
        <v>116</v>
      </c>
      <c r="I1225" s="29">
        <v>20000</v>
      </c>
      <c r="J1225" s="29">
        <v>10</v>
      </c>
      <c r="K1225" s="29">
        <v>2000</v>
      </c>
      <c r="L1225" s="38"/>
      <c r="M1225" s="39"/>
      <c r="N1225" s="40"/>
      <c r="O1225" s="35"/>
      <c r="P1225" s="36"/>
      <c r="Q1225" s="36"/>
      <c r="T1225" s="36"/>
    </row>
    <row r="1226" spans="1:20" s="37" customFormat="1" ht="18.75" customHeight="1">
      <c r="A1226" s="29">
        <f t="shared" si="23"/>
        <v>1201</v>
      </c>
      <c r="B1226" s="30"/>
      <c r="C1226" s="30" t="s">
        <v>1689</v>
      </c>
      <c r="D1226" s="30" t="s">
        <v>1915</v>
      </c>
      <c r="E1226" s="31">
        <v>43180</v>
      </c>
      <c r="F1226" s="30" t="s">
        <v>114</v>
      </c>
      <c r="G1226" s="30" t="s">
        <v>115</v>
      </c>
      <c r="H1226" s="30" t="s">
        <v>116</v>
      </c>
      <c r="I1226" s="29">
        <v>20000</v>
      </c>
      <c r="J1226" s="29">
        <v>10</v>
      </c>
      <c r="K1226" s="29">
        <v>2000</v>
      </c>
      <c r="L1226" s="38"/>
      <c r="M1226" s="39"/>
      <c r="N1226" s="40"/>
      <c r="O1226" s="35"/>
      <c r="P1226" s="36"/>
      <c r="Q1226" s="36"/>
      <c r="T1226" s="36"/>
    </row>
    <row r="1227" spans="1:20" s="37" customFormat="1" ht="18.75" customHeight="1">
      <c r="A1227" s="29">
        <f t="shared" si="23"/>
        <v>1202</v>
      </c>
      <c r="B1227" s="30"/>
      <c r="C1227" s="30" t="s">
        <v>1689</v>
      </c>
      <c r="D1227" s="30" t="s">
        <v>1916</v>
      </c>
      <c r="E1227" s="31">
        <v>43180</v>
      </c>
      <c r="F1227" s="30" t="s">
        <v>114</v>
      </c>
      <c r="G1227" s="30" t="s">
        <v>115</v>
      </c>
      <c r="H1227" s="30" t="s">
        <v>116</v>
      </c>
      <c r="I1227" s="29">
        <v>20000</v>
      </c>
      <c r="J1227" s="29">
        <v>10</v>
      </c>
      <c r="K1227" s="29">
        <v>2000</v>
      </c>
      <c r="L1227" s="38"/>
      <c r="M1227" s="39"/>
      <c r="N1227" s="40"/>
      <c r="O1227" s="35"/>
      <c r="P1227" s="36"/>
      <c r="Q1227" s="36"/>
      <c r="T1227" s="36"/>
    </row>
    <row r="1228" spans="1:20" s="37" customFormat="1" ht="18.75" customHeight="1">
      <c r="A1228" s="29">
        <f t="shared" si="23"/>
        <v>1203</v>
      </c>
      <c r="B1228" s="30"/>
      <c r="C1228" s="30" t="s">
        <v>1689</v>
      </c>
      <c r="D1228" s="30" t="s">
        <v>1917</v>
      </c>
      <c r="E1228" s="31">
        <v>43180</v>
      </c>
      <c r="F1228" s="30" t="s">
        <v>114</v>
      </c>
      <c r="G1228" s="30" t="s">
        <v>115</v>
      </c>
      <c r="H1228" s="30" t="s">
        <v>116</v>
      </c>
      <c r="I1228" s="29">
        <v>20000</v>
      </c>
      <c r="J1228" s="29">
        <v>10</v>
      </c>
      <c r="K1228" s="29">
        <v>2000</v>
      </c>
      <c r="L1228" s="38"/>
      <c r="M1228" s="39"/>
      <c r="N1228" s="40"/>
      <c r="O1228" s="35"/>
      <c r="P1228" s="36"/>
      <c r="Q1228" s="36"/>
      <c r="T1228" s="36"/>
    </row>
    <row r="1229" spans="1:20" s="37" customFormat="1" ht="18.75" customHeight="1">
      <c r="A1229" s="29">
        <f t="shared" si="23"/>
        <v>1204</v>
      </c>
      <c r="B1229" s="30"/>
      <c r="C1229" s="30" t="s">
        <v>1689</v>
      </c>
      <c r="D1229" s="30" t="s">
        <v>1918</v>
      </c>
      <c r="E1229" s="31">
        <v>43180</v>
      </c>
      <c r="F1229" s="30" t="s">
        <v>114</v>
      </c>
      <c r="G1229" s="30" t="s">
        <v>115</v>
      </c>
      <c r="H1229" s="30" t="s">
        <v>116</v>
      </c>
      <c r="I1229" s="29">
        <v>10000</v>
      </c>
      <c r="J1229" s="29">
        <v>10</v>
      </c>
      <c r="K1229" s="29">
        <v>1000</v>
      </c>
      <c r="L1229" s="38"/>
      <c r="M1229" s="39"/>
      <c r="N1229" s="40"/>
      <c r="O1229" s="35"/>
      <c r="P1229" s="36"/>
      <c r="Q1229" s="36"/>
      <c r="T1229" s="36"/>
    </row>
    <row r="1230" spans="1:20" s="37" customFormat="1" ht="18.75" customHeight="1">
      <c r="A1230" s="29">
        <f t="shared" si="23"/>
        <v>1205</v>
      </c>
      <c r="B1230" s="30"/>
      <c r="C1230" s="30" t="s">
        <v>1689</v>
      </c>
      <c r="D1230" s="30" t="s">
        <v>1919</v>
      </c>
      <c r="E1230" s="31">
        <v>43180</v>
      </c>
      <c r="F1230" s="30" t="s">
        <v>114</v>
      </c>
      <c r="G1230" s="30" t="s">
        <v>115</v>
      </c>
      <c r="H1230" s="30" t="s">
        <v>116</v>
      </c>
      <c r="I1230" s="29">
        <v>42655</v>
      </c>
      <c r="J1230" s="29">
        <v>10</v>
      </c>
      <c r="K1230" s="29">
        <v>4266</v>
      </c>
      <c r="L1230" s="38"/>
      <c r="M1230" s="39"/>
      <c r="N1230" s="40"/>
      <c r="O1230" s="35"/>
      <c r="P1230" s="36"/>
      <c r="Q1230" s="36"/>
      <c r="T1230" s="36"/>
    </row>
    <row r="1231" spans="1:20" s="37" customFormat="1" ht="18.75" customHeight="1">
      <c r="A1231" s="29">
        <f t="shared" si="23"/>
        <v>1206</v>
      </c>
      <c r="B1231" s="30"/>
      <c r="C1231" s="30" t="s">
        <v>1689</v>
      </c>
      <c r="D1231" s="30" t="s">
        <v>1920</v>
      </c>
      <c r="E1231" s="31">
        <v>43180</v>
      </c>
      <c r="F1231" s="30" t="s">
        <v>114</v>
      </c>
      <c r="G1231" s="30" t="s">
        <v>115</v>
      </c>
      <c r="H1231" s="30" t="s">
        <v>116</v>
      </c>
      <c r="I1231" s="29">
        <v>10000</v>
      </c>
      <c r="J1231" s="29">
        <v>10</v>
      </c>
      <c r="K1231" s="29">
        <v>1000</v>
      </c>
      <c r="L1231" s="38"/>
      <c r="M1231" s="39"/>
      <c r="N1231" s="40"/>
      <c r="O1231" s="35"/>
      <c r="P1231" s="36"/>
      <c r="Q1231" s="36"/>
      <c r="T1231" s="36"/>
    </row>
    <row r="1232" spans="1:20" s="37" customFormat="1" ht="18.75" customHeight="1">
      <c r="A1232" s="29">
        <f t="shared" si="23"/>
        <v>1207</v>
      </c>
      <c r="B1232" s="30"/>
      <c r="C1232" s="30" t="s">
        <v>100</v>
      </c>
      <c r="D1232" s="30" t="s">
        <v>1713</v>
      </c>
      <c r="E1232" s="31">
        <v>43181</v>
      </c>
      <c r="F1232" s="30" t="s">
        <v>102</v>
      </c>
      <c r="G1232" s="30" t="s">
        <v>103</v>
      </c>
      <c r="H1232" s="30" t="s">
        <v>104</v>
      </c>
      <c r="I1232" s="29">
        <v>22660000</v>
      </c>
      <c r="J1232" s="29">
        <v>10</v>
      </c>
      <c r="K1232" s="29">
        <v>2266000</v>
      </c>
      <c r="L1232" s="38" t="s">
        <v>52</v>
      </c>
      <c r="M1232" s="39">
        <v>43210</v>
      </c>
      <c r="N1232" s="40" t="s">
        <v>1866</v>
      </c>
      <c r="O1232" s="35"/>
      <c r="P1232" s="36"/>
      <c r="Q1232" s="36"/>
      <c r="T1232" s="36"/>
    </row>
    <row r="1233" spans="1:20" s="37" customFormat="1" ht="18.75" customHeight="1">
      <c r="A1233" s="29">
        <f t="shared" si="23"/>
        <v>1208</v>
      </c>
      <c r="B1233" s="30"/>
      <c r="C1233" s="30" t="s">
        <v>119</v>
      </c>
      <c r="D1233" s="30" t="s">
        <v>1921</v>
      </c>
      <c r="E1233" s="31">
        <v>43181</v>
      </c>
      <c r="F1233" s="30" t="s">
        <v>121</v>
      </c>
      <c r="G1233" s="30" t="s">
        <v>122</v>
      </c>
      <c r="H1233" s="30" t="s">
        <v>212</v>
      </c>
      <c r="I1233" s="29">
        <v>282955737</v>
      </c>
      <c r="J1233" s="29">
        <v>10</v>
      </c>
      <c r="K1233" s="29">
        <v>28295573</v>
      </c>
      <c r="L1233" s="38" t="s">
        <v>52</v>
      </c>
      <c r="M1233" s="39">
        <v>43185</v>
      </c>
      <c r="N1233" s="40" t="s">
        <v>1866</v>
      </c>
      <c r="O1233" s="35"/>
      <c r="P1233" s="36"/>
      <c r="Q1233" s="36"/>
      <c r="T1233" s="36"/>
    </row>
    <row r="1234" spans="1:20" s="37" customFormat="1" ht="18.75" customHeight="1">
      <c r="A1234" s="29">
        <f t="shared" si="23"/>
        <v>1209</v>
      </c>
      <c r="B1234" s="30"/>
      <c r="C1234" s="30" t="s">
        <v>93</v>
      </c>
      <c r="D1234" s="30" t="s">
        <v>1922</v>
      </c>
      <c r="E1234" s="31">
        <v>43181</v>
      </c>
      <c r="F1234" s="30" t="s">
        <v>49</v>
      </c>
      <c r="G1234" s="30" t="s">
        <v>50</v>
      </c>
      <c r="H1234" s="30" t="s">
        <v>1788</v>
      </c>
      <c r="I1234" s="29">
        <v>167520000</v>
      </c>
      <c r="J1234" s="29">
        <v>10</v>
      </c>
      <c r="K1234" s="29">
        <v>16752000</v>
      </c>
      <c r="L1234" s="38" t="s">
        <v>52</v>
      </c>
      <c r="M1234" s="39">
        <v>43210</v>
      </c>
      <c r="N1234" s="40" t="s">
        <v>1866</v>
      </c>
      <c r="O1234" s="35"/>
      <c r="P1234" s="36"/>
      <c r="Q1234" s="36"/>
      <c r="T1234" s="36"/>
    </row>
    <row r="1235" spans="1:20" s="37" customFormat="1" ht="18.75" customHeight="1">
      <c r="A1235" s="29">
        <f t="shared" si="23"/>
        <v>1210</v>
      </c>
      <c r="B1235" s="30"/>
      <c r="C1235" s="30" t="s">
        <v>167</v>
      </c>
      <c r="D1235" s="30" t="s">
        <v>1923</v>
      </c>
      <c r="E1235" s="31">
        <v>43182</v>
      </c>
      <c r="F1235" s="30" t="s">
        <v>164</v>
      </c>
      <c r="G1235" s="30" t="s">
        <v>165</v>
      </c>
      <c r="H1235" s="30" t="s">
        <v>166</v>
      </c>
      <c r="I1235" s="29">
        <v>33131130</v>
      </c>
      <c r="J1235" s="29">
        <v>10</v>
      </c>
      <c r="K1235" s="29">
        <v>3313113</v>
      </c>
      <c r="L1235" s="38" t="s">
        <v>52</v>
      </c>
      <c r="M1235" s="39">
        <v>43210</v>
      </c>
      <c r="N1235" s="40" t="s">
        <v>1866</v>
      </c>
      <c r="O1235" s="35"/>
      <c r="P1235" s="36"/>
      <c r="Q1235" s="36"/>
      <c r="T1235" s="36"/>
    </row>
    <row r="1236" spans="1:20" s="37" customFormat="1" ht="18.75" customHeight="1">
      <c r="A1236" s="29">
        <f t="shared" si="23"/>
        <v>1211</v>
      </c>
      <c r="B1236" s="30"/>
      <c r="C1236" s="30" t="s">
        <v>226</v>
      </c>
      <c r="D1236" s="30" t="s">
        <v>1924</v>
      </c>
      <c r="E1236" s="31">
        <v>43185</v>
      </c>
      <c r="F1236" s="30" t="s">
        <v>228</v>
      </c>
      <c r="G1236" s="30" t="s">
        <v>229</v>
      </c>
      <c r="H1236" s="30" t="s">
        <v>1925</v>
      </c>
      <c r="I1236" s="29">
        <v>8532000</v>
      </c>
      <c r="J1236" s="29">
        <v>10</v>
      </c>
      <c r="K1236" s="29">
        <v>853200</v>
      </c>
      <c r="L1236" s="38"/>
      <c r="M1236" s="39"/>
      <c r="N1236" s="40"/>
      <c r="O1236" s="35"/>
      <c r="P1236" s="36"/>
      <c r="Q1236" s="36"/>
      <c r="T1236" s="36"/>
    </row>
    <row r="1237" spans="1:20" s="37" customFormat="1" ht="18.75" customHeight="1">
      <c r="A1237" s="29">
        <f t="shared" si="23"/>
        <v>1212</v>
      </c>
      <c r="B1237" s="30"/>
      <c r="C1237" s="30" t="s">
        <v>502</v>
      </c>
      <c r="D1237" s="30" t="s">
        <v>1926</v>
      </c>
      <c r="E1237" s="31">
        <v>43185</v>
      </c>
      <c r="F1237" s="30" t="s">
        <v>362</v>
      </c>
      <c r="G1237" s="30" t="s">
        <v>363</v>
      </c>
      <c r="H1237" s="30" t="s">
        <v>129</v>
      </c>
      <c r="I1237" s="29">
        <v>454545</v>
      </c>
      <c r="J1237" s="29">
        <v>10</v>
      </c>
      <c r="K1237" s="29">
        <v>45455</v>
      </c>
      <c r="L1237" s="38"/>
      <c r="M1237" s="39"/>
      <c r="N1237" s="40"/>
      <c r="O1237" s="35"/>
      <c r="P1237" s="36"/>
      <c r="Q1237" s="36"/>
      <c r="T1237" s="36"/>
    </row>
    <row r="1238" spans="1:20" s="37" customFormat="1" ht="18.75" customHeight="1">
      <c r="A1238" s="29">
        <f t="shared" si="23"/>
        <v>1213</v>
      </c>
      <c r="B1238" s="30"/>
      <c r="C1238" s="30" t="s">
        <v>468</v>
      </c>
      <c r="D1238" s="30" t="s">
        <v>1927</v>
      </c>
      <c r="E1238" s="31">
        <v>43187</v>
      </c>
      <c r="F1238" s="30" t="s">
        <v>1512</v>
      </c>
      <c r="G1238" s="30" t="s">
        <v>182</v>
      </c>
      <c r="H1238" s="30" t="s">
        <v>1928</v>
      </c>
      <c r="I1238" s="29">
        <v>1233364</v>
      </c>
      <c r="J1238" s="29">
        <v>10</v>
      </c>
      <c r="K1238" s="29">
        <v>123336</v>
      </c>
      <c r="L1238" s="38"/>
      <c r="M1238" s="39"/>
      <c r="N1238" s="40"/>
      <c r="O1238" s="35"/>
      <c r="P1238" s="36"/>
      <c r="Q1238" s="36"/>
      <c r="T1238" s="36"/>
    </row>
    <row r="1239" spans="1:20" s="37" customFormat="1" ht="18.75" customHeight="1">
      <c r="A1239" s="29">
        <f t="shared" si="23"/>
        <v>1214</v>
      </c>
      <c r="B1239" s="30"/>
      <c r="C1239" s="30" t="s">
        <v>502</v>
      </c>
      <c r="D1239" s="30" t="s">
        <v>1929</v>
      </c>
      <c r="E1239" s="31">
        <v>43187</v>
      </c>
      <c r="F1239" s="30" t="s">
        <v>362</v>
      </c>
      <c r="G1239" s="30" t="s">
        <v>363</v>
      </c>
      <c r="H1239" s="30" t="s">
        <v>129</v>
      </c>
      <c r="I1239" s="29">
        <v>454545</v>
      </c>
      <c r="J1239" s="29">
        <v>10</v>
      </c>
      <c r="K1239" s="29">
        <v>45455</v>
      </c>
      <c r="L1239" s="38"/>
      <c r="M1239" s="39"/>
      <c r="N1239" s="40"/>
      <c r="O1239" s="35"/>
      <c r="P1239" s="36"/>
      <c r="Q1239" s="36"/>
      <c r="T1239" s="36"/>
    </row>
    <row r="1240" spans="1:20" s="37" customFormat="1" ht="18.75" customHeight="1">
      <c r="A1240" s="29">
        <f t="shared" si="23"/>
        <v>1215</v>
      </c>
      <c r="B1240" s="30"/>
      <c r="C1240" s="30" t="s">
        <v>1689</v>
      </c>
      <c r="D1240" s="30" t="s">
        <v>1930</v>
      </c>
      <c r="E1240" s="31">
        <v>43187</v>
      </c>
      <c r="F1240" s="30" t="s">
        <v>114</v>
      </c>
      <c r="G1240" s="30" t="s">
        <v>115</v>
      </c>
      <c r="H1240" s="30" t="s">
        <v>116</v>
      </c>
      <c r="I1240" s="29">
        <v>10000</v>
      </c>
      <c r="J1240" s="29">
        <v>10</v>
      </c>
      <c r="K1240" s="29">
        <v>1000</v>
      </c>
      <c r="L1240" s="38"/>
      <c r="M1240" s="39"/>
      <c r="N1240" s="40"/>
      <c r="O1240" s="35"/>
      <c r="P1240" s="36"/>
      <c r="Q1240" s="36"/>
      <c r="T1240" s="36"/>
    </row>
    <row r="1241" spans="1:20" s="37" customFormat="1" ht="18.75" customHeight="1">
      <c r="A1241" s="29">
        <f t="shared" si="23"/>
        <v>1216</v>
      </c>
      <c r="B1241" s="30"/>
      <c r="C1241" s="30" t="s">
        <v>1689</v>
      </c>
      <c r="D1241" s="30" t="s">
        <v>1931</v>
      </c>
      <c r="E1241" s="31">
        <v>43187</v>
      </c>
      <c r="F1241" s="30" t="s">
        <v>114</v>
      </c>
      <c r="G1241" s="30" t="s">
        <v>115</v>
      </c>
      <c r="H1241" s="30" t="s">
        <v>116</v>
      </c>
      <c r="I1241" s="29">
        <v>10000</v>
      </c>
      <c r="J1241" s="29">
        <v>10</v>
      </c>
      <c r="K1241" s="29">
        <v>1000</v>
      </c>
      <c r="L1241" s="38"/>
      <c r="M1241" s="39"/>
      <c r="N1241" s="40"/>
      <c r="O1241" s="35"/>
      <c r="P1241" s="36"/>
      <c r="Q1241" s="36"/>
      <c r="T1241" s="36"/>
    </row>
    <row r="1242" spans="1:20" s="37" customFormat="1" ht="18.75" customHeight="1">
      <c r="A1242" s="29">
        <f t="shared" si="23"/>
        <v>1217</v>
      </c>
      <c r="B1242" s="30"/>
      <c r="C1242" s="30" t="s">
        <v>320</v>
      </c>
      <c r="D1242" s="30" t="s">
        <v>1932</v>
      </c>
      <c r="E1242" s="31">
        <v>43189</v>
      </c>
      <c r="F1242" s="30" t="s">
        <v>372</v>
      </c>
      <c r="G1242" s="30" t="s">
        <v>373</v>
      </c>
      <c r="H1242" s="30" t="s">
        <v>374</v>
      </c>
      <c r="I1242" s="29">
        <v>86809461</v>
      </c>
      <c r="J1242" s="29">
        <v>10</v>
      </c>
      <c r="K1242" s="29">
        <v>8680946</v>
      </c>
      <c r="L1242" s="38" t="s">
        <v>52</v>
      </c>
      <c r="M1242" s="39">
        <v>43210</v>
      </c>
      <c r="N1242" s="40" t="s">
        <v>1866</v>
      </c>
      <c r="O1242" s="35"/>
      <c r="P1242" s="36"/>
      <c r="Q1242" s="36"/>
      <c r="T1242" s="36"/>
    </row>
    <row r="1243" spans="1:20" s="37" customFormat="1" ht="18.75" customHeight="1">
      <c r="A1243" s="29">
        <f t="shared" si="23"/>
        <v>1218</v>
      </c>
      <c r="B1243" s="30"/>
      <c r="C1243" s="30" t="s">
        <v>100</v>
      </c>
      <c r="D1243" s="30" t="s">
        <v>1933</v>
      </c>
      <c r="E1243" s="31">
        <v>43189</v>
      </c>
      <c r="F1243" s="30" t="s">
        <v>102</v>
      </c>
      <c r="G1243" s="30" t="s">
        <v>103</v>
      </c>
      <c r="H1243" s="30" t="s">
        <v>104</v>
      </c>
      <c r="I1243" s="29">
        <v>30940000</v>
      </c>
      <c r="J1243" s="29">
        <v>10</v>
      </c>
      <c r="K1243" s="29">
        <v>3094000</v>
      </c>
      <c r="L1243" s="38" t="s">
        <v>52</v>
      </c>
      <c r="M1243" s="39">
        <v>43210</v>
      </c>
      <c r="N1243" s="40" t="s">
        <v>1866</v>
      </c>
      <c r="O1243" s="35"/>
      <c r="P1243" s="36"/>
      <c r="Q1243" s="36"/>
      <c r="T1243" s="36"/>
    </row>
    <row r="1244" spans="1:20" s="37" customFormat="1" ht="18.75" customHeight="1">
      <c r="A1244" s="29">
        <f t="shared" si="23"/>
        <v>1219</v>
      </c>
      <c r="B1244" s="30"/>
      <c r="C1244" s="30" t="s">
        <v>100</v>
      </c>
      <c r="D1244" s="30" t="s">
        <v>1726</v>
      </c>
      <c r="E1244" s="31">
        <v>43189</v>
      </c>
      <c r="F1244" s="30" t="s">
        <v>102</v>
      </c>
      <c r="G1244" s="30" t="s">
        <v>103</v>
      </c>
      <c r="H1244" s="30" t="s">
        <v>104</v>
      </c>
      <c r="I1244" s="29">
        <v>18110000</v>
      </c>
      <c r="J1244" s="29">
        <v>10</v>
      </c>
      <c r="K1244" s="29">
        <v>1811000</v>
      </c>
      <c r="L1244" s="38" t="s">
        <v>52</v>
      </c>
      <c r="M1244" s="39">
        <v>43210</v>
      </c>
      <c r="N1244" s="40" t="s">
        <v>1866</v>
      </c>
      <c r="O1244" s="35"/>
      <c r="P1244" s="36"/>
      <c r="Q1244" s="36"/>
      <c r="T1244" s="36"/>
    </row>
    <row r="1245" spans="1:20" s="37" customFormat="1" ht="18.75" customHeight="1">
      <c r="A1245" s="29">
        <f t="shared" si="23"/>
        <v>1220</v>
      </c>
      <c r="B1245" s="30"/>
      <c r="C1245" s="30" t="s">
        <v>231</v>
      </c>
      <c r="D1245" s="30" t="s">
        <v>626</v>
      </c>
      <c r="E1245" s="31">
        <v>43189</v>
      </c>
      <c r="F1245" s="30" t="s">
        <v>233</v>
      </c>
      <c r="G1245" s="30" t="s">
        <v>234</v>
      </c>
      <c r="H1245" s="30" t="s">
        <v>235</v>
      </c>
      <c r="I1245" s="29">
        <v>50619700</v>
      </c>
      <c r="J1245" s="29">
        <v>10</v>
      </c>
      <c r="K1245" s="29">
        <v>5061970</v>
      </c>
      <c r="L1245" s="38" t="s">
        <v>52</v>
      </c>
      <c r="M1245" s="39">
        <v>43210</v>
      </c>
      <c r="N1245" s="40" t="s">
        <v>1866</v>
      </c>
      <c r="O1245" s="35"/>
      <c r="P1245" s="36"/>
      <c r="Q1245" s="36"/>
      <c r="T1245" s="36"/>
    </row>
    <row r="1246" spans="1:20" s="37" customFormat="1" ht="18.75" customHeight="1">
      <c r="A1246" s="29">
        <f t="shared" ref="A1246:A1256" si="24">A1245+1</f>
        <v>1221</v>
      </c>
      <c r="B1246" s="30"/>
      <c r="C1246" s="30" t="s">
        <v>726</v>
      </c>
      <c r="D1246" s="30" t="s">
        <v>1934</v>
      </c>
      <c r="E1246" s="31">
        <v>43189</v>
      </c>
      <c r="F1246" s="30" t="s">
        <v>63</v>
      </c>
      <c r="G1246" s="30" t="s">
        <v>64</v>
      </c>
      <c r="H1246" s="30" t="s">
        <v>1893</v>
      </c>
      <c r="I1246" s="29">
        <v>9090909</v>
      </c>
      <c r="J1246" s="29">
        <v>10</v>
      </c>
      <c r="K1246" s="29">
        <v>909091</v>
      </c>
      <c r="L1246" s="38"/>
      <c r="M1246" s="39"/>
      <c r="N1246" s="40"/>
      <c r="O1246" s="35"/>
      <c r="P1246" s="36"/>
      <c r="Q1246" s="36"/>
      <c r="T1246" s="36"/>
    </row>
    <row r="1247" spans="1:20" s="37" customFormat="1" ht="18.75" customHeight="1">
      <c r="A1247" s="29">
        <f t="shared" si="24"/>
        <v>1222</v>
      </c>
      <c r="B1247" s="30"/>
      <c r="C1247" s="30" t="s">
        <v>726</v>
      </c>
      <c r="D1247" s="30" t="s">
        <v>1935</v>
      </c>
      <c r="E1247" s="31">
        <v>43190</v>
      </c>
      <c r="F1247" s="30" t="s">
        <v>63</v>
      </c>
      <c r="G1247" s="30" t="s">
        <v>64</v>
      </c>
      <c r="H1247" s="30" t="s">
        <v>1936</v>
      </c>
      <c r="I1247" s="29">
        <v>30190909</v>
      </c>
      <c r="J1247" s="29">
        <v>10</v>
      </c>
      <c r="K1247" s="29">
        <v>3019091</v>
      </c>
      <c r="L1247" s="38" t="s">
        <v>52</v>
      </c>
      <c r="M1247" s="39">
        <v>43216</v>
      </c>
      <c r="N1247" s="40" t="s">
        <v>1866</v>
      </c>
      <c r="O1247" s="35"/>
      <c r="P1247" s="36"/>
      <c r="Q1247" s="36"/>
      <c r="T1247" s="36"/>
    </row>
    <row r="1248" spans="1:20" s="37" customFormat="1" ht="18.75" customHeight="1">
      <c r="A1248" s="29">
        <f t="shared" si="24"/>
        <v>1223</v>
      </c>
      <c r="B1248" s="30"/>
      <c r="C1248" s="30" t="s">
        <v>167</v>
      </c>
      <c r="D1248" s="30" t="s">
        <v>200</v>
      </c>
      <c r="E1248" s="31">
        <v>43190</v>
      </c>
      <c r="F1248" s="30" t="s">
        <v>409</v>
      </c>
      <c r="G1248" s="30" t="s">
        <v>410</v>
      </c>
      <c r="H1248" s="30" t="s">
        <v>411</v>
      </c>
      <c r="I1248" s="29">
        <v>85746200</v>
      </c>
      <c r="J1248" s="29">
        <v>10</v>
      </c>
      <c r="K1248" s="29">
        <v>8574620</v>
      </c>
      <c r="L1248" s="38" t="s">
        <v>52</v>
      </c>
      <c r="M1248" s="39">
        <v>43210</v>
      </c>
      <c r="N1248" s="40" t="s">
        <v>1866</v>
      </c>
      <c r="O1248" s="35"/>
      <c r="P1248" s="36"/>
      <c r="Q1248" s="36"/>
      <c r="T1248" s="36"/>
    </row>
    <row r="1249" spans="1:255" s="37" customFormat="1" ht="18.75" customHeight="1">
      <c r="A1249" s="29">
        <f t="shared" si="24"/>
        <v>1224</v>
      </c>
      <c r="B1249" s="30"/>
      <c r="C1249" s="30" t="s">
        <v>167</v>
      </c>
      <c r="D1249" s="30" t="s">
        <v>1937</v>
      </c>
      <c r="E1249" s="31">
        <v>43190</v>
      </c>
      <c r="F1249" s="30" t="s">
        <v>258</v>
      </c>
      <c r="G1249" s="30" t="s">
        <v>259</v>
      </c>
      <c r="H1249" s="30" t="s">
        <v>1938</v>
      </c>
      <c r="I1249" s="29">
        <v>39589965</v>
      </c>
      <c r="J1249" s="29">
        <v>10</v>
      </c>
      <c r="K1249" s="29">
        <v>3958997</v>
      </c>
      <c r="L1249" s="38" t="s">
        <v>52</v>
      </c>
      <c r="M1249" s="39">
        <v>43210</v>
      </c>
      <c r="N1249" s="40" t="s">
        <v>1866</v>
      </c>
      <c r="O1249" s="35"/>
      <c r="P1249" s="36"/>
      <c r="Q1249" s="36"/>
      <c r="T1249" s="36"/>
    </row>
    <row r="1250" spans="1:255" s="37" customFormat="1" ht="18.75" customHeight="1">
      <c r="A1250" s="29">
        <f t="shared" si="24"/>
        <v>1225</v>
      </c>
      <c r="B1250" s="30"/>
      <c r="C1250" s="30" t="s">
        <v>231</v>
      </c>
      <c r="D1250" s="30" t="s">
        <v>1939</v>
      </c>
      <c r="E1250" s="31">
        <v>43190</v>
      </c>
      <c r="F1250" s="30" t="s">
        <v>233</v>
      </c>
      <c r="G1250" s="30" t="s">
        <v>234</v>
      </c>
      <c r="H1250" s="30" t="s">
        <v>235</v>
      </c>
      <c r="I1250" s="29">
        <v>75901000</v>
      </c>
      <c r="J1250" s="29">
        <v>10</v>
      </c>
      <c r="K1250" s="29">
        <v>7590100</v>
      </c>
      <c r="L1250" s="38" t="s">
        <v>52</v>
      </c>
      <c r="M1250" s="39">
        <v>43210</v>
      </c>
      <c r="N1250" s="40" t="s">
        <v>1866</v>
      </c>
      <c r="O1250" s="35"/>
      <c r="P1250" s="36"/>
      <c r="Q1250" s="36"/>
      <c r="T1250" s="36"/>
    </row>
    <row r="1251" spans="1:255" s="37" customFormat="1" ht="18.75" customHeight="1">
      <c r="A1251" s="29">
        <f t="shared" si="24"/>
        <v>1226</v>
      </c>
      <c r="B1251" s="30"/>
      <c r="C1251" s="30" t="s">
        <v>231</v>
      </c>
      <c r="D1251" s="30" t="s">
        <v>1940</v>
      </c>
      <c r="E1251" s="31">
        <v>43190</v>
      </c>
      <c r="F1251" s="30" t="s">
        <v>233</v>
      </c>
      <c r="G1251" s="30" t="s">
        <v>234</v>
      </c>
      <c r="H1251" s="30" t="s">
        <v>235</v>
      </c>
      <c r="I1251" s="29">
        <v>21377400</v>
      </c>
      <c r="J1251" s="29">
        <v>10</v>
      </c>
      <c r="K1251" s="29">
        <v>2137740</v>
      </c>
      <c r="L1251" s="38" t="s">
        <v>52</v>
      </c>
      <c r="M1251" s="39">
        <v>43210</v>
      </c>
      <c r="N1251" s="40" t="s">
        <v>1866</v>
      </c>
      <c r="O1251" s="35"/>
      <c r="P1251" s="36"/>
      <c r="Q1251" s="36"/>
      <c r="T1251" s="36"/>
    </row>
    <row r="1252" spans="1:255" s="37" customFormat="1" ht="18.75" customHeight="1">
      <c r="A1252" s="29">
        <f t="shared" si="24"/>
        <v>1227</v>
      </c>
      <c r="B1252" s="30"/>
      <c r="C1252" s="30" t="s">
        <v>231</v>
      </c>
      <c r="D1252" s="30" t="s">
        <v>1941</v>
      </c>
      <c r="E1252" s="31">
        <v>43190</v>
      </c>
      <c r="F1252" s="30" t="s">
        <v>239</v>
      </c>
      <c r="G1252" s="30" t="s">
        <v>240</v>
      </c>
      <c r="H1252" s="30" t="s">
        <v>1942</v>
      </c>
      <c r="I1252" s="29">
        <v>30314000</v>
      </c>
      <c r="J1252" s="29">
        <v>10</v>
      </c>
      <c r="K1252" s="29">
        <v>3031400</v>
      </c>
      <c r="L1252" s="38" t="s">
        <v>52</v>
      </c>
      <c r="M1252" s="39">
        <v>43210</v>
      </c>
      <c r="N1252" s="40" t="s">
        <v>1866</v>
      </c>
      <c r="O1252" s="35"/>
      <c r="P1252" s="36"/>
      <c r="Q1252" s="36"/>
      <c r="T1252" s="36"/>
    </row>
    <row r="1253" spans="1:255" s="37" customFormat="1" ht="18.75" customHeight="1">
      <c r="A1253" s="29">
        <f t="shared" si="24"/>
        <v>1228</v>
      </c>
      <c r="B1253" s="30"/>
      <c r="C1253" s="30" t="s">
        <v>93</v>
      </c>
      <c r="D1253" s="30" t="s">
        <v>1846</v>
      </c>
      <c r="E1253" s="31">
        <v>43190</v>
      </c>
      <c r="F1253" s="30" t="s">
        <v>49</v>
      </c>
      <c r="G1253" s="30" t="s">
        <v>50</v>
      </c>
      <c r="H1253" s="30" t="s">
        <v>1788</v>
      </c>
      <c r="I1253" s="29">
        <v>153580000</v>
      </c>
      <c r="J1253" s="29">
        <v>10</v>
      </c>
      <c r="K1253" s="29">
        <v>15358000</v>
      </c>
      <c r="L1253" s="38" t="s">
        <v>52</v>
      </c>
      <c r="M1253" s="39">
        <v>43210</v>
      </c>
      <c r="N1253" s="40" t="s">
        <v>1866</v>
      </c>
      <c r="O1253" s="35"/>
      <c r="P1253" s="36"/>
      <c r="Q1253" s="36"/>
      <c r="T1253" s="36"/>
    </row>
    <row r="1254" spans="1:255" s="37" customFormat="1" ht="18.75" customHeight="1">
      <c r="A1254" s="29">
        <f t="shared" si="24"/>
        <v>1229</v>
      </c>
      <c r="B1254" s="30"/>
      <c r="C1254" s="30" t="s">
        <v>248</v>
      </c>
      <c r="D1254" s="30" t="s">
        <v>1943</v>
      </c>
      <c r="E1254" s="31">
        <v>43190</v>
      </c>
      <c r="F1254" s="30" t="s">
        <v>250</v>
      </c>
      <c r="G1254" s="30" t="s">
        <v>251</v>
      </c>
      <c r="H1254" s="30" t="s">
        <v>1944</v>
      </c>
      <c r="I1254" s="29">
        <v>288588500</v>
      </c>
      <c r="J1254" s="29">
        <v>10</v>
      </c>
      <c r="K1254" s="29">
        <v>28858850</v>
      </c>
      <c r="L1254" s="38" t="s">
        <v>52</v>
      </c>
      <c r="M1254" s="39">
        <v>43210</v>
      </c>
      <c r="N1254" s="40" t="s">
        <v>1866</v>
      </c>
      <c r="O1254" s="35"/>
      <c r="P1254" s="36"/>
      <c r="Q1254" s="36"/>
      <c r="T1254" s="36"/>
    </row>
    <row r="1255" spans="1:255" s="37" customFormat="1" ht="18.75" customHeight="1">
      <c r="A1255" s="29">
        <f t="shared" si="24"/>
        <v>1230</v>
      </c>
      <c r="B1255" s="30"/>
      <c r="C1255" s="30" t="s">
        <v>248</v>
      </c>
      <c r="D1255" s="30" t="s">
        <v>1945</v>
      </c>
      <c r="E1255" s="31">
        <v>43190</v>
      </c>
      <c r="F1255" s="30" t="s">
        <v>250</v>
      </c>
      <c r="G1255" s="30" t="s">
        <v>251</v>
      </c>
      <c r="H1255" s="30" t="s">
        <v>1946</v>
      </c>
      <c r="I1255" s="29">
        <v>6400000</v>
      </c>
      <c r="J1255" s="29">
        <v>10</v>
      </c>
      <c r="K1255" s="29">
        <v>640000</v>
      </c>
      <c r="L1255" s="38" t="s">
        <v>52</v>
      </c>
      <c r="M1255" s="39">
        <v>43210</v>
      </c>
      <c r="N1255" s="40" t="s">
        <v>1866</v>
      </c>
      <c r="O1255" s="35"/>
      <c r="P1255" s="36"/>
      <c r="Q1255" s="36"/>
      <c r="T1255" s="36"/>
    </row>
    <row r="1256" spans="1:255" s="37" customFormat="1" ht="18.75" customHeight="1">
      <c r="A1256" s="29">
        <f t="shared" si="24"/>
        <v>1231</v>
      </c>
      <c r="B1256" s="30"/>
      <c r="C1256" s="30" t="s">
        <v>248</v>
      </c>
      <c r="D1256" s="30" t="s">
        <v>1947</v>
      </c>
      <c r="E1256" s="31">
        <v>43190</v>
      </c>
      <c r="F1256" s="30" t="s">
        <v>250</v>
      </c>
      <c r="G1256" s="30" t="s">
        <v>251</v>
      </c>
      <c r="H1256" s="30" t="s">
        <v>1948</v>
      </c>
      <c r="I1256" s="29">
        <v>780000</v>
      </c>
      <c r="J1256" s="29">
        <v>10</v>
      </c>
      <c r="K1256" s="29">
        <v>78000</v>
      </c>
      <c r="L1256" s="38" t="s">
        <v>52</v>
      </c>
      <c r="M1256" s="39">
        <v>43210</v>
      </c>
      <c r="N1256" s="40" t="s">
        <v>1866</v>
      </c>
      <c r="O1256" s="35"/>
      <c r="P1256" s="36"/>
      <c r="Q1256" s="36"/>
      <c r="T1256" s="36"/>
    </row>
    <row r="1257" spans="1:255" s="37" customFormat="1" ht="18.75" customHeight="1">
      <c r="A1257" s="233" t="s">
        <v>264</v>
      </c>
      <c r="B1257" s="234"/>
      <c r="C1257" s="234"/>
      <c r="D1257" s="234"/>
      <c r="E1257" s="234"/>
      <c r="F1257" s="234"/>
      <c r="G1257" s="234"/>
      <c r="H1257" s="235"/>
      <c r="I1257" s="43">
        <f>SUM(I1180:I1256)</f>
        <v>2397990139</v>
      </c>
      <c r="J1257" s="43"/>
      <c r="K1257" s="43">
        <f>SUM(K1180:K1256)</f>
        <v>239796016</v>
      </c>
      <c r="L1257" s="44"/>
      <c r="M1257" s="44"/>
      <c r="N1257" s="46"/>
      <c r="O1257" s="35"/>
      <c r="P1257" s="49"/>
      <c r="Q1257" s="36"/>
      <c r="R1257" s="10"/>
      <c r="S1257" s="10"/>
      <c r="T1257" s="10"/>
      <c r="U1257" s="10"/>
      <c r="V1257" s="10"/>
      <c r="W1257" s="10"/>
      <c r="X1257" s="10"/>
      <c r="Y1257" s="10"/>
      <c r="Z1257" s="10"/>
      <c r="AA1257" s="10"/>
      <c r="AB1257" s="10"/>
      <c r="AC1257" s="10"/>
      <c r="AD1257" s="10"/>
      <c r="AE1257" s="10"/>
      <c r="AF1257" s="10"/>
      <c r="AG1257" s="10"/>
      <c r="AH1257" s="10"/>
      <c r="AI1257" s="10"/>
      <c r="AJ1257" s="10"/>
      <c r="AK1257" s="10"/>
      <c r="AL1257" s="10"/>
      <c r="AM1257" s="10"/>
      <c r="AN1257" s="10"/>
      <c r="AO1257" s="10"/>
      <c r="AP1257" s="10"/>
      <c r="AQ1257" s="10"/>
      <c r="AR1257" s="10"/>
      <c r="AS1257" s="10"/>
      <c r="AT1257" s="10"/>
      <c r="AU1257" s="10"/>
      <c r="AV1257" s="10"/>
      <c r="AW1257" s="10"/>
      <c r="AX1257" s="10"/>
      <c r="AY1257" s="10"/>
      <c r="AZ1257" s="10"/>
      <c r="BA1257" s="10"/>
      <c r="BB1257" s="10"/>
      <c r="BC1257" s="10"/>
      <c r="BD1257" s="10"/>
      <c r="BE1257" s="10"/>
      <c r="BF1257" s="10"/>
      <c r="BG1257" s="10"/>
      <c r="BH1257" s="10"/>
      <c r="BI1257" s="10"/>
      <c r="BJ1257" s="10"/>
      <c r="BK1257" s="10"/>
      <c r="BL1257" s="10"/>
      <c r="BM1257" s="10"/>
      <c r="BN1257" s="10"/>
      <c r="BO1257" s="10"/>
      <c r="BP1257" s="10"/>
      <c r="BQ1257" s="10"/>
      <c r="BR1257" s="10"/>
      <c r="BS1257" s="10"/>
      <c r="BT1257" s="10"/>
      <c r="BU1257" s="10"/>
      <c r="BV1257" s="10"/>
      <c r="BW1257" s="10"/>
      <c r="BX1257" s="10"/>
      <c r="BY1257" s="10"/>
      <c r="BZ1257" s="10"/>
      <c r="CA1257" s="10"/>
      <c r="CB1257" s="10"/>
      <c r="CC1257" s="10"/>
      <c r="CD1257" s="10"/>
      <c r="CE1257" s="10"/>
      <c r="CF1257" s="10"/>
      <c r="CG1257" s="10"/>
      <c r="CH1257" s="10"/>
      <c r="CI1257" s="10"/>
      <c r="CJ1257" s="10"/>
      <c r="CK1257" s="10"/>
      <c r="CL1257" s="10"/>
      <c r="CM1257" s="10"/>
      <c r="CN1257" s="10"/>
      <c r="CO1257" s="10"/>
      <c r="CP1257" s="10"/>
      <c r="CQ1257" s="10"/>
      <c r="CR1257" s="10"/>
      <c r="CS1257" s="10"/>
      <c r="CT1257" s="10"/>
      <c r="CU1257" s="10"/>
      <c r="CV1257" s="10"/>
      <c r="CW1257" s="10"/>
      <c r="CX1257" s="10"/>
      <c r="CY1257" s="10"/>
      <c r="CZ1257" s="10"/>
      <c r="DA1257" s="10"/>
      <c r="DB1257" s="10"/>
      <c r="DC1257" s="10"/>
      <c r="DD1257" s="10"/>
      <c r="DE1257" s="10"/>
      <c r="DF1257" s="10"/>
      <c r="DG1257" s="10"/>
      <c r="DH1257" s="10"/>
      <c r="DI1257" s="10"/>
      <c r="DJ1257" s="10"/>
      <c r="DK1257" s="10"/>
      <c r="DL1257" s="10"/>
      <c r="DM1257" s="10"/>
      <c r="DN1257" s="10"/>
      <c r="DO1257" s="10"/>
      <c r="DP1257" s="10"/>
      <c r="DQ1257" s="10"/>
      <c r="DR1257" s="10"/>
      <c r="DS1257" s="10"/>
      <c r="DT1257" s="10"/>
      <c r="DU1257" s="10"/>
      <c r="DV1257" s="10"/>
      <c r="DW1257" s="10"/>
      <c r="DX1257" s="10"/>
      <c r="DY1257" s="10"/>
      <c r="DZ1257" s="10"/>
      <c r="EA1257" s="10"/>
      <c r="EB1257" s="10"/>
      <c r="EC1257" s="10"/>
      <c r="ED1257" s="10"/>
      <c r="EE1257" s="10"/>
      <c r="EF1257" s="10"/>
      <c r="EG1257" s="10"/>
      <c r="EH1257" s="10"/>
      <c r="EI1257" s="10"/>
      <c r="EJ1257" s="10"/>
      <c r="EK1257" s="10"/>
      <c r="EL1257" s="10"/>
      <c r="EM1257" s="10"/>
      <c r="EN1257" s="10"/>
      <c r="EO1257" s="10"/>
      <c r="EP1257" s="10"/>
      <c r="EQ1257" s="10"/>
      <c r="ER1257" s="10"/>
      <c r="ES1257" s="10"/>
      <c r="ET1257" s="10"/>
      <c r="EU1257" s="10"/>
      <c r="EV1257" s="10"/>
      <c r="EW1257" s="10"/>
      <c r="EX1257" s="10"/>
      <c r="EY1257" s="10"/>
      <c r="EZ1257" s="10"/>
      <c r="FA1257" s="10"/>
      <c r="FB1257" s="10"/>
      <c r="FC1257" s="10"/>
      <c r="FD1257" s="10"/>
      <c r="FE1257" s="10"/>
      <c r="FF1257" s="10"/>
      <c r="FG1257" s="10"/>
      <c r="FH1257" s="10"/>
      <c r="FI1257" s="10"/>
      <c r="FJ1257" s="10"/>
      <c r="FK1257" s="10"/>
      <c r="FL1257" s="10"/>
      <c r="FM1257" s="10"/>
      <c r="FN1257" s="10"/>
      <c r="FO1257" s="10"/>
      <c r="FP1257" s="10"/>
      <c r="FQ1257" s="10"/>
      <c r="FR1257" s="10"/>
      <c r="FS1257" s="10"/>
      <c r="FT1257" s="10"/>
      <c r="FU1257" s="10"/>
      <c r="FV1257" s="10"/>
      <c r="FW1257" s="10"/>
      <c r="FX1257" s="10"/>
      <c r="FY1257" s="10"/>
      <c r="FZ1257" s="10"/>
      <c r="GA1257" s="10"/>
      <c r="GB1257" s="10"/>
      <c r="GC1257" s="10"/>
      <c r="GD1257" s="10"/>
      <c r="GE1257" s="10"/>
      <c r="GF1257" s="10"/>
      <c r="GG1257" s="10"/>
      <c r="GH1257" s="10"/>
      <c r="GI1257" s="10"/>
      <c r="GJ1257" s="10"/>
      <c r="GK1257" s="10"/>
      <c r="GL1257" s="10"/>
      <c r="GM1257" s="10"/>
      <c r="GN1257" s="10"/>
      <c r="GO1257" s="10"/>
      <c r="GP1257" s="10"/>
      <c r="GQ1257" s="10"/>
      <c r="GR1257" s="10"/>
      <c r="GS1257" s="10"/>
      <c r="GT1257" s="10"/>
      <c r="GU1257" s="10"/>
      <c r="GV1257" s="10"/>
      <c r="GW1257" s="10"/>
      <c r="GX1257" s="10"/>
      <c r="GY1257" s="10"/>
      <c r="GZ1257" s="10"/>
      <c r="HA1257" s="10"/>
      <c r="HB1257" s="10"/>
      <c r="HC1257" s="10"/>
      <c r="HD1257" s="10"/>
      <c r="HE1257" s="10"/>
      <c r="HF1257" s="10"/>
      <c r="HG1257" s="10"/>
      <c r="HH1257" s="10"/>
      <c r="HI1257" s="10"/>
      <c r="HJ1257" s="10"/>
      <c r="HK1257" s="10"/>
      <c r="HL1257" s="10"/>
      <c r="HM1257" s="10"/>
      <c r="HN1257" s="10"/>
      <c r="HO1257" s="10"/>
      <c r="HP1257" s="10"/>
      <c r="HQ1257" s="10"/>
      <c r="HR1257" s="10"/>
      <c r="HS1257" s="10"/>
      <c r="HT1257" s="10"/>
      <c r="HU1257" s="10"/>
      <c r="HV1257" s="10"/>
      <c r="HW1257" s="10"/>
      <c r="HX1257" s="10"/>
      <c r="HY1257" s="10"/>
      <c r="HZ1257" s="10"/>
      <c r="IA1257" s="10"/>
      <c r="IB1257" s="10"/>
      <c r="IC1257" s="10"/>
      <c r="ID1257" s="10"/>
      <c r="IE1257" s="10"/>
      <c r="IF1257" s="10"/>
      <c r="IG1257" s="10"/>
      <c r="IH1257" s="10"/>
      <c r="II1257" s="10"/>
      <c r="IJ1257" s="10"/>
      <c r="IK1257" s="10"/>
      <c r="IL1257" s="10"/>
      <c r="IM1257" s="10"/>
      <c r="IN1257" s="10"/>
      <c r="IO1257" s="10"/>
      <c r="IP1257" s="10"/>
      <c r="IQ1257" s="10"/>
      <c r="IR1257" s="10"/>
      <c r="IS1257" s="10"/>
      <c r="IT1257" s="10"/>
      <c r="IU1257" s="10"/>
    </row>
    <row r="1258" spans="1:255" s="37" customFormat="1" ht="18.75" customHeight="1">
      <c r="A1258" s="29">
        <f>A1256+1</f>
        <v>1232</v>
      </c>
      <c r="B1258" s="30"/>
      <c r="C1258" s="30" t="s">
        <v>1949</v>
      </c>
      <c r="D1258" s="30" t="s">
        <v>1950</v>
      </c>
      <c r="E1258" s="31">
        <v>43132</v>
      </c>
      <c r="F1258" s="30" t="s">
        <v>1526</v>
      </c>
      <c r="G1258" s="30" t="s">
        <v>1951</v>
      </c>
      <c r="H1258" s="30" t="s">
        <v>1952</v>
      </c>
      <c r="I1258" s="29">
        <v>7569875</v>
      </c>
      <c r="J1258" s="29">
        <v>10</v>
      </c>
      <c r="K1258" s="29">
        <v>756988</v>
      </c>
      <c r="L1258" s="38"/>
      <c r="M1258" s="39"/>
      <c r="N1258" s="40"/>
      <c r="O1258" s="35"/>
      <c r="P1258" s="36"/>
      <c r="Q1258" s="36"/>
      <c r="T1258" s="36"/>
    </row>
    <row r="1259" spans="1:255" s="37" customFormat="1" ht="18.75" customHeight="1">
      <c r="A1259" s="29">
        <f>+A1258+1</f>
        <v>1233</v>
      </c>
      <c r="B1259" s="30"/>
      <c r="C1259" s="30" t="s">
        <v>1953</v>
      </c>
      <c r="D1259" s="30" t="s">
        <v>1954</v>
      </c>
      <c r="E1259" s="31">
        <v>43160</v>
      </c>
      <c r="F1259" s="30" t="s">
        <v>89</v>
      </c>
      <c r="G1259" s="30" t="s">
        <v>90</v>
      </c>
      <c r="H1259" s="30" t="s">
        <v>858</v>
      </c>
      <c r="I1259" s="29">
        <v>544484</v>
      </c>
      <c r="J1259" s="29">
        <v>10</v>
      </c>
      <c r="K1259" s="29">
        <v>54448</v>
      </c>
      <c r="L1259" s="38"/>
      <c r="M1259" s="39"/>
      <c r="N1259" s="40"/>
      <c r="O1259" s="35"/>
      <c r="P1259" s="36"/>
      <c r="Q1259" s="36"/>
      <c r="T1259" s="36"/>
    </row>
    <row r="1260" spans="1:255" s="37" customFormat="1" ht="18.75" customHeight="1">
      <c r="A1260" s="29">
        <f t="shared" ref="A1260:A1323" si="25">+A1259+1</f>
        <v>1234</v>
      </c>
      <c r="B1260" s="30"/>
      <c r="C1260" s="30" t="s">
        <v>1953</v>
      </c>
      <c r="D1260" s="30" t="s">
        <v>1955</v>
      </c>
      <c r="E1260" s="31">
        <v>43160</v>
      </c>
      <c r="F1260" s="30" t="s">
        <v>89</v>
      </c>
      <c r="G1260" s="30" t="s">
        <v>90</v>
      </c>
      <c r="H1260" s="30" t="s">
        <v>858</v>
      </c>
      <c r="I1260" s="29">
        <v>534378</v>
      </c>
      <c r="J1260" s="29">
        <v>10</v>
      </c>
      <c r="K1260" s="29">
        <v>53438</v>
      </c>
      <c r="L1260" s="38"/>
      <c r="M1260" s="39"/>
      <c r="N1260" s="40"/>
      <c r="O1260" s="35"/>
      <c r="P1260" s="36"/>
      <c r="Q1260" s="36"/>
      <c r="T1260" s="36"/>
    </row>
    <row r="1261" spans="1:255" s="37" customFormat="1" ht="18.75" customHeight="1">
      <c r="A1261" s="29">
        <f t="shared" si="25"/>
        <v>1235</v>
      </c>
      <c r="B1261" s="30"/>
      <c r="C1261" s="30" t="s">
        <v>1335</v>
      </c>
      <c r="D1261" s="30" t="s">
        <v>1956</v>
      </c>
      <c r="E1261" s="31">
        <v>43164</v>
      </c>
      <c r="F1261" s="30" t="s">
        <v>1337</v>
      </c>
      <c r="G1261" s="30" t="s">
        <v>1338</v>
      </c>
      <c r="H1261" s="30" t="s">
        <v>1957</v>
      </c>
      <c r="I1261" s="29">
        <v>908182</v>
      </c>
      <c r="J1261" s="29">
        <v>10</v>
      </c>
      <c r="K1261" s="29">
        <v>90818</v>
      </c>
      <c r="L1261" s="38"/>
      <c r="M1261" s="39"/>
      <c r="N1261" s="40"/>
      <c r="O1261" s="35"/>
      <c r="P1261" s="36"/>
      <c r="Q1261" s="36"/>
      <c r="T1261" s="36"/>
    </row>
    <row r="1262" spans="1:255" s="37" customFormat="1" ht="18.75" customHeight="1">
      <c r="A1262" s="29">
        <f t="shared" si="25"/>
        <v>1236</v>
      </c>
      <c r="B1262" s="30"/>
      <c r="C1262" s="30" t="s">
        <v>1958</v>
      </c>
      <c r="D1262" s="30" t="s">
        <v>1959</v>
      </c>
      <c r="E1262" s="31">
        <v>43164</v>
      </c>
      <c r="F1262" s="30" t="s">
        <v>835</v>
      </c>
      <c r="G1262" s="30" t="s">
        <v>836</v>
      </c>
      <c r="H1262" s="30" t="s">
        <v>858</v>
      </c>
      <c r="I1262" s="29">
        <v>442316</v>
      </c>
      <c r="J1262" s="29">
        <v>10</v>
      </c>
      <c r="K1262" s="29">
        <v>44232</v>
      </c>
      <c r="L1262" s="38"/>
      <c r="M1262" s="39"/>
      <c r="N1262" s="40"/>
      <c r="O1262" s="35"/>
      <c r="P1262" s="36"/>
      <c r="Q1262" s="36"/>
      <c r="T1262" s="36"/>
    </row>
    <row r="1263" spans="1:255" s="37" customFormat="1" ht="18.75" customHeight="1">
      <c r="A1263" s="29">
        <f t="shared" si="25"/>
        <v>1237</v>
      </c>
      <c r="B1263" s="30"/>
      <c r="C1263" s="30" t="s">
        <v>93</v>
      </c>
      <c r="D1263" s="30" t="s">
        <v>1656</v>
      </c>
      <c r="E1263" s="31">
        <v>43166</v>
      </c>
      <c r="F1263" s="30" t="s">
        <v>49</v>
      </c>
      <c r="G1263" s="30" t="s">
        <v>50</v>
      </c>
      <c r="H1263" s="30" t="s">
        <v>864</v>
      </c>
      <c r="I1263" s="29">
        <v>77880000</v>
      </c>
      <c r="J1263" s="29">
        <v>10</v>
      </c>
      <c r="K1263" s="29">
        <v>7788000</v>
      </c>
      <c r="L1263" s="38"/>
      <c r="M1263" s="39">
        <v>43241</v>
      </c>
      <c r="N1263" s="40"/>
      <c r="O1263" s="35"/>
      <c r="P1263" s="36"/>
      <c r="Q1263" s="36"/>
      <c r="T1263" s="36"/>
    </row>
    <row r="1264" spans="1:255" s="37" customFormat="1" ht="18.75" customHeight="1">
      <c r="A1264" s="29">
        <f t="shared" si="25"/>
        <v>1238</v>
      </c>
      <c r="B1264" s="30"/>
      <c r="C1264" s="30" t="s">
        <v>1958</v>
      </c>
      <c r="D1264" s="30" t="s">
        <v>1960</v>
      </c>
      <c r="E1264" s="31">
        <v>43167</v>
      </c>
      <c r="F1264" s="30" t="s">
        <v>835</v>
      </c>
      <c r="G1264" s="30" t="s">
        <v>836</v>
      </c>
      <c r="H1264" s="30" t="s">
        <v>858</v>
      </c>
      <c r="I1264" s="29">
        <v>295000</v>
      </c>
      <c r="J1264" s="29">
        <v>10</v>
      </c>
      <c r="K1264" s="29">
        <v>29500</v>
      </c>
      <c r="L1264" s="38"/>
      <c r="M1264" s="39"/>
      <c r="N1264" s="40"/>
      <c r="O1264" s="35"/>
      <c r="P1264" s="36"/>
      <c r="Q1264" s="36"/>
      <c r="T1264" s="36"/>
    </row>
    <row r="1265" spans="1:20" s="37" customFormat="1" ht="18.75" customHeight="1">
      <c r="A1265" s="29">
        <f t="shared" si="25"/>
        <v>1239</v>
      </c>
      <c r="B1265" s="30"/>
      <c r="C1265" s="30" t="s">
        <v>1958</v>
      </c>
      <c r="D1265" s="30" t="s">
        <v>1961</v>
      </c>
      <c r="E1265" s="31">
        <v>43167</v>
      </c>
      <c r="F1265" s="30" t="s">
        <v>835</v>
      </c>
      <c r="G1265" s="30" t="s">
        <v>836</v>
      </c>
      <c r="H1265" s="30" t="s">
        <v>858</v>
      </c>
      <c r="I1265" s="29">
        <v>156189</v>
      </c>
      <c r="J1265" s="29">
        <v>10</v>
      </c>
      <c r="K1265" s="29">
        <v>15619</v>
      </c>
      <c r="L1265" s="38"/>
      <c r="M1265" s="39"/>
      <c r="N1265" s="40"/>
      <c r="O1265" s="35"/>
      <c r="P1265" s="36"/>
      <c r="Q1265" s="36"/>
      <c r="T1265" s="36"/>
    </row>
    <row r="1266" spans="1:20" s="37" customFormat="1" ht="18.75" customHeight="1">
      <c r="A1266" s="29">
        <f t="shared" si="25"/>
        <v>1240</v>
      </c>
      <c r="B1266" s="30"/>
      <c r="C1266" s="30" t="s">
        <v>965</v>
      </c>
      <c r="D1266" s="30" t="s">
        <v>1962</v>
      </c>
      <c r="E1266" s="31">
        <v>43170</v>
      </c>
      <c r="F1266" s="30" t="s">
        <v>967</v>
      </c>
      <c r="G1266" s="30" t="s">
        <v>968</v>
      </c>
      <c r="H1266" s="30" t="s">
        <v>134</v>
      </c>
      <c r="I1266" s="29">
        <v>3675000</v>
      </c>
      <c r="J1266" s="29">
        <v>10</v>
      </c>
      <c r="K1266" s="29">
        <v>367500</v>
      </c>
      <c r="L1266" s="38"/>
      <c r="M1266" s="39"/>
      <c r="N1266" s="40"/>
      <c r="O1266" s="35"/>
      <c r="P1266" s="36"/>
      <c r="Q1266" s="36"/>
      <c r="T1266" s="36"/>
    </row>
    <row r="1267" spans="1:20" s="37" customFormat="1" ht="18.75" customHeight="1">
      <c r="A1267" s="29">
        <f t="shared" si="25"/>
        <v>1241</v>
      </c>
      <c r="B1267" s="30"/>
      <c r="C1267" s="30" t="s">
        <v>1963</v>
      </c>
      <c r="D1267" s="30" t="s">
        <v>1964</v>
      </c>
      <c r="E1267" s="31">
        <v>43171</v>
      </c>
      <c r="F1267" s="30" t="s">
        <v>293</v>
      </c>
      <c r="G1267" s="30" t="s">
        <v>294</v>
      </c>
      <c r="H1267" s="30" t="s">
        <v>134</v>
      </c>
      <c r="I1267" s="29">
        <v>3492727</v>
      </c>
      <c r="J1267" s="29">
        <v>10</v>
      </c>
      <c r="K1267" s="29">
        <v>349273</v>
      </c>
      <c r="L1267" s="38"/>
      <c r="M1267" s="39"/>
      <c r="N1267" s="40"/>
      <c r="O1267" s="35"/>
      <c r="P1267" s="36"/>
      <c r="Q1267" s="36"/>
      <c r="T1267" s="36"/>
    </row>
    <row r="1268" spans="1:20" s="37" customFormat="1" ht="18.75" customHeight="1">
      <c r="A1268" s="29">
        <f t="shared" si="25"/>
        <v>1242</v>
      </c>
      <c r="B1268" s="30"/>
      <c r="C1268" s="30" t="s">
        <v>1965</v>
      </c>
      <c r="D1268" s="30" t="s">
        <v>560</v>
      </c>
      <c r="E1268" s="31">
        <v>43174</v>
      </c>
      <c r="F1268" s="30" t="s">
        <v>56</v>
      </c>
      <c r="G1268" s="30" t="s">
        <v>57</v>
      </c>
      <c r="H1268" s="30" t="s">
        <v>1952</v>
      </c>
      <c r="I1268" s="29">
        <v>12102724</v>
      </c>
      <c r="J1268" s="29">
        <v>10</v>
      </c>
      <c r="K1268" s="29">
        <v>1210272</v>
      </c>
      <c r="L1268" s="38"/>
      <c r="M1268" s="39"/>
      <c r="N1268" s="40"/>
      <c r="O1268" s="35"/>
      <c r="P1268" s="36"/>
      <c r="Q1268" s="36"/>
      <c r="T1268" s="36"/>
    </row>
    <row r="1269" spans="1:20" s="37" customFormat="1" ht="18.75" customHeight="1">
      <c r="A1269" s="29">
        <f t="shared" si="25"/>
        <v>1243</v>
      </c>
      <c r="B1269" s="30"/>
      <c r="C1269" s="30" t="s">
        <v>1963</v>
      </c>
      <c r="D1269" s="30" t="s">
        <v>1966</v>
      </c>
      <c r="E1269" s="31">
        <v>43174</v>
      </c>
      <c r="F1269" s="30" t="s">
        <v>293</v>
      </c>
      <c r="G1269" s="30" t="s">
        <v>294</v>
      </c>
      <c r="H1269" s="30" t="s">
        <v>134</v>
      </c>
      <c r="I1269" s="29">
        <v>1722727</v>
      </c>
      <c r="J1269" s="29">
        <v>10</v>
      </c>
      <c r="K1269" s="29">
        <v>172273</v>
      </c>
      <c r="L1269" s="38"/>
      <c r="M1269" s="39"/>
      <c r="N1269" s="40"/>
      <c r="O1269" s="35"/>
      <c r="P1269" s="36"/>
      <c r="Q1269" s="36"/>
      <c r="T1269" s="36"/>
    </row>
    <row r="1270" spans="1:20" s="37" customFormat="1" ht="18.75" customHeight="1">
      <c r="A1270" s="29">
        <f t="shared" si="25"/>
        <v>1244</v>
      </c>
      <c r="B1270" s="30"/>
      <c r="C1270" s="30" t="s">
        <v>1965</v>
      </c>
      <c r="D1270" s="30" t="s">
        <v>1967</v>
      </c>
      <c r="E1270" s="31">
        <v>43175</v>
      </c>
      <c r="F1270" s="30" t="s">
        <v>56</v>
      </c>
      <c r="G1270" s="30" t="s">
        <v>57</v>
      </c>
      <c r="H1270" s="30" t="s">
        <v>1952</v>
      </c>
      <c r="I1270" s="29">
        <v>6538750</v>
      </c>
      <c r="J1270" s="29">
        <v>10</v>
      </c>
      <c r="K1270" s="29">
        <v>653875</v>
      </c>
      <c r="L1270" s="38"/>
      <c r="M1270" s="39"/>
      <c r="N1270" s="40"/>
      <c r="O1270" s="35"/>
      <c r="P1270" s="36"/>
      <c r="Q1270" s="36"/>
      <c r="T1270" s="36"/>
    </row>
    <row r="1271" spans="1:20" s="37" customFormat="1" ht="18.75" customHeight="1">
      <c r="A1271" s="29">
        <f t="shared" si="25"/>
        <v>1245</v>
      </c>
      <c r="B1271" s="30"/>
      <c r="C1271" s="30" t="s">
        <v>1965</v>
      </c>
      <c r="D1271" s="30" t="s">
        <v>731</v>
      </c>
      <c r="E1271" s="31">
        <v>43175</v>
      </c>
      <c r="F1271" s="30" t="s">
        <v>56</v>
      </c>
      <c r="G1271" s="30" t="s">
        <v>57</v>
      </c>
      <c r="H1271" s="30" t="s">
        <v>1952</v>
      </c>
      <c r="I1271" s="29">
        <v>6538750</v>
      </c>
      <c r="J1271" s="29">
        <v>10</v>
      </c>
      <c r="K1271" s="29">
        <v>653875</v>
      </c>
      <c r="L1271" s="38"/>
      <c r="M1271" s="39"/>
      <c r="N1271" s="40"/>
      <c r="O1271" s="35"/>
      <c r="P1271" s="36"/>
      <c r="Q1271" s="36"/>
      <c r="T1271" s="36"/>
    </row>
    <row r="1272" spans="1:20" s="37" customFormat="1" ht="18.75" customHeight="1">
      <c r="A1272" s="29">
        <f t="shared" si="25"/>
        <v>1246</v>
      </c>
      <c r="B1272" s="30"/>
      <c r="C1272" s="30" t="s">
        <v>1853</v>
      </c>
      <c r="D1272" s="30" t="s">
        <v>1968</v>
      </c>
      <c r="E1272" s="31">
        <v>43175</v>
      </c>
      <c r="F1272" s="30" t="s">
        <v>71</v>
      </c>
      <c r="G1272" s="30" t="s">
        <v>72</v>
      </c>
      <c r="H1272" s="30" t="s">
        <v>1350</v>
      </c>
      <c r="I1272" s="29">
        <v>1600000</v>
      </c>
      <c r="J1272" s="29">
        <v>10</v>
      </c>
      <c r="K1272" s="29">
        <v>160000</v>
      </c>
      <c r="L1272" s="38"/>
      <c r="M1272" s="39"/>
      <c r="N1272" s="40"/>
      <c r="O1272" s="35"/>
      <c r="P1272" s="36"/>
      <c r="Q1272" s="36"/>
      <c r="T1272" s="36"/>
    </row>
    <row r="1273" spans="1:20" s="37" customFormat="1" ht="18.75" customHeight="1">
      <c r="A1273" s="29">
        <f t="shared" si="25"/>
        <v>1247</v>
      </c>
      <c r="B1273" s="30"/>
      <c r="C1273" s="30" t="s">
        <v>1250</v>
      </c>
      <c r="D1273" s="30" t="s">
        <v>1969</v>
      </c>
      <c r="E1273" s="31">
        <v>43177</v>
      </c>
      <c r="F1273" s="30" t="s">
        <v>333</v>
      </c>
      <c r="G1273" s="30" t="s">
        <v>334</v>
      </c>
      <c r="H1273" s="30" t="s">
        <v>134</v>
      </c>
      <c r="I1273" s="29">
        <v>919000</v>
      </c>
      <c r="J1273" s="29">
        <v>10</v>
      </c>
      <c r="K1273" s="29">
        <v>91900</v>
      </c>
      <c r="L1273" s="38"/>
      <c r="M1273" s="39"/>
      <c r="N1273" s="40"/>
      <c r="O1273" s="35"/>
      <c r="P1273" s="36"/>
      <c r="Q1273" s="36"/>
      <c r="T1273" s="36"/>
    </row>
    <row r="1274" spans="1:20" s="37" customFormat="1" ht="18.75" customHeight="1">
      <c r="A1274" s="29">
        <f t="shared" si="25"/>
        <v>1248</v>
      </c>
      <c r="B1274" s="30"/>
      <c r="C1274" s="30" t="s">
        <v>1970</v>
      </c>
      <c r="D1274" s="30" t="s">
        <v>1971</v>
      </c>
      <c r="E1274" s="31">
        <v>43178</v>
      </c>
      <c r="F1274" s="30" t="s">
        <v>280</v>
      </c>
      <c r="G1274" s="30" t="s">
        <v>281</v>
      </c>
      <c r="H1274" s="30" t="s">
        <v>1952</v>
      </c>
      <c r="I1274" s="29">
        <v>5883850</v>
      </c>
      <c r="J1274" s="29">
        <v>10</v>
      </c>
      <c r="K1274" s="29">
        <v>588385</v>
      </c>
      <c r="L1274" s="38"/>
      <c r="M1274" s="39"/>
      <c r="N1274" s="40"/>
      <c r="O1274" s="35"/>
      <c r="P1274" s="36"/>
      <c r="Q1274" s="36"/>
      <c r="T1274" s="36"/>
    </row>
    <row r="1275" spans="1:20" s="37" customFormat="1" ht="18.75" customHeight="1">
      <c r="A1275" s="29">
        <f t="shared" si="25"/>
        <v>1249</v>
      </c>
      <c r="B1275" s="30"/>
      <c r="C1275" s="30" t="s">
        <v>93</v>
      </c>
      <c r="D1275" s="30" t="s">
        <v>1972</v>
      </c>
      <c r="E1275" s="31">
        <v>43179</v>
      </c>
      <c r="F1275" s="30" t="s">
        <v>49</v>
      </c>
      <c r="G1275" s="30" t="s">
        <v>50</v>
      </c>
      <c r="H1275" s="30" t="s">
        <v>864</v>
      </c>
      <c r="I1275" s="29">
        <v>95920000</v>
      </c>
      <c r="J1275" s="29">
        <v>10</v>
      </c>
      <c r="K1275" s="29">
        <v>9592000</v>
      </c>
      <c r="L1275" s="38"/>
      <c r="M1275" s="39">
        <v>43241</v>
      </c>
      <c r="N1275" s="40"/>
      <c r="O1275" s="35"/>
      <c r="P1275" s="36"/>
      <c r="Q1275" s="36"/>
      <c r="T1275" s="36"/>
    </row>
    <row r="1276" spans="1:20" s="37" customFormat="1" ht="18.75" customHeight="1">
      <c r="A1276" s="29">
        <f t="shared" si="25"/>
        <v>1250</v>
      </c>
      <c r="B1276" s="30"/>
      <c r="C1276" s="30" t="s">
        <v>1963</v>
      </c>
      <c r="D1276" s="30" t="s">
        <v>1973</v>
      </c>
      <c r="E1276" s="31">
        <v>43182</v>
      </c>
      <c r="F1276" s="30" t="s">
        <v>293</v>
      </c>
      <c r="G1276" s="30" t="s">
        <v>294</v>
      </c>
      <c r="H1276" s="30" t="s">
        <v>134</v>
      </c>
      <c r="I1276" s="29">
        <v>2920000</v>
      </c>
      <c r="J1276" s="29">
        <v>10</v>
      </c>
      <c r="K1276" s="29">
        <v>292000</v>
      </c>
      <c r="L1276" s="38"/>
      <c r="M1276" s="39"/>
      <c r="N1276" s="40"/>
      <c r="O1276" s="35"/>
      <c r="P1276" s="36"/>
      <c r="Q1276" s="36"/>
      <c r="T1276" s="36"/>
    </row>
    <row r="1277" spans="1:20" s="37" customFormat="1" ht="18.75" customHeight="1">
      <c r="A1277" s="29">
        <f t="shared" si="25"/>
        <v>1251</v>
      </c>
      <c r="B1277" s="30"/>
      <c r="C1277" s="30" t="s">
        <v>1335</v>
      </c>
      <c r="D1277" s="30" t="s">
        <v>1974</v>
      </c>
      <c r="E1277" s="31">
        <v>43183</v>
      </c>
      <c r="F1277" s="30" t="s">
        <v>1337</v>
      </c>
      <c r="G1277" s="30" t="s">
        <v>1338</v>
      </c>
      <c r="H1277" s="30" t="s">
        <v>1957</v>
      </c>
      <c r="I1277" s="29">
        <v>926345</v>
      </c>
      <c r="J1277" s="29">
        <v>10</v>
      </c>
      <c r="K1277" s="29">
        <v>92635</v>
      </c>
      <c r="L1277" s="38"/>
      <c r="M1277" s="39"/>
      <c r="N1277" s="40"/>
      <c r="O1277" s="35"/>
      <c r="P1277" s="36"/>
      <c r="Q1277" s="36"/>
      <c r="T1277" s="36"/>
    </row>
    <row r="1278" spans="1:20" s="37" customFormat="1" ht="18.75" customHeight="1">
      <c r="A1278" s="29">
        <f t="shared" si="25"/>
        <v>1252</v>
      </c>
      <c r="B1278" s="30"/>
      <c r="C1278" s="30" t="s">
        <v>1965</v>
      </c>
      <c r="D1278" s="30" t="s">
        <v>199</v>
      </c>
      <c r="E1278" s="31">
        <v>43185</v>
      </c>
      <c r="F1278" s="30" t="s">
        <v>56</v>
      </c>
      <c r="G1278" s="30" t="s">
        <v>57</v>
      </c>
      <c r="H1278" s="30" t="s">
        <v>1952</v>
      </c>
      <c r="I1278" s="29">
        <v>6547500</v>
      </c>
      <c r="J1278" s="29">
        <v>10</v>
      </c>
      <c r="K1278" s="29">
        <v>654750</v>
      </c>
      <c r="L1278" s="38"/>
      <c r="M1278" s="39"/>
      <c r="N1278" s="40"/>
      <c r="O1278" s="35"/>
      <c r="P1278" s="36"/>
      <c r="Q1278" s="36"/>
      <c r="T1278" s="36"/>
    </row>
    <row r="1279" spans="1:20" s="37" customFormat="1" ht="18.75" customHeight="1">
      <c r="A1279" s="29">
        <f t="shared" si="25"/>
        <v>1253</v>
      </c>
      <c r="B1279" s="30"/>
      <c r="C1279" s="30" t="s">
        <v>1975</v>
      </c>
      <c r="D1279" s="30" t="s">
        <v>1976</v>
      </c>
      <c r="E1279" s="31">
        <v>43187</v>
      </c>
      <c r="F1279" s="30" t="s">
        <v>850</v>
      </c>
      <c r="G1279" s="30" t="s">
        <v>851</v>
      </c>
      <c r="H1279" s="30" t="s">
        <v>1952</v>
      </c>
      <c r="I1279" s="29">
        <v>4860274</v>
      </c>
      <c r="J1279" s="29">
        <v>10</v>
      </c>
      <c r="K1279" s="29">
        <v>486028</v>
      </c>
      <c r="L1279" s="38"/>
      <c r="M1279" s="39"/>
      <c r="N1279" s="40"/>
      <c r="O1279" s="35"/>
      <c r="P1279" s="36"/>
      <c r="Q1279" s="36"/>
      <c r="T1279" s="36"/>
    </row>
    <row r="1280" spans="1:20" s="37" customFormat="1" ht="18.75" customHeight="1">
      <c r="A1280" s="29">
        <f t="shared" si="25"/>
        <v>1254</v>
      </c>
      <c r="B1280" s="30"/>
      <c r="C1280" s="30" t="s">
        <v>1853</v>
      </c>
      <c r="D1280" s="30" t="s">
        <v>1977</v>
      </c>
      <c r="E1280" s="31">
        <v>43188</v>
      </c>
      <c r="F1280" s="30" t="s">
        <v>71</v>
      </c>
      <c r="G1280" s="30" t="s">
        <v>72</v>
      </c>
      <c r="H1280" s="30" t="s">
        <v>1350</v>
      </c>
      <c r="I1280" s="29">
        <v>1200000</v>
      </c>
      <c r="J1280" s="29">
        <v>10</v>
      </c>
      <c r="K1280" s="29">
        <v>120000</v>
      </c>
      <c r="L1280" s="38"/>
      <c r="M1280" s="39"/>
      <c r="N1280" s="40"/>
      <c r="O1280" s="35"/>
      <c r="P1280" s="36"/>
      <c r="Q1280" s="36"/>
      <c r="T1280" s="36"/>
    </row>
    <row r="1281" spans="1:20" s="37" customFormat="1" ht="18.75" customHeight="1">
      <c r="A1281" s="29">
        <f t="shared" si="25"/>
        <v>1255</v>
      </c>
      <c r="B1281" s="30"/>
      <c r="C1281" s="30" t="s">
        <v>1965</v>
      </c>
      <c r="D1281" s="30" t="s">
        <v>1978</v>
      </c>
      <c r="E1281" s="31">
        <v>43190</v>
      </c>
      <c r="F1281" s="30" t="s">
        <v>56</v>
      </c>
      <c r="G1281" s="30" t="s">
        <v>57</v>
      </c>
      <c r="H1281" s="30" t="s">
        <v>1952</v>
      </c>
      <c r="I1281" s="29">
        <v>11521800</v>
      </c>
      <c r="J1281" s="29">
        <v>10</v>
      </c>
      <c r="K1281" s="29">
        <v>1152180</v>
      </c>
      <c r="L1281" s="38"/>
      <c r="M1281" s="39"/>
      <c r="N1281" s="40"/>
      <c r="O1281" s="35"/>
      <c r="P1281" s="36"/>
      <c r="Q1281" s="36"/>
      <c r="T1281" s="36"/>
    </row>
    <row r="1282" spans="1:20" s="37" customFormat="1" ht="18.75" customHeight="1">
      <c r="A1282" s="29">
        <f t="shared" si="25"/>
        <v>1256</v>
      </c>
      <c r="B1282" s="30"/>
      <c r="C1282" s="30" t="s">
        <v>167</v>
      </c>
      <c r="D1282" s="30" t="s">
        <v>1979</v>
      </c>
      <c r="E1282" s="31">
        <v>43191</v>
      </c>
      <c r="F1282" s="30" t="s">
        <v>1980</v>
      </c>
      <c r="G1282" s="30" t="s">
        <v>1981</v>
      </c>
      <c r="H1282" s="30" t="s">
        <v>316</v>
      </c>
      <c r="I1282" s="29">
        <v>1678000</v>
      </c>
      <c r="J1282" s="29">
        <v>10</v>
      </c>
      <c r="K1282" s="29">
        <v>167800</v>
      </c>
      <c r="L1282" s="38"/>
      <c r="M1282" s="39"/>
      <c r="N1282" s="40"/>
      <c r="O1282" s="35"/>
      <c r="P1282" s="36"/>
      <c r="Q1282" s="36"/>
      <c r="T1282" s="36"/>
    </row>
    <row r="1283" spans="1:20" s="37" customFormat="1" ht="18.75" customHeight="1">
      <c r="A1283" s="29">
        <f t="shared" si="25"/>
        <v>1257</v>
      </c>
      <c r="B1283" s="30"/>
      <c r="C1283" s="30" t="s">
        <v>1982</v>
      </c>
      <c r="D1283" s="30" t="s">
        <v>1983</v>
      </c>
      <c r="E1283" s="31">
        <v>43191</v>
      </c>
      <c r="F1283" s="30" t="s">
        <v>89</v>
      </c>
      <c r="G1283" s="30" t="s">
        <v>90</v>
      </c>
      <c r="H1283" s="30" t="s">
        <v>858</v>
      </c>
      <c r="I1283" s="29">
        <v>323509</v>
      </c>
      <c r="J1283" s="29">
        <v>10</v>
      </c>
      <c r="K1283" s="29">
        <v>32351</v>
      </c>
      <c r="L1283" s="38"/>
      <c r="M1283" s="39"/>
      <c r="N1283" s="40"/>
      <c r="O1283" s="35"/>
      <c r="P1283" s="36"/>
      <c r="Q1283" s="36"/>
      <c r="T1283" s="36"/>
    </row>
    <row r="1284" spans="1:20" s="37" customFormat="1" ht="18.75" customHeight="1">
      <c r="A1284" s="29">
        <f t="shared" si="25"/>
        <v>1258</v>
      </c>
      <c r="B1284" s="30"/>
      <c r="C1284" s="30" t="s">
        <v>1982</v>
      </c>
      <c r="D1284" s="30" t="s">
        <v>1984</v>
      </c>
      <c r="E1284" s="31">
        <v>43191</v>
      </c>
      <c r="F1284" s="30" t="s">
        <v>89</v>
      </c>
      <c r="G1284" s="30" t="s">
        <v>90</v>
      </c>
      <c r="H1284" s="30" t="s">
        <v>858</v>
      </c>
      <c r="I1284" s="29">
        <v>670900</v>
      </c>
      <c r="J1284" s="29">
        <v>10</v>
      </c>
      <c r="K1284" s="29">
        <v>67090</v>
      </c>
      <c r="L1284" s="38"/>
      <c r="M1284" s="39"/>
      <c r="N1284" s="40"/>
      <c r="O1284" s="35"/>
      <c r="P1284" s="36"/>
      <c r="Q1284" s="36"/>
      <c r="T1284" s="36"/>
    </row>
    <row r="1285" spans="1:20" s="37" customFormat="1" ht="18.75" customHeight="1">
      <c r="A1285" s="29">
        <f t="shared" si="25"/>
        <v>1259</v>
      </c>
      <c r="B1285" s="30"/>
      <c r="C1285" s="30" t="s">
        <v>167</v>
      </c>
      <c r="D1285" s="30" t="s">
        <v>1985</v>
      </c>
      <c r="E1285" s="31">
        <v>43192</v>
      </c>
      <c r="F1285" s="30" t="s">
        <v>164</v>
      </c>
      <c r="G1285" s="30" t="s">
        <v>165</v>
      </c>
      <c r="H1285" s="30" t="s">
        <v>166</v>
      </c>
      <c r="I1285" s="29">
        <v>14044180</v>
      </c>
      <c r="J1285" s="29">
        <v>10</v>
      </c>
      <c r="K1285" s="29">
        <v>1404418</v>
      </c>
      <c r="L1285" s="38"/>
      <c r="M1285" s="39">
        <v>43241</v>
      </c>
      <c r="N1285" s="40"/>
      <c r="O1285" s="35"/>
      <c r="P1285" s="36"/>
      <c r="Q1285" s="36"/>
      <c r="T1285" s="36"/>
    </row>
    <row r="1286" spans="1:20" s="37" customFormat="1" ht="18.75" customHeight="1">
      <c r="A1286" s="29">
        <f t="shared" si="25"/>
        <v>1260</v>
      </c>
      <c r="B1286" s="30"/>
      <c r="C1286" s="30" t="s">
        <v>167</v>
      </c>
      <c r="D1286" s="30" t="s">
        <v>1986</v>
      </c>
      <c r="E1286" s="31">
        <v>43192</v>
      </c>
      <c r="F1286" s="30" t="s">
        <v>164</v>
      </c>
      <c r="G1286" s="30" t="s">
        <v>165</v>
      </c>
      <c r="H1286" s="30" t="s">
        <v>166</v>
      </c>
      <c r="I1286" s="29">
        <v>17416600</v>
      </c>
      <c r="J1286" s="29">
        <v>10</v>
      </c>
      <c r="K1286" s="29">
        <v>1741660</v>
      </c>
      <c r="L1286" s="38"/>
      <c r="M1286" s="39">
        <v>43241</v>
      </c>
      <c r="N1286" s="40"/>
      <c r="O1286" s="35"/>
      <c r="P1286" s="36"/>
      <c r="Q1286" s="36"/>
      <c r="T1286" s="36"/>
    </row>
    <row r="1287" spans="1:20" s="37" customFormat="1" ht="18.75" customHeight="1">
      <c r="A1287" s="29">
        <f t="shared" si="25"/>
        <v>1261</v>
      </c>
      <c r="B1287" s="30"/>
      <c r="C1287" s="30" t="s">
        <v>213</v>
      </c>
      <c r="D1287" s="30" t="s">
        <v>1987</v>
      </c>
      <c r="E1287" s="31">
        <v>43192</v>
      </c>
      <c r="F1287" s="30" t="s">
        <v>215</v>
      </c>
      <c r="G1287" s="30" t="s">
        <v>216</v>
      </c>
      <c r="H1287" s="30" t="s">
        <v>1988</v>
      </c>
      <c r="I1287" s="29">
        <v>1992986</v>
      </c>
      <c r="J1287" s="29">
        <v>10</v>
      </c>
      <c r="K1287" s="29">
        <v>199299</v>
      </c>
      <c r="L1287" s="38"/>
      <c r="M1287" s="39"/>
      <c r="N1287" s="40"/>
      <c r="O1287" s="35"/>
      <c r="P1287" s="36"/>
      <c r="Q1287" s="36"/>
      <c r="T1287" s="36"/>
    </row>
    <row r="1288" spans="1:20" s="37" customFormat="1" ht="18.75" customHeight="1">
      <c r="A1288" s="29">
        <f t="shared" si="25"/>
        <v>1262</v>
      </c>
      <c r="B1288" s="30"/>
      <c r="C1288" s="30" t="s">
        <v>1963</v>
      </c>
      <c r="D1288" s="30" t="s">
        <v>1989</v>
      </c>
      <c r="E1288" s="31">
        <v>43192</v>
      </c>
      <c r="F1288" s="30" t="s">
        <v>293</v>
      </c>
      <c r="G1288" s="30" t="s">
        <v>294</v>
      </c>
      <c r="H1288" s="30" t="s">
        <v>134</v>
      </c>
      <c r="I1288" s="29">
        <v>3054545</v>
      </c>
      <c r="J1288" s="29">
        <v>10</v>
      </c>
      <c r="K1288" s="29">
        <v>305455</v>
      </c>
      <c r="L1288" s="38"/>
      <c r="M1288" s="39"/>
      <c r="N1288" s="40"/>
      <c r="O1288" s="35"/>
      <c r="P1288" s="36"/>
      <c r="Q1288" s="36"/>
      <c r="T1288" s="36"/>
    </row>
    <row r="1289" spans="1:20" s="37" customFormat="1" ht="18.75" customHeight="1">
      <c r="A1289" s="29">
        <f t="shared" si="25"/>
        <v>1263</v>
      </c>
      <c r="B1289" s="30"/>
      <c r="C1289" s="30" t="s">
        <v>1990</v>
      </c>
      <c r="D1289" s="30" t="s">
        <v>1991</v>
      </c>
      <c r="E1289" s="31">
        <v>43192</v>
      </c>
      <c r="F1289" s="30" t="s">
        <v>362</v>
      </c>
      <c r="G1289" s="30" t="s">
        <v>363</v>
      </c>
      <c r="H1289" s="30" t="s">
        <v>129</v>
      </c>
      <c r="I1289" s="29">
        <v>454545</v>
      </c>
      <c r="J1289" s="29">
        <v>10</v>
      </c>
      <c r="K1289" s="29">
        <v>45455</v>
      </c>
      <c r="L1289" s="38"/>
      <c r="M1289" s="39"/>
      <c r="N1289" s="40"/>
      <c r="O1289" s="35"/>
      <c r="P1289" s="36"/>
      <c r="Q1289" s="36"/>
      <c r="T1289" s="36"/>
    </row>
    <row r="1290" spans="1:20" s="37" customFormat="1" ht="18.75" customHeight="1">
      <c r="A1290" s="29">
        <f t="shared" si="25"/>
        <v>1264</v>
      </c>
      <c r="B1290" s="30"/>
      <c r="C1290" s="30" t="s">
        <v>242</v>
      </c>
      <c r="D1290" s="30" t="s">
        <v>1992</v>
      </c>
      <c r="E1290" s="31">
        <v>43193</v>
      </c>
      <c r="F1290" s="30" t="s">
        <v>244</v>
      </c>
      <c r="G1290" s="30" t="s">
        <v>245</v>
      </c>
      <c r="H1290" s="30" t="s">
        <v>1094</v>
      </c>
      <c r="I1290" s="29">
        <v>2070000</v>
      </c>
      <c r="J1290" s="29">
        <v>10</v>
      </c>
      <c r="K1290" s="29">
        <v>207000</v>
      </c>
      <c r="L1290" s="38"/>
      <c r="M1290" s="39"/>
      <c r="N1290" s="40"/>
      <c r="O1290" s="35"/>
      <c r="P1290" s="36"/>
      <c r="Q1290" s="36"/>
      <c r="T1290" s="36"/>
    </row>
    <row r="1291" spans="1:20" s="37" customFormat="1" ht="18.75" customHeight="1">
      <c r="A1291" s="29">
        <f t="shared" si="25"/>
        <v>1265</v>
      </c>
      <c r="B1291" s="30"/>
      <c r="C1291" s="30" t="s">
        <v>100</v>
      </c>
      <c r="D1291" s="30" t="s">
        <v>1993</v>
      </c>
      <c r="E1291" s="31">
        <v>43193</v>
      </c>
      <c r="F1291" s="30" t="s">
        <v>102</v>
      </c>
      <c r="G1291" s="30" t="s">
        <v>103</v>
      </c>
      <c r="H1291" s="30" t="s">
        <v>104</v>
      </c>
      <c r="I1291" s="29">
        <v>9860000</v>
      </c>
      <c r="J1291" s="29">
        <v>10</v>
      </c>
      <c r="K1291" s="29">
        <v>986000</v>
      </c>
      <c r="L1291" s="38"/>
      <c r="M1291" s="39"/>
      <c r="N1291" s="40"/>
      <c r="O1291" s="35"/>
      <c r="P1291" s="36"/>
      <c r="Q1291" s="36"/>
      <c r="T1291" s="36"/>
    </row>
    <row r="1292" spans="1:20" s="37" customFormat="1" ht="18.75" customHeight="1">
      <c r="A1292" s="29">
        <f t="shared" si="25"/>
        <v>1266</v>
      </c>
      <c r="B1292" s="30"/>
      <c r="C1292" s="30" t="s">
        <v>493</v>
      </c>
      <c r="D1292" s="30" t="s">
        <v>810</v>
      </c>
      <c r="E1292" s="31">
        <v>43194</v>
      </c>
      <c r="F1292" s="30" t="s">
        <v>1994</v>
      </c>
      <c r="G1292" s="30" t="s">
        <v>1995</v>
      </c>
      <c r="H1292" s="30" t="s">
        <v>1996</v>
      </c>
      <c r="I1292" s="29">
        <v>316860950</v>
      </c>
      <c r="J1292" s="29">
        <v>10</v>
      </c>
      <c r="K1292" s="29">
        <v>31686095</v>
      </c>
      <c r="L1292" s="38"/>
      <c r="M1292" s="39">
        <v>43210</v>
      </c>
      <c r="N1292" s="40"/>
      <c r="O1292" s="35"/>
      <c r="P1292" s="36"/>
      <c r="Q1292" s="36"/>
      <c r="T1292" s="36"/>
    </row>
    <row r="1293" spans="1:20" s="37" customFormat="1" ht="18.75" customHeight="1">
      <c r="A1293" s="29">
        <f t="shared" si="25"/>
        <v>1267</v>
      </c>
      <c r="B1293" s="30"/>
      <c r="C1293" s="30" t="s">
        <v>100</v>
      </c>
      <c r="D1293" s="30" t="s">
        <v>1997</v>
      </c>
      <c r="E1293" s="31">
        <v>43194</v>
      </c>
      <c r="F1293" s="30" t="s">
        <v>102</v>
      </c>
      <c r="G1293" s="30" t="s">
        <v>103</v>
      </c>
      <c r="H1293" s="30" t="s">
        <v>104</v>
      </c>
      <c r="I1293" s="29">
        <v>3000000</v>
      </c>
      <c r="J1293" s="29">
        <v>10</v>
      </c>
      <c r="K1293" s="29">
        <v>300000</v>
      </c>
      <c r="L1293" s="38"/>
      <c r="M1293" s="39"/>
      <c r="N1293" s="40"/>
      <c r="O1293" s="35"/>
      <c r="P1293" s="36"/>
      <c r="Q1293" s="36"/>
      <c r="T1293" s="36"/>
    </row>
    <row r="1294" spans="1:20" s="37" customFormat="1" ht="18.75" customHeight="1">
      <c r="A1294" s="29">
        <f t="shared" si="25"/>
        <v>1268</v>
      </c>
      <c r="B1294" s="30"/>
      <c r="C1294" s="30" t="s">
        <v>119</v>
      </c>
      <c r="D1294" s="30" t="s">
        <v>1998</v>
      </c>
      <c r="E1294" s="31">
        <v>43195</v>
      </c>
      <c r="F1294" s="30" t="s">
        <v>121</v>
      </c>
      <c r="G1294" s="30" t="s">
        <v>122</v>
      </c>
      <c r="H1294" s="30" t="s">
        <v>212</v>
      </c>
      <c r="I1294" s="29">
        <v>193599153</v>
      </c>
      <c r="J1294" s="29">
        <v>10</v>
      </c>
      <c r="K1294" s="29">
        <v>19359915</v>
      </c>
      <c r="L1294" s="38"/>
      <c r="M1294" s="39" t="s">
        <v>1999</v>
      </c>
      <c r="N1294" s="40"/>
      <c r="O1294" s="35"/>
      <c r="P1294" s="36"/>
      <c r="Q1294" s="36"/>
      <c r="T1294" s="36"/>
    </row>
    <row r="1295" spans="1:20" s="37" customFormat="1" ht="18.75" customHeight="1">
      <c r="A1295" s="29">
        <f t="shared" si="25"/>
        <v>1269</v>
      </c>
      <c r="B1295" s="30"/>
      <c r="C1295" s="30" t="s">
        <v>468</v>
      </c>
      <c r="D1295" s="30" t="s">
        <v>2000</v>
      </c>
      <c r="E1295" s="31">
        <v>43195</v>
      </c>
      <c r="F1295" s="30" t="s">
        <v>159</v>
      </c>
      <c r="G1295" s="30" t="s">
        <v>160</v>
      </c>
      <c r="H1295" s="30" t="s">
        <v>161</v>
      </c>
      <c r="I1295" s="29">
        <v>9000000</v>
      </c>
      <c r="J1295" s="29">
        <v>10</v>
      </c>
      <c r="K1295" s="29">
        <v>900000</v>
      </c>
      <c r="L1295" s="38"/>
      <c r="M1295" s="39"/>
      <c r="N1295" s="40"/>
      <c r="O1295" s="35"/>
      <c r="P1295" s="36"/>
      <c r="Q1295" s="36"/>
      <c r="T1295" s="36"/>
    </row>
    <row r="1296" spans="1:20" s="37" customFormat="1" ht="18.75" customHeight="1">
      <c r="A1296" s="29">
        <f t="shared" si="25"/>
        <v>1270</v>
      </c>
      <c r="B1296" s="30"/>
      <c r="C1296" s="30" t="s">
        <v>1990</v>
      </c>
      <c r="D1296" s="30" t="s">
        <v>2001</v>
      </c>
      <c r="E1296" s="31">
        <v>43195</v>
      </c>
      <c r="F1296" s="30" t="s">
        <v>362</v>
      </c>
      <c r="G1296" s="30" t="s">
        <v>363</v>
      </c>
      <c r="H1296" s="30" t="s">
        <v>129</v>
      </c>
      <c r="I1296" s="29">
        <v>454545</v>
      </c>
      <c r="J1296" s="29">
        <v>10</v>
      </c>
      <c r="K1296" s="29">
        <v>45455</v>
      </c>
      <c r="L1296" s="38"/>
      <c r="M1296" s="39"/>
      <c r="N1296" s="40"/>
      <c r="O1296" s="35"/>
      <c r="P1296" s="36"/>
      <c r="Q1296" s="36"/>
      <c r="T1296" s="36"/>
    </row>
    <row r="1297" spans="1:20" s="37" customFormat="1" ht="18.75" customHeight="1">
      <c r="A1297" s="29">
        <f t="shared" si="25"/>
        <v>1271</v>
      </c>
      <c r="B1297" s="30"/>
      <c r="C1297" s="30" t="s">
        <v>1958</v>
      </c>
      <c r="D1297" s="30" t="s">
        <v>2002</v>
      </c>
      <c r="E1297" s="31">
        <v>43196</v>
      </c>
      <c r="F1297" s="30" t="s">
        <v>835</v>
      </c>
      <c r="G1297" s="30" t="s">
        <v>836</v>
      </c>
      <c r="H1297" s="30" t="s">
        <v>858</v>
      </c>
      <c r="I1297" s="29">
        <v>513882</v>
      </c>
      <c r="J1297" s="29">
        <v>10</v>
      </c>
      <c r="K1297" s="29">
        <v>51388</v>
      </c>
      <c r="L1297" s="38"/>
      <c r="M1297" s="39"/>
      <c r="N1297" s="40"/>
      <c r="O1297" s="35"/>
      <c r="P1297" s="36"/>
      <c r="Q1297" s="36"/>
      <c r="T1297" s="36"/>
    </row>
    <row r="1298" spans="1:20" s="37" customFormat="1" ht="18.75" customHeight="1">
      <c r="A1298" s="29">
        <f t="shared" si="25"/>
        <v>1272</v>
      </c>
      <c r="B1298" s="30"/>
      <c r="C1298" s="30" t="s">
        <v>167</v>
      </c>
      <c r="D1298" s="30" t="s">
        <v>96</v>
      </c>
      <c r="E1298" s="31">
        <v>43199</v>
      </c>
      <c r="F1298" s="30" t="s">
        <v>164</v>
      </c>
      <c r="G1298" s="30" t="s">
        <v>165</v>
      </c>
      <c r="H1298" s="30" t="s">
        <v>166</v>
      </c>
      <c r="I1298" s="29">
        <v>15738400</v>
      </c>
      <c r="J1298" s="29">
        <v>10</v>
      </c>
      <c r="K1298" s="29">
        <v>1573840</v>
      </c>
      <c r="L1298" s="38"/>
      <c r="M1298" s="39"/>
      <c r="N1298" s="40"/>
      <c r="O1298" s="35"/>
      <c r="P1298" s="36"/>
      <c r="Q1298" s="36"/>
      <c r="T1298" s="36"/>
    </row>
    <row r="1299" spans="1:20" s="37" customFormat="1" ht="18.75" customHeight="1">
      <c r="A1299" s="29">
        <f t="shared" si="25"/>
        <v>1273</v>
      </c>
      <c r="B1299" s="30"/>
      <c r="C1299" s="30" t="s">
        <v>167</v>
      </c>
      <c r="D1299" s="30" t="s">
        <v>2003</v>
      </c>
      <c r="E1299" s="31">
        <v>43199</v>
      </c>
      <c r="F1299" s="30" t="s">
        <v>482</v>
      </c>
      <c r="G1299" s="30" t="s">
        <v>410</v>
      </c>
      <c r="H1299" s="30" t="s">
        <v>411</v>
      </c>
      <c r="I1299" s="29">
        <v>54872400</v>
      </c>
      <c r="J1299" s="29">
        <v>10</v>
      </c>
      <c r="K1299" s="29">
        <v>5487240</v>
      </c>
      <c r="L1299" s="38"/>
      <c r="M1299" s="39">
        <v>43241</v>
      </c>
      <c r="N1299" s="40"/>
      <c r="O1299" s="35"/>
      <c r="P1299" s="36"/>
      <c r="Q1299" s="36"/>
      <c r="T1299" s="36"/>
    </row>
    <row r="1300" spans="1:20" s="37" customFormat="1" ht="18.75" customHeight="1">
      <c r="A1300" s="29">
        <f t="shared" si="25"/>
        <v>1274</v>
      </c>
      <c r="B1300" s="30"/>
      <c r="C1300" s="30" t="s">
        <v>93</v>
      </c>
      <c r="D1300" s="30" t="s">
        <v>2004</v>
      </c>
      <c r="E1300" s="31">
        <v>43199</v>
      </c>
      <c r="F1300" s="30" t="s">
        <v>49</v>
      </c>
      <c r="G1300" s="30" t="s">
        <v>50</v>
      </c>
      <c r="H1300" s="30" t="s">
        <v>864</v>
      </c>
      <c r="I1300" s="29">
        <v>193760000</v>
      </c>
      <c r="J1300" s="29">
        <v>10</v>
      </c>
      <c r="K1300" s="29">
        <v>19376000</v>
      </c>
      <c r="L1300" s="38"/>
      <c r="M1300" s="39">
        <v>43241</v>
      </c>
      <c r="N1300" s="40"/>
      <c r="O1300" s="35"/>
      <c r="P1300" s="36"/>
      <c r="Q1300" s="36"/>
      <c r="T1300" s="36"/>
    </row>
    <row r="1301" spans="1:20" s="37" customFormat="1" ht="18.75" customHeight="1">
      <c r="A1301" s="29">
        <f t="shared" si="25"/>
        <v>1275</v>
      </c>
      <c r="B1301" s="30"/>
      <c r="C1301" s="30" t="s">
        <v>1990</v>
      </c>
      <c r="D1301" s="30" t="s">
        <v>2005</v>
      </c>
      <c r="E1301" s="31">
        <v>43199</v>
      </c>
      <c r="F1301" s="30" t="s">
        <v>362</v>
      </c>
      <c r="G1301" s="30" t="s">
        <v>363</v>
      </c>
      <c r="H1301" s="30" t="s">
        <v>129</v>
      </c>
      <c r="I1301" s="29">
        <v>454545</v>
      </c>
      <c r="J1301" s="29">
        <v>10</v>
      </c>
      <c r="K1301" s="29">
        <v>45455</v>
      </c>
      <c r="L1301" s="38"/>
      <c r="M1301" s="39"/>
      <c r="N1301" s="40"/>
      <c r="O1301" s="35"/>
      <c r="P1301" s="36"/>
      <c r="Q1301" s="36"/>
      <c r="T1301" s="36"/>
    </row>
    <row r="1302" spans="1:20" s="37" customFormat="1" ht="18.75" customHeight="1">
      <c r="A1302" s="29">
        <f t="shared" si="25"/>
        <v>1276</v>
      </c>
      <c r="B1302" s="30"/>
      <c r="C1302" s="30" t="s">
        <v>1958</v>
      </c>
      <c r="D1302" s="30" t="s">
        <v>2006</v>
      </c>
      <c r="E1302" s="31">
        <v>43199</v>
      </c>
      <c r="F1302" s="30" t="s">
        <v>835</v>
      </c>
      <c r="G1302" s="30" t="s">
        <v>836</v>
      </c>
      <c r="H1302" s="30" t="s">
        <v>858</v>
      </c>
      <c r="I1302" s="29">
        <v>295000</v>
      </c>
      <c r="J1302" s="29">
        <v>10</v>
      </c>
      <c r="K1302" s="29">
        <v>29500</v>
      </c>
      <c r="L1302" s="38"/>
      <c r="M1302" s="39"/>
      <c r="N1302" s="40"/>
      <c r="O1302" s="35"/>
      <c r="P1302" s="36"/>
      <c r="Q1302" s="36"/>
      <c r="T1302" s="36"/>
    </row>
    <row r="1303" spans="1:20" s="37" customFormat="1" ht="18.75" customHeight="1">
      <c r="A1303" s="29">
        <f t="shared" si="25"/>
        <v>1277</v>
      </c>
      <c r="B1303" s="30"/>
      <c r="C1303" s="30" t="s">
        <v>1958</v>
      </c>
      <c r="D1303" s="30" t="s">
        <v>2007</v>
      </c>
      <c r="E1303" s="31">
        <v>43199</v>
      </c>
      <c r="F1303" s="30" t="s">
        <v>835</v>
      </c>
      <c r="G1303" s="30" t="s">
        <v>836</v>
      </c>
      <c r="H1303" s="30" t="s">
        <v>858</v>
      </c>
      <c r="I1303" s="29">
        <v>273138</v>
      </c>
      <c r="J1303" s="29">
        <v>10</v>
      </c>
      <c r="K1303" s="29">
        <v>27314</v>
      </c>
      <c r="L1303" s="38"/>
      <c r="M1303" s="39"/>
      <c r="N1303" s="40"/>
      <c r="O1303" s="35"/>
      <c r="P1303" s="36"/>
      <c r="Q1303" s="36"/>
      <c r="T1303" s="36"/>
    </row>
    <row r="1304" spans="1:20" s="37" customFormat="1" ht="18.75" customHeight="1">
      <c r="A1304" s="29">
        <f t="shared" si="25"/>
        <v>1278</v>
      </c>
      <c r="B1304" s="30"/>
      <c r="C1304" s="30" t="s">
        <v>93</v>
      </c>
      <c r="D1304" s="30" t="s">
        <v>2008</v>
      </c>
      <c r="E1304" s="31">
        <v>43200</v>
      </c>
      <c r="F1304" s="30" t="s">
        <v>49</v>
      </c>
      <c r="G1304" s="30" t="s">
        <v>50</v>
      </c>
      <c r="H1304" s="30" t="s">
        <v>864</v>
      </c>
      <c r="I1304" s="29">
        <v>110280000</v>
      </c>
      <c r="J1304" s="29">
        <v>10</v>
      </c>
      <c r="K1304" s="29">
        <v>11028000</v>
      </c>
      <c r="L1304" s="38"/>
      <c r="M1304" s="39">
        <v>43241</v>
      </c>
      <c r="N1304" s="40"/>
      <c r="O1304" s="35"/>
      <c r="P1304" s="36"/>
      <c r="Q1304" s="36"/>
      <c r="T1304" s="36"/>
    </row>
    <row r="1305" spans="1:20" s="37" customFormat="1" ht="18.75" customHeight="1">
      <c r="A1305" s="29">
        <f t="shared" si="25"/>
        <v>1279</v>
      </c>
      <c r="B1305" s="30"/>
      <c r="C1305" s="30" t="s">
        <v>1853</v>
      </c>
      <c r="D1305" s="30" t="s">
        <v>2009</v>
      </c>
      <c r="E1305" s="31">
        <v>43200</v>
      </c>
      <c r="F1305" s="30" t="s">
        <v>71</v>
      </c>
      <c r="G1305" s="30" t="s">
        <v>72</v>
      </c>
      <c r="H1305" s="30" t="s">
        <v>1350</v>
      </c>
      <c r="I1305" s="29">
        <v>800000</v>
      </c>
      <c r="J1305" s="29">
        <v>10</v>
      </c>
      <c r="K1305" s="29">
        <v>80000</v>
      </c>
      <c r="L1305" s="38"/>
      <c r="M1305" s="39"/>
      <c r="N1305" s="40"/>
      <c r="O1305" s="35"/>
      <c r="P1305" s="36"/>
      <c r="Q1305" s="36"/>
      <c r="T1305" s="36"/>
    </row>
    <row r="1306" spans="1:20" s="37" customFormat="1" ht="18.75" customHeight="1">
      <c r="A1306" s="29">
        <f t="shared" si="25"/>
        <v>1280</v>
      </c>
      <c r="B1306" s="30"/>
      <c r="C1306" s="30" t="s">
        <v>1237</v>
      </c>
      <c r="D1306" s="30" t="s">
        <v>2010</v>
      </c>
      <c r="E1306" s="31">
        <v>43200</v>
      </c>
      <c r="F1306" s="30" t="s">
        <v>1239</v>
      </c>
      <c r="G1306" s="30" t="s">
        <v>1240</v>
      </c>
      <c r="H1306" s="30" t="s">
        <v>1241</v>
      </c>
      <c r="I1306" s="29">
        <v>30894552</v>
      </c>
      <c r="J1306" s="29">
        <v>10</v>
      </c>
      <c r="K1306" s="29">
        <v>3089455</v>
      </c>
      <c r="L1306" s="38"/>
      <c r="M1306" s="39">
        <v>43210</v>
      </c>
      <c r="N1306" s="40"/>
      <c r="O1306" s="35"/>
      <c r="P1306" s="36"/>
      <c r="Q1306" s="36"/>
      <c r="T1306" s="36"/>
    </row>
    <row r="1307" spans="1:20" s="37" customFormat="1" ht="18.75" customHeight="1">
      <c r="A1307" s="29">
        <f t="shared" si="25"/>
        <v>1281</v>
      </c>
      <c r="B1307" s="30"/>
      <c r="C1307" s="30" t="s">
        <v>1689</v>
      </c>
      <c r="D1307" s="30" t="s">
        <v>2011</v>
      </c>
      <c r="E1307" s="31">
        <v>43201</v>
      </c>
      <c r="F1307" s="30" t="s">
        <v>114</v>
      </c>
      <c r="G1307" s="30" t="s">
        <v>115</v>
      </c>
      <c r="H1307" s="30" t="s">
        <v>116</v>
      </c>
      <c r="I1307" s="29">
        <v>10000</v>
      </c>
      <c r="J1307" s="29">
        <v>10</v>
      </c>
      <c r="K1307" s="29">
        <v>1000</v>
      </c>
      <c r="L1307" s="38"/>
      <c r="M1307" s="39"/>
      <c r="N1307" s="40"/>
      <c r="O1307" s="35"/>
      <c r="P1307" s="36"/>
      <c r="Q1307" s="36"/>
      <c r="T1307" s="36"/>
    </row>
    <row r="1308" spans="1:20" s="37" customFormat="1" ht="18.75" customHeight="1">
      <c r="A1308" s="29">
        <f t="shared" si="25"/>
        <v>1282</v>
      </c>
      <c r="B1308" s="30"/>
      <c r="C1308" s="30" t="s">
        <v>261</v>
      </c>
      <c r="D1308" s="30" t="s">
        <v>2012</v>
      </c>
      <c r="E1308" s="31">
        <v>43202</v>
      </c>
      <c r="F1308" s="30" t="s">
        <v>139</v>
      </c>
      <c r="G1308" s="30" t="s">
        <v>140</v>
      </c>
      <c r="H1308" s="30" t="s">
        <v>2013</v>
      </c>
      <c r="I1308" s="29">
        <v>349015</v>
      </c>
      <c r="J1308" s="29">
        <v>10</v>
      </c>
      <c r="K1308" s="29">
        <v>34901</v>
      </c>
      <c r="L1308" s="38"/>
      <c r="M1308" s="39"/>
      <c r="N1308" s="40"/>
      <c r="O1308" s="35"/>
      <c r="P1308" s="36"/>
      <c r="Q1308" s="36"/>
      <c r="T1308" s="36"/>
    </row>
    <row r="1309" spans="1:20" s="37" customFormat="1" ht="18.75" customHeight="1">
      <c r="A1309" s="29">
        <f t="shared" si="25"/>
        <v>1283</v>
      </c>
      <c r="B1309" s="30"/>
      <c r="C1309" s="30" t="s">
        <v>261</v>
      </c>
      <c r="D1309" s="30" t="s">
        <v>2014</v>
      </c>
      <c r="E1309" s="31">
        <v>43202</v>
      </c>
      <c r="F1309" s="30" t="s">
        <v>139</v>
      </c>
      <c r="G1309" s="30" t="s">
        <v>140</v>
      </c>
      <c r="H1309" s="30" t="s">
        <v>2013</v>
      </c>
      <c r="I1309" s="29">
        <v>153636</v>
      </c>
      <c r="J1309" s="29">
        <v>10</v>
      </c>
      <c r="K1309" s="29">
        <v>15364</v>
      </c>
      <c r="L1309" s="38"/>
      <c r="M1309" s="39"/>
      <c r="N1309" s="40"/>
      <c r="O1309" s="35"/>
      <c r="P1309" s="36"/>
      <c r="Q1309" s="36"/>
      <c r="T1309" s="36"/>
    </row>
    <row r="1310" spans="1:20" s="37" customFormat="1" ht="18.75" customHeight="1">
      <c r="A1310" s="29">
        <f t="shared" si="25"/>
        <v>1284</v>
      </c>
      <c r="B1310" s="30"/>
      <c r="C1310" s="30" t="s">
        <v>261</v>
      </c>
      <c r="D1310" s="30" t="s">
        <v>2015</v>
      </c>
      <c r="E1310" s="31">
        <v>43202</v>
      </c>
      <c r="F1310" s="30" t="s">
        <v>139</v>
      </c>
      <c r="G1310" s="30" t="s">
        <v>140</v>
      </c>
      <c r="H1310" s="30" t="s">
        <v>2013</v>
      </c>
      <c r="I1310" s="29">
        <v>274597</v>
      </c>
      <c r="J1310" s="29">
        <v>10</v>
      </c>
      <c r="K1310" s="29">
        <v>27460</v>
      </c>
      <c r="L1310" s="38"/>
      <c r="M1310" s="39"/>
      <c r="N1310" s="40"/>
      <c r="O1310" s="35"/>
      <c r="P1310" s="36"/>
      <c r="Q1310" s="36"/>
      <c r="T1310" s="36"/>
    </row>
    <row r="1311" spans="1:20" s="37" customFormat="1" ht="18.75" customHeight="1">
      <c r="A1311" s="29">
        <f t="shared" si="25"/>
        <v>1285</v>
      </c>
      <c r="B1311" s="30"/>
      <c r="C1311" s="30" t="s">
        <v>204</v>
      </c>
      <c r="D1311" s="30" t="s">
        <v>2016</v>
      </c>
      <c r="E1311" s="31">
        <v>43203</v>
      </c>
      <c r="F1311" s="30" t="s">
        <v>206</v>
      </c>
      <c r="G1311" s="30" t="s">
        <v>207</v>
      </c>
      <c r="H1311" s="30" t="s">
        <v>2017</v>
      </c>
      <c r="I1311" s="29">
        <v>375691055</v>
      </c>
      <c r="J1311" s="29">
        <v>10</v>
      </c>
      <c r="K1311" s="29">
        <v>37569105</v>
      </c>
      <c r="L1311" s="38"/>
      <c r="M1311" s="39">
        <v>43210</v>
      </c>
      <c r="N1311" s="40"/>
      <c r="O1311" s="35"/>
      <c r="P1311" s="36"/>
      <c r="Q1311" s="36"/>
      <c r="T1311" s="36"/>
    </row>
    <row r="1312" spans="1:20" s="37" customFormat="1" ht="18.75" customHeight="1">
      <c r="A1312" s="29">
        <f t="shared" si="25"/>
        <v>1286</v>
      </c>
      <c r="B1312" s="30"/>
      <c r="C1312" s="30" t="s">
        <v>167</v>
      </c>
      <c r="D1312" s="30" t="s">
        <v>2018</v>
      </c>
      <c r="E1312" s="31">
        <v>43203</v>
      </c>
      <c r="F1312" s="30" t="s">
        <v>794</v>
      </c>
      <c r="G1312" s="30" t="s">
        <v>337</v>
      </c>
      <c r="H1312" s="30" t="s">
        <v>2019</v>
      </c>
      <c r="I1312" s="29">
        <v>64526937</v>
      </c>
      <c r="J1312" s="29">
        <v>10</v>
      </c>
      <c r="K1312" s="29">
        <v>6452694</v>
      </c>
      <c r="L1312" s="38"/>
      <c r="M1312" s="39">
        <v>43210</v>
      </c>
      <c r="N1312" s="40"/>
      <c r="O1312" s="35"/>
      <c r="P1312" s="36"/>
      <c r="Q1312" s="36"/>
      <c r="T1312" s="36"/>
    </row>
    <row r="1313" spans="1:20" s="37" customFormat="1" ht="18.75" customHeight="1">
      <c r="A1313" s="29">
        <f t="shared" si="25"/>
        <v>1287</v>
      </c>
      <c r="B1313" s="30"/>
      <c r="C1313" s="30" t="s">
        <v>1990</v>
      </c>
      <c r="D1313" s="30" t="s">
        <v>2020</v>
      </c>
      <c r="E1313" s="31">
        <v>43204</v>
      </c>
      <c r="F1313" s="30" t="s">
        <v>362</v>
      </c>
      <c r="G1313" s="30" t="s">
        <v>363</v>
      </c>
      <c r="H1313" s="30" t="s">
        <v>129</v>
      </c>
      <c r="I1313" s="29">
        <v>454545</v>
      </c>
      <c r="J1313" s="29">
        <v>10</v>
      </c>
      <c r="K1313" s="29">
        <v>45455</v>
      </c>
      <c r="L1313" s="38"/>
      <c r="M1313" s="39"/>
      <c r="N1313" s="40"/>
      <c r="O1313" s="35"/>
      <c r="P1313" s="36"/>
      <c r="Q1313" s="36"/>
      <c r="T1313" s="36"/>
    </row>
    <row r="1314" spans="1:20" s="37" customFormat="1" ht="18.75" customHeight="1">
      <c r="A1314" s="29">
        <f t="shared" si="25"/>
        <v>1288</v>
      </c>
      <c r="B1314" s="30"/>
      <c r="C1314" s="30" t="s">
        <v>100</v>
      </c>
      <c r="D1314" s="30" t="s">
        <v>2021</v>
      </c>
      <c r="E1314" s="31">
        <v>43206</v>
      </c>
      <c r="F1314" s="30" t="s">
        <v>102</v>
      </c>
      <c r="G1314" s="30" t="s">
        <v>103</v>
      </c>
      <c r="H1314" s="30" t="s">
        <v>104</v>
      </c>
      <c r="I1314" s="29">
        <v>7710000</v>
      </c>
      <c r="J1314" s="29">
        <v>10</v>
      </c>
      <c r="K1314" s="29">
        <v>771000</v>
      </c>
      <c r="L1314" s="38"/>
      <c r="M1314" s="39"/>
      <c r="N1314" s="40"/>
      <c r="O1314" s="35"/>
      <c r="P1314" s="36"/>
      <c r="Q1314" s="36"/>
      <c r="T1314" s="36"/>
    </row>
    <row r="1315" spans="1:20" s="37" customFormat="1" ht="18.75" customHeight="1">
      <c r="A1315" s="29">
        <f t="shared" si="25"/>
        <v>1289</v>
      </c>
      <c r="B1315" s="30"/>
      <c r="C1315" s="30" t="s">
        <v>2022</v>
      </c>
      <c r="D1315" s="30" t="s">
        <v>2023</v>
      </c>
      <c r="E1315" s="31">
        <v>43206</v>
      </c>
      <c r="F1315" s="30" t="s">
        <v>2024</v>
      </c>
      <c r="G1315" s="30" t="s">
        <v>2025</v>
      </c>
      <c r="H1315" s="30" t="s">
        <v>1957</v>
      </c>
      <c r="I1315" s="29">
        <v>2012727</v>
      </c>
      <c r="J1315" s="29">
        <v>10</v>
      </c>
      <c r="K1315" s="29">
        <v>201273</v>
      </c>
      <c r="L1315" s="38"/>
      <c r="M1315" s="39"/>
      <c r="N1315" s="40"/>
      <c r="O1315" s="35"/>
      <c r="P1315" s="36"/>
      <c r="Q1315" s="36"/>
      <c r="T1315" s="36"/>
    </row>
    <row r="1316" spans="1:20" s="37" customFormat="1" ht="18.75" customHeight="1">
      <c r="A1316" s="29">
        <f t="shared" si="25"/>
        <v>1290</v>
      </c>
      <c r="B1316" s="30"/>
      <c r="C1316" s="30" t="s">
        <v>2026</v>
      </c>
      <c r="D1316" s="30" t="s">
        <v>2027</v>
      </c>
      <c r="E1316" s="31">
        <v>43207</v>
      </c>
      <c r="F1316" s="30" t="s">
        <v>121</v>
      </c>
      <c r="G1316" s="30" t="s">
        <v>122</v>
      </c>
      <c r="H1316" s="30" t="s">
        <v>2028</v>
      </c>
      <c r="I1316" s="29">
        <v>118755669</v>
      </c>
      <c r="J1316" s="29">
        <v>10</v>
      </c>
      <c r="K1316" s="29">
        <v>11875566</v>
      </c>
      <c r="L1316" s="38"/>
      <c r="M1316" s="39" t="s">
        <v>1999</v>
      </c>
      <c r="N1316" s="40"/>
      <c r="O1316" s="35"/>
      <c r="P1316" s="36"/>
      <c r="Q1316" s="36"/>
      <c r="T1316" s="36"/>
    </row>
    <row r="1317" spans="1:20" s="37" customFormat="1" ht="18.75" customHeight="1">
      <c r="A1317" s="29">
        <f t="shared" si="25"/>
        <v>1291</v>
      </c>
      <c r="B1317" s="30"/>
      <c r="C1317" s="30" t="s">
        <v>2029</v>
      </c>
      <c r="D1317" s="30" t="s">
        <v>1344</v>
      </c>
      <c r="E1317" s="31">
        <v>43207</v>
      </c>
      <c r="F1317" s="30" t="s">
        <v>1337</v>
      </c>
      <c r="G1317" s="30" t="s">
        <v>1338</v>
      </c>
      <c r="H1317" s="30" t="s">
        <v>1957</v>
      </c>
      <c r="I1317" s="29">
        <v>445909</v>
      </c>
      <c r="J1317" s="29">
        <v>10</v>
      </c>
      <c r="K1317" s="29">
        <v>44591</v>
      </c>
      <c r="L1317" s="38"/>
      <c r="M1317" s="39"/>
      <c r="N1317" s="40"/>
      <c r="O1317" s="35"/>
      <c r="P1317" s="36"/>
      <c r="Q1317" s="36"/>
      <c r="T1317" s="36"/>
    </row>
    <row r="1318" spans="1:20" s="37" customFormat="1" ht="18.75" customHeight="1">
      <c r="A1318" s="29">
        <f t="shared" si="25"/>
        <v>1292</v>
      </c>
      <c r="B1318" s="30"/>
      <c r="C1318" s="30" t="s">
        <v>1990</v>
      </c>
      <c r="D1318" s="30" t="s">
        <v>2030</v>
      </c>
      <c r="E1318" s="31">
        <v>43207</v>
      </c>
      <c r="F1318" s="30" t="s">
        <v>362</v>
      </c>
      <c r="G1318" s="30" t="s">
        <v>363</v>
      </c>
      <c r="H1318" s="30" t="s">
        <v>129</v>
      </c>
      <c r="I1318" s="29">
        <v>454545</v>
      </c>
      <c r="J1318" s="29">
        <v>10</v>
      </c>
      <c r="K1318" s="29">
        <v>45455</v>
      </c>
      <c r="L1318" s="38"/>
      <c r="M1318" s="39"/>
      <c r="N1318" s="40"/>
      <c r="O1318" s="35"/>
      <c r="P1318" s="36"/>
      <c r="Q1318" s="36"/>
      <c r="T1318" s="36"/>
    </row>
    <row r="1319" spans="1:20" s="37" customFormat="1" ht="18.75" customHeight="1">
      <c r="A1319" s="29">
        <f t="shared" si="25"/>
        <v>1293</v>
      </c>
      <c r="B1319" s="30"/>
      <c r="C1319" s="30" t="s">
        <v>2026</v>
      </c>
      <c r="D1319" s="30" t="s">
        <v>2031</v>
      </c>
      <c r="E1319" s="31">
        <v>43208</v>
      </c>
      <c r="F1319" s="30" t="s">
        <v>121</v>
      </c>
      <c r="G1319" s="30" t="s">
        <v>122</v>
      </c>
      <c r="H1319" s="30" t="s">
        <v>2032</v>
      </c>
      <c r="I1319" s="29">
        <v>306837854</v>
      </c>
      <c r="J1319" s="29">
        <v>10</v>
      </c>
      <c r="K1319" s="29">
        <v>30683785</v>
      </c>
      <c r="L1319" s="38"/>
      <c r="M1319" s="39" t="s">
        <v>1999</v>
      </c>
      <c r="N1319" s="40"/>
      <c r="O1319" s="35"/>
      <c r="P1319" s="36"/>
      <c r="Q1319" s="36"/>
      <c r="T1319" s="36"/>
    </row>
    <row r="1320" spans="1:20" s="37" customFormat="1" ht="18.75" customHeight="1">
      <c r="A1320" s="29">
        <f t="shared" si="25"/>
        <v>1294</v>
      </c>
      <c r="B1320" s="30"/>
      <c r="C1320" s="30" t="s">
        <v>93</v>
      </c>
      <c r="D1320" s="30" t="s">
        <v>2033</v>
      </c>
      <c r="E1320" s="31">
        <v>43209</v>
      </c>
      <c r="F1320" s="30" t="s">
        <v>49</v>
      </c>
      <c r="G1320" s="30" t="s">
        <v>50</v>
      </c>
      <c r="H1320" s="30" t="s">
        <v>864</v>
      </c>
      <c r="I1320" s="29">
        <v>119680000</v>
      </c>
      <c r="J1320" s="29">
        <v>10</v>
      </c>
      <c r="K1320" s="29">
        <v>11968000</v>
      </c>
      <c r="L1320" s="38"/>
      <c r="M1320" s="39">
        <v>43241</v>
      </c>
      <c r="N1320" s="40"/>
      <c r="O1320" s="35"/>
      <c r="P1320" s="36"/>
      <c r="Q1320" s="36"/>
      <c r="T1320" s="36"/>
    </row>
    <row r="1321" spans="1:20" s="37" customFormat="1" ht="18.75" customHeight="1">
      <c r="A1321" s="29">
        <f t="shared" si="25"/>
        <v>1295</v>
      </c>
      <c r="B1321" s="30"/>
      <c r="C1321" s="30" t="s">
        <v>100</v>
      </c>
      <c r="D1321" s="30" t="s">
        <v>2034</v>
      </c>
      <c r="E1321" s="31">
        <v>43210</v>
      </c>
      <c r="F1321" s="30" t="s">
        <v>102</v>
      </c>
      <c r="G1321" s="30" t="s">
        <v>103</v>
      </c>
      <c r="H1321" s="30" t="s">
        <v>104</v>
      </c>
      <c r="I1321" s="29">
        <v>18500000</v>
      </c>
      <c r="J1321" s="29">
        <v>10</v>
      </c>
      <c r="K1321" s="29">
        <v>1850000</v>
      </c>
      <c r="L1321" s="38"/>
      <c r="M1321" s="39">
        <v>43241</v>
      </c>
      <c r="N1321" s="40"/>
      <c r="O1321" s="35"/>
      <c r="P1321" s="36"/>
      <c r="Q1321" s="36"/>
      <c r="T1321" s="36"/>
    </row>
    <row r="1322" spans="1:20" s="37" customFormat="1" ht="18.75" customHeight="1">
      <c r="A1322" s="29">
        <f t="shared" si="25"/>
        <v>1296</v>
      </c>
      <c r="B1322" s="30"/>
      <c r="C1322" s="30" t="s">
        <v>1109</v>
      </c>
      <c r="D1322" s="30" t="s">
        <v>2035</v>
      </c>
      <c r="E1322" s="31">
        <v>43210</v>
      </c>
      <c r="F1322" s="30" t="s">
        <v>546</v>
      </c>
      <c r="G1322" s="30" t="s">
        <v>547</v>
      </c>
      <c r="H1322" s="30" t="s">
        <v>134</v>
      </c>
      <c r="I1322" s="29">
        <v>912000</v>
      </c>
      <c r="J1322" s="29">
        <v>10</v>
      </c>
      <c r="K1322" s="29">
        <v>91200</v>
      </c>
      <c r="L1322" s="38"/>
      <c r="M1322" s="39"/>
      <c r="N1322" s="40"/>
      <c r="O1322" s="35"/>
      <c r="P1322" s="36"/>
      <c r="Q1322" s="36"/>
      <c r="T1322" s="36"/>
    </row>
    <row r="1323" spans="1:20" s="37" customFormat="1" ht="18.75" customHeight="1">
      <c r="A1323" s="29">
        <f t="shared" si="25"/>
        <v>1297</v>
      </c>
      <c r="B1323" s="30"/>
      <c r="C1323" s="30" t="s">
        <v>1990</v>
      </c>
      <c r="D1323" s="30" t="s">
        <v>2036</v>
      </c>
      <c r="E1323" s="31">
        <v>43210</v>
      </c>
      <c r="F1323" s="30" t="s">
        <v>362</v>
      </c>
      <c r="G1323" s="30" t="s">
        <v>363</v>
      </c>
      <c r="H1323" s="30" t="s">
        <v>129</v>
      </c>
      <c r="I1323" s="29">
        <v>454545</v>
      </c>
      <c r="J1323" s="29">
        <v>10</v>
      </c>
      <c r="K1323" s="29">
        <v>45455</v>
      </c>
      <c r="L1323" s="38"/>
      <c r="M1323" s="39"/>
      <c r="N1323" s="40"/>
      <c r="O1323" s="35"/>
      <c r="P1323" s="36"/>
      <c r="Q1323" s="36"/>
      <c r="T1323" s="36"/>
    </row>
    <row r="1324" spans="1:20" s="37" customFormat="1" ht="18.75" customHeight="1">
      <c r="A1324" s="29">
        <f t="shared" ref="A1324:A1352" si="26">+A1323+1</f>
        <v>1298</v>
      </c>
      <c r="B1324" s="30"/>
      <c r="C1324" s="30" t="s">
        <v>1689</v>
      </c>
      <c r="D1324" s="30" t="s">
        <v>2037</v>
      </c>
      <c r="E1324" s="31">
        <v>43210</v>
      </c>
      <c r="F1324" s="30" t="s">
        <v>114</v>
      </c>
      <c r="G1324" s="30" t="s">
        <v>115</v>
      </c>
      <c r="H1324" s="30" t="s">
        <v>116</v>
      </c>
      <c r="I1324" s="29">
        <v>20000</v>
      </c>
      <c r="J1324" s="29">
        <v>10</v>
      </c>
      <c r="K1324" s="29">
        <v>2000</v>
      </c>
      <c r="L1324" s="38"/>
      <c r="M1324" s="39"/>
      <c r="N1324" s="40"/>
      <c r="O1324" s="35"/>
      <c r="P1324" s="36"/>
      <c r="Q1324" s="36"/>
      <c r="T1324" s="36"/>
    </row>
    <row r="1325" spans="1:20" s="37" customFormat="1" ht="18.75" customHeight="1">
      <c r="A1325" s="29">
        <f t="shared" si="26"/>
        <v>1299</v>
      </c>
      <c r="B1325" s="30"/>
      <c r="C1325" s="30" t="s">
        <v>1689</v>
      </c>
      <c r="D1325" s="30" t="s">
        <v>2038</v>
      </c>
      <c r="E1325" s="31">
        <v>43210</v>
      </c>
      <c r="F1325" s="30" t="s">
        <v>114</v>
      </c>
      <c r="G1325" s="30" t="s">
        <v>115</v>
      </c>
      <c r="H1325" s="30" t="s">
        <v>116</v>
      </c>
      <c r="I1325" s="29">
        <v>27215</v>
      </c>
      <c r="J1325" s="29">
        <v>10</v>
      </c>
      <c r="K1325" s="29">
        <v>2721</v>
      </c>
      <c r="L1325" s="38"/>
      <c r="M1325" s="39"/>
      <c r="N1325" s="40"/>
      <c r="O1325" s="35"/>
      <c r="P1325" s="36"/>
      <c r="Q1325" s="36"/>
      <c r="T1325" s="36"/>
    </row>
    <row r="1326" spans="1:20" s="37" customFormat="1" ht="18.75" customHeight="1">
      <c r="A1326" s="29">
        <f t="shared" si="26"/>
        <v>1300</v>
      </c>
      <c r="B1326" s="30"/>
      <c r="C1326" s="30" t="s">
        <v>1689</v>
      </c>
      <c r="D1326" s="30" t="s">
        <v>2039</v>
      </c>
      <c r="E1326" s="31">
        <v>43210</v>
      </c>
      <c r="F1326" s="30" t="s">
        <v>114</v>
      </c>
      <c r="G1326" s="30" t="s">
        <v>115</v>
      </c>
      <c r="H1326" s="30" t="s">
        <v>116</v>
      </c>
      <c r="I1326" s="29">
        <v>28726</v>
      </c>
      <c r="J1326" s="29">
        <v>10</v>
      </c>
      <c r="K1326" s="29">
        <v>2873</v>
      </c>
      <c r="L1326" s="38"/>
      <c r="M1326" s="39"/>
      <c r="N1326" s="40"/>
      <c r="O1326" s="35"/>
      <c r="P1326" s="36"/>
      <c r="Q1326" s="36"/>
      <c r="T1326" s="36"/>
    </row>
    <row r="1327" spans="1:20" s="37" customFormat="1" ht="18.75" customHeight="1">
      <c r="A1327" s="29">
        <f t="shared" si="26"/>
        <v>1301</v>
      </c>
      <c r="B1327" s="30"/>
      <c r="C1327" s="30" t="s">
        <v>1689</v>
      </c>
      <c r="D1327" s="30" t="s">
        <v>2040</v>
      </c>
      <c r="E1327" s="31">
        <v>43210</v>
      </c>
      <c r="F1327" s="30" t="s">
        <v>114</v>
      </c>
      <c r="G1327" s="30" t="s">
        <v>115</v>
      </c>
      <c r="H1327" s="30" t="s">
        <v>116</v>
      </c>
      <c r="I1327" s="29">
        <v>45415</v>
      </c>
      <c r="J1327" s="29">
        <v>10</v>
      </c>
      <c r="K1327" s="29">
        <v>4541</v>
      </c>
      <c r="L1327" s="38"/>
      <c r="M1327" s="39"/>
      <c r="N1327" s="40"/>
      <c r="O1327" s="35"/>
      <c r="P1327" s="36"/>
      <c r="Q1327" s="36"/>
      <c r="T1327" s="36"/>
    </row>
    <row r="1328" spans="1:20" s="37" customFormat="1" ht="18.75" customHeight="1">
      <c r="A1328" s="29">
        <f t="shared" si="26"/>
        <v>1302</v>
      </c>
      <c r="B1328" s="30"/>
      <c r="C1328" s="30" t="s">
        <v>1689</v>
      </c>
      <c r="D1328" s="30" t="s">
        <v>2041</v>
      </c>
      <c r="E1328" s="31">
        <v>43210</v>
      </c>
      <c r="F1328" s="30" t="s">
        <v>114</v>
      </c>
      <c r="G1328" s="30" t="s">
        <v>115</v>
      </c>
      <c r="H1328" s="30" t="s">
        <v>116</v>
      </c>
      <c r="I1328" s="29">
        <v>23665</v>
      </c>
      <c r="J1328" s="29">
        <v>10</v>
      </c>
      <c r="K1328" s="29">
        <v>2366</v>
      </c>
      <c r="L1328" s="38"/>
      <c r="M1328" s="39"/>
      <c r="N1328" s="40"/>
      <c r="O1328" s="35"/>
      <c r="P1328" s="36"/>
      <c r="Q1328" s="36"/>
      <c r="T1328" s="36"/>
    </row>
    <row r="1329" spans="1:20" s="37" customFormat="1" ht="18.75" customHeight="1">
      <c r="A1329" s="29">
        <f t="shared" si="26"/>
        <v>1303</v>
      </c>
      <c r="B1329" s="30"/>
      <c r="C1329" s="30" t="s">
        <v>1689</v>
      </c>
      <c r="D1329" s="30" t="s">
        <v>2042</v>
      </c>
      <c r="E1329" s="31">
        <v>43210</v>
      </c>
      <c r="F1329" s="30" t="s">
        <v>114</v>
      </c>
      <c r="G1329" s="30" t="s">
        <v>115</v>
      </c>
      <c r="H1329" s="30" t="s">
        <v>116</v>
      </c>
      <c r="I1329" s="29">
        <v>10000</v>
      </c>
      <c r="J1329" s="29">
        <v>10</v>
      </c>
      <c r="K1329" s="29">
        <v>1000</v>
      </c>
      <c r="L1329" s="38"/>
      <c r="M1329" s="39"/>
      <c r="N1329" s="40"/>
      <c r="O1329" s="35"/>
      <c r="P1329" s="36"/>
      <c r="Q1329" s="36"/>
      <c r="T1329" s="36"/>
    </row>
    <row r="1330" spans="1:20" s="37" customFormat="1" ht="18.75" customHeight="1">
      <c r="A1330" s="29">
        <f t="shared" si="26"/>
        <v>1304</v>
      </c>
      <c r="B1330" s="30"/>
      <c r="C1330" s="30" t="s">
        <v>1689</v>
      </c>
      <c r="D1330" s="30" t="s">
        <v>2043</v>
      </c>
      <c r="E1330" s="31">
        <v>43210</v>
      </c>
      <c r="F1330" s="30" t="s">
        <v>114</v>
      </c>
      <c r="G1330" s="30" t="s">
        <v>115</v>
      </c>
      <c r="H1330" s="30" t="s">
        <v>116</v>
      </c>
      <c r="I1330" s="29">
        <v>10000</v>
      </c>
      <c r="J1330" s="29">
        <v>10</v>
      </c>
      <c r="K1330" s="29">
        <v>1000</v>
      </c>
      <c r="L1330" s="38"/>
      <c r="M1330" s="39"/>
      <c r="N1330" s="40"/>
      <c r="O1330" s="35"/>
      <c r="P1330" s="36"/>
      <c r="Q1330" s="36"/>
      <c r="T1330" s="36"/>
    </row>
    <row r="1331" spans="1:20" s="37" customFormat="1" ht="18.75" customHeight="1">
      <c r="A1331" s="29">
        <f t="shared" si="26"/>
        <v>1305</v>
      </c>
      <c r="B1331" s="30"/>
      <c r="C1331" s="30" t="s">
        <v>1689</v>
      </c>
      <c r="D1331" s="30" t="s">
        <v>2044</v>
      </c>
      <c r="E1331" s="31">
        <v>43210</v>
      </c>
      <c r="F1331" s="30" t="s">
        <v>114</v>
      </c>
      <c r="G1331" s="30" t="s">
        <v>115</v>
      </c>
      <c r="H1331" s="30" t="s">
        <v>116</v>
      </c>
      <c r="I1331" s="29">
        <v>10000</v>
      </c>
      <c r="J1331" s="29">
        <v>10</v>
      </c>
      <c r="K1331" s="29">
        <v>1000</v>
      </c>
      <c r="L1331" s="38"/>
      <c r="M1331" s="39"/>
      <c r="N1331" s="40"/>
      <c r="O1331" s="35"/>
      <c r="P1331" s="36"/>
      <c r="Q1331" s="36"/>
      <c r="T1331" s="36"/>
    </row>
    <row r="1332" spans="1:20" s="37" customFormat="1" ht="18.75" customHeight="1">
      <c r="A1332" s="29">
        <f t="shared" si="26"/>
        <v>1306</v>
      </c>
      <c r="B1332" s="30"/>
      <c r="C1332" s="30" t="s">
        <v>1689</v>
      </c>
      <c r="D1332" s="30" t="s">
        <v>2045</v>
      </c>
      <c r="E1332" s="31">
        <v>43210</v>
      </c>
      <c r="F1332" s="30" t="s">
        <v>114</v>
      </c>
      <c r="G1332" s="30" t="s">
        <v>115</v>
      </c>
      <c r="H1332" s="30" t="s">
        <v>116</v>
      </c>
      <c r="I1332" s="29">
        <v>10000</v>
      </c>
      <c r="J1332" s="29">
        <v>10</v>
      </c>
      <c r="K1332" s="29">
        <v>1000</v>
      </c>
      <c r="L1332" s="38"/>
      <c r="M1332" s="39"/>
      <c r="N1332" s="40"/>
      <c r="O1332" s="35"/>
      <c r="P1332" s="36"/>
      <c r="Q1332" s="36"/>
      <c r="T1332" s="36"/>
    </row>
    <row r="1333" spans="1:20" s="37" customFormat="1" ht="18.75" customHeight="1">
      <c r="A1333" s="29">
        <f t="shared" si="26"/>
        <v>1307</v>
      </c>
      <c r="B1333" s="30"/>
      <c r="C1333" s="30" t="s">
        <v>1689</v>
      </c>
      <c r="D1333" s="30" t="s">
        <v>2046</v>
      </c>
      <c r="E1333" s="31">
        <v>43210</v>
      </c>
      <c r="F1333" s="30" t="s">
        <v>114</v>
      </c>
      <c r="G1333" s="30" t="s">
        <v>115</v>
      </c>
      <c r="H1333" s="30" t="s">
        <v>116</v>
      </c>
      <c r="I1333" s="29">
        <v>10000</v>
      </c>
      <c r="J1333" s="29">
        <v>10</v>
      </c>
      <c r="K1333" s="29">
        <v>1000</v>
      </c>
      <c r="L1333" s="38"/>
      <c r="M1333" s="39"/>
      <c r="N1333" s="40"/>
      <c r="O1333" s="35"/>
      <c r="P1333" s="36"/>
      <c r="Q1333" s="36"/>
      <c r="T1333" s="36"/>
    </row>
    <row r="1334" spans="1:20" s="37" customFormat="1" ht="18.75" customHeight="1">
      <c r="A1334" s="29">
        <f t="shared" si="26"/>
        <v>1308</v>
      </c>
      <c r="B1334" s="30"/>
      <c r="C1334" s="30" t="s">
        <v>1689</v>
      </c>
      <c r="D1334" s="30" t="s">
        <v>2047</v>
      </c>
      <c r="E1334" s="31">
        <v>43210</v>
      </c>
      <c r="F1334" s="30" t="s">
        <v>114</v>
      </c>
      <c r="G1334" s="30" t="s">
        <v>115</v>
      </c>
      <c r="H1334" s="30" t="s">
        <v>116</v>
      </c>
      <c r="I1334" s="29">
        <v>20000</v>
      </c>
      <c r="J1334" s="29">
        <v>10</v>
      </c>
      <c r="K1334" s="29">
        <v>2000</v>
      </c>
      <c r="L1334" s="38"/>
      <c r="M1334" s="39"/>
      <c r="N1334" s="40"/>
      <c r="O1334" s="35"/>
      <c r="P1334" s="36"/>
      <c r="Q1334" s="36"/>
      <c r="T1334" s="36"/>
    </row>
    <row r="1335" spans="1:20" s="37" customFormat="1" ht="18.75" customHeight="1">
      <c r="A1335" s="29">
        <f t="shared" si="26"/>
        <v>1309</v>
      </c>
      <c r="B1335" s="30"/>
      <c r="C1335" s="30" t="s">
        <v>1689</v>
      </c>
      <c r="D1335" s="30" t="s">
        <v>2048</v>
      </c>
      <c r="E1335" s="31">
        <v>43210</v>
      </c>
      <c r="F1335" s="30" t="s">
        <v>114</v>
      </c>
      <c r="G1335" s="30" t="s">
        <v>115</v>
      </c>
      <c r="H1335" s="30" t="s">
        <v>116</v>
      </c>
      <c r="I1335" s="29">
        <v>10000</v>
      </c>
      <c r="J1335" s="29">
        <v>10</v>
      </c>
      <c r="K1335" s="29">
        <v>1000</v>
      </c>
      <c r="L1335" s="38"/>
      <c r="M1335" s="39"/>
      <c r="N1335" s="40"/>
      <c r="O1335" s="35"/>
      <c r="P1335" s="36"/>
      <c r="Q1335" s="36"/>
      <c r="T1335" s="36"/>
    </row>
    <row r="1336" spans="1:20" s="37" customFormat="1" ht="18.75" customHeight="1">
      <c r="A1336" s="29">
        <f t="shared" si="26"/>
        <v>1310</v>
      </c>
      <c r="B1336" s="30"/>
      <c r="C1336" s="30" t="s">
        <v>1689</v>
      </c>
      <c r="D1336" s="30" t="s">
        <v>2049</v>
      </c>
      <c r="E1336" s="31">
        <v>43210</v>
      </c>
      <c r="F1336" s="30" t="s">
        <v>114</v>
      </c>
      <c r="G1336" s="30" t="s">
        <v>115</v>
      </c>
      <c r="H1336" s="30" t="s">
        <v>116</v>
      </c>
      <c r="I1336" s="29">
        <v>48806</v>
      </c>
      <c r="J1336" s="29">
        <v>10</v>
      </c>
      <c r="K1336" s="29">
        <v>4881</v>
      </c>
      <c r="L1336" s="38"/>
      <c r="M1336" s="39"/>
      <c r="N1336" s="40"/>
      <c r="O1336" s="35"/>
      <c r="P1336" s="36"/>
      <c r="Q1336" s="36"/>
      <c r="T1336" s="36"/>
    </row>
    <row r="1337" spans="1:20" s="37" customFormat="1" ht="18.75" customHeight="1">
      <c r="A1337" s="29">
        <f t="shared" si="26"/>
        <v>1311</v>
      </c>
      <c r="B1337" s="30"/>
      <c r="C1337" s="30" t="s">
        <v>1689</v>
      </c>
      <c r="D1337" s="30" t="s">
        <v>2050</v>
      </c>
      <c r="E1337" s="31">
        <v>43210</v>
      </c>
      <c r="F1337" s="30" t="s">
        <v>114</v>
      </c>
      <c r="G1337" s="30" t="s">
        <v>115</v>
      </c>
      <c r="H1337" s="30" t="s">
        <v>116</v>
      </c>
      <c r="I1337" s="29">
        <v>104565</v>
      </c>
      <c r="J1337" s="29">
        <v>10</v>
      </c>
      <c r="K1337" s="29">
        <v>10456</v>
      </c>
      <c r="L1337" s="38"/>
      <c r="M1337" s="39"/>
      <c r="N1337" s="40"/>
      <c r="O1337" s="35"/>
      <c r="P1337" s="36"/>
      <c r="Q1337" s="36"/>
      <c r="T1337" s="36"/>
    </row>
    <row r="1338" spans="1:20" s="37" customFormat="1" ht="18.75" customHeight="1">
      <c r="A1338" s="29">
        <f t="shared" si="26"/>
        <v>1312</v>
      </c>
      <c r="B1338" s="30"/>
      <c r="C1338" s="30" t="s">
        <v>1689</v>
      </c>
      <c r="D1338" s="30" t="s">
        <v>2051</v>
      </c>
      <c r="E1338" s="31">
        <v>43210</v>
      </c>
      <c r="F1338" s="30" t="s">
        <v>114</v>
      </c>
      <c r="G1338" s="30" t="s">
        <v>115</v>
      </c>
      <c r="H1338" s="30" t="s">
        <v>116</v>
      </c>
      <c r="I1338" s="29">
        <v>28296</v>
      </c>
      <c r="J1338" s="29">
        <v>10</v>
      </c>
      <c r="K1338" s="29">
        <v>2830</v>
      </c>
      <c r="L1338" s="38"/>
      <c r="M1338" s="39"/>
      <c r="N1338" s="40"/>
      <c r="O1338" s="35"/>
      <c r="P1338" s="36"/>
      <c r="Q1338" s="36"/>
      <c r="T1338" s="36"/>
    </row>
    <row r="1339" spans="1:20" s="37" customFormat="1" ht="18.75" customHeight="1">
      <c r="A1339" s="29">
        <f t="shared" si="26"/>
        <v>1313</v>
      </c>
      <c r="B1339" s="30"/>
      <c r="C1339" s="30" t="s">
        <v>1990</v>
      </c>
      <c r="D1339" s="30" t="s">
        <v>2052</v>
      </c>
      <c r="E1339" s="31">
        <v>43212</v>
      </c>
      <c r="F1339" s="30" t="s">
        <v>666</v>
      </c>
      <c r="G1339" s="30" t="s">
        <v>363</v>
      </c>
      <c r="H1339" s="30" t="s">
        <v>667</v>
      </c>
      <c r="I1339" s="29">
        <v>2981818</v>
      </c>
      <c r="J1339" s="29">
        <v>10</v>
      </c>
      <c r="K1339" s="29">
        <v>298182</v>
      </c>
      <c r="L1339" s="38"/>
      <c r="M1339" s="39"/>
      <c r="N1339" s="40"/>
      <c r="O1339" s="35"/>
      <c r="P1339" s="36"/>
      <c r="Q1339" s="36"/>
      <c r="T1339" s="36"/>
    </row>
    <row r="1340" spans="1:20" s="37" customFormat="1" ht="18.75" customHeight="1">
      <c r="A1340" s="29">
        <f t="shared" si="26"/>
        <v>1314</v>
      </c>
      <c r="B1340" s="30"/>
      <c r="C1340" s="30" t="s">
        <v>93</v>
      </c>
      <c r="D1340" s="30" t="s">
        <v>2053</v>
      </c>
      <c r="E1340" s="31">
        <v>43213</v>
      </c>
      <c r="F1340" s="30" t="s">
        <v>49</v>
      </c>
      <c r="G1340" s="30" t="s">
        <v>50</v>
      </c>
      <c r="H1340" s="30" t="s">
        <v>864</v>
      </c>
      <c r="I1340" s="29">
        <v>52800000</v>
      </c>
      <c r="J1340" s="29">
        <v>10</v>
      </c>
      <c r="K1340" s="29">
        <v>5280000</v>
      </c>
      <c r="L1340" s="38"/>
      <c r="M1340" s="39">
        <v>43241</v>
      </c>
      <c r="N1340" s="40"/>
      <c r="O1340" s="35"/>
      <c r="P1340" s="36"/>
      <c r="Q1340" s="36"/>
      <c r="T1340" s="36"/>
    </row>
    <row r="1341" spans="1:20" s="37" customFormat="1" ht="18.75" customHeight="1">
      <c r="A1341" s="29">
        <f t="shared" si="26"/>
        <v>1315</v>
      </c>
      <c r="B1341" s="30"/>
      <c r="C1341" s="30" t="s">
        <v>2026</v>
      </c>
      <c r="D1341" s="30" t="s">
        <v>1336</v>
      </c>
      <c r="E1341" s="31">
        <v>43213</v>
      </c>
      <c r="F1341" s="30" t="s">
        <v>121</v>
      </c>
      <c r="G1341" s="30" t="s">
        <v>122</v>
      </c>
      <c r="H1341" s="30" t="s">
        <v>2054</v>
      </c>
      <c r="I1341" s="29">
        <v>511206458</v>
      </c>
      <c r="J1341" s="29">
        <v>10</v>
      </c>
      <c r="K1341" s="29">
        <v>51120645</v>
      </c>
      <c r="L1341" s="38"/>
      <c r="M1341" s="39" t="s">
        <v>1999</v>
      </c>
      <c r="N1341" s="40"/>
      <c r="O1341" s="35"/>
      <c r="P1341" s="36"/>
      <c r="Q1341" s="36"/>
      <c r="T1341" s="36"/>
    </row>
    <row r="1342" spans="1:20" s="37" customFormat="1" ht="18.75" customHeight="1">
      <c r="A1342" s="29">
        <f t="shared" si="26"/>
        <v>1316</v>
      </c>
      <c r="B1342" s="30"/>
      <c r="C1342" s="30" t="s">
        <v>2026</v>
      </c>
      <c r="D1342" s="30" t="s">
        <v>203</v>
      </c>
      <c r="E1342" s="31">
        <v>43214</v>
      </c>
      <c r="F1342" s="30" t="s">
        <v>121</v>
      </c>
      <c r="G1342" s="30" t="s">
        <v>122</v>
      </c>
      <c r="H1342" s="30" t="s">
        <v>212</v>
      </c>
      <c r="I1342" s="29">
        <v>266636060</v>
      </c>
      <c r="J1342" s="29">
        <v>10</v>
      </c>
      <c r="K1342" s="29">
        <v>26663606</v>
      </c>
      <c r="L1342" s="38"/>
      <c r="M1342" s="39">
        <v>43228</v>
      </c>
      <c r="N1342" s="40"/>
      <c r="O1342" s="35"/>
      <c r="P1342" s="36"/>
      <c r="Q1342" s="36"/>
      <c r="T1342" s="36"/>
    </row>
    <row r="1343" spans="1:20" s="37" customFormat="1" ht="18.75" customHeight="1">
      <c r="A1343" s="29">
        <f t="shared" si="26"/>
        <v>1317</v>
      </c>
      <c r="B1343" s="30"/>
      <c r="C1343" s="30" t="s">
        <v>1851</v>
      </c>
      <c r="D1343" s="30" t="s">
        <v>2055</v>
      </c>
      <c r="E1343" s="31">
        <v>43215</v>
      </c>
      <c r="F1343" s="30" t="s">
        <v>1035</v>
      </c>
      <c r="G1343" s="30" t="s">
        <v>1036</v>
      </c>
      <c r="H1343" s="30" t="s">
        <v>134</v>
      </c>
      <c r="I1343" s="29">
        <v>644000</v>
      </c>
      <c r="J1343" s="29">
        <v>10</v>
      </c>
      <c r="K1343" s="29">
        <v>64400</v>
      </c>
      <c r="L1343" s="38"/>
      <c r="M1343" s="39"/>
      <c r="N1343" s="40"/>
      <c r="O1343" s="35"/>
      <c r="P1343" s="36"/>
      <c r="Q1343" s="36"/>
      <c r="T1343" s="36"/>
    </row>
    <row r="1344" spans="1:20" s="37" customFormat="1" ht="18.75" customHeight="1">
      <c r="A1344" s="29">
        <f t="shared" si="26"/>
        <v>1318</v>
      </c>
      <c r="B1344" s="30"/>
      <c r="C1344" s="30" t="s">
        <v>100</v>
      </c>
      <c r="D1344" s="30" t="s">
        <v>2056</v>
      </c>
      <c r="E1344" s="31">
        <v>43216</v>
      </c>
      <c r="F1344" s="30" t="s">
        <v>102</v>
      </c>
      <c r="G1344" s="30" t="s">
        <v>103</v>
      </c>
      <c r="H1344" s="30" t="s">
        <v>104</v>
      </c>
      <c r="I1344" s="29">
        <v>15600000</v>
      </c>
      <c r="J1344" s="29">
        <v>10</v>
      </c>
      <c r="K1344" s="29">
        <v>1560000</v>
      </c>
      <c r="L1344" s="38"/>
      <c r="M1344" s="39"/>
      <c r="N1344" s="40"/>
      <c r="O1344" s="35"/>
      <c r="P1344" s="36"/>
      <c r="Q1344" s="36"/>
      <c r="T1344" s="36"/>
    </row>
    <row r="1345" spans="1:255" s="37" customFormat="1" ht="18.75" customHeight="1">
      <c r="A1345" s="29">
        <f t="shared" si="26"/>
        <v>1319</v>
      </c>
      <c r="B1345" s="30"/>
      <c r="C1345" s="30" t="s">
        <v>231</v>
      </c>
      <c r="D1345" s="30" t="s">
        <v>380</v>
      </c>
      <c r="E1345" s="31">
        <v>43216</v>
      </c>
      <c r="F1345" s="30" t="s">
        <v>239</v>
      </c>
      <c r="G1345" s="30" t="s">
        <v>240</v>
      </c>
      <c r="H1345" s="30" t="s">
        <v>2057</v>
      </c>
      <c r="I1345" s="29">
        <v>11130300</v>
      </c>
      <c r="J1345" s="29">
        <v>10</v>
      </c>
      <c r="K1345" s="29">
        <v>1113030</v>
      </c>
      <c r="L1345" s="38"/>
      <c r="M1345" s="39"/>
      <c r="N1345" s="40"/>
      <c r="O1345" s="35"/>
      <c r="P1345" s="36"/>
      <c r="Q1345" s="36"/>
      <c r="T1345" s="36"/>
    </row>
    <row r="1346" spans="1:255" s="37" customFormat="1" ht="18.75" customHeight="1">
      <c r="A1346" s="29">
        <f t="shared" si="26"/>
        <v>1320</v>
      </c>
      <c r="B1346" s="30"/>
      <c r="C1346" s="30" t="s">
        <v>231</v>
      </c>
      <c r="D1346" s="30" t="s">
        <v>2058</v>
      </c>
      <c r="E1346" s="31">
        <v>43216</v>
      </c>
      <c r="F1346" s="30" t="s">
        <v>239</v>
      </c>
      <c r="G1346" s="30" t="s">
        <v>240</v>
      </c>
      <c r="H1346" s="30" t="s">
        <v>2059</v>
      </c>
      <c r="I1346" s="29">
        <v>58990000</v>
      </c>
      <c r="J1346" s="29">
        <v>10</v>
      </c>
      <c r="K1346" s="29">
        <v>5899000</v>
      </c>
      <c r="L1346" s="38"/>
      <c r="M1346" s="39">
        <v>43241</v>
      </c>
      <c r="N1346" s="40"/>
      <c r="O1346" s="35"/>
      <c r="P1346" s="36"/>
      <c r="Q1346" s="36"/>
      <c r="T1346" s="36"/>
    </row>
    <row r="1347" spans="1:255" s="37" customFormat="1" ht="18.75" customHeight="1">
      <c r="A1347" s="29">
        <f t="shared" si="26"/>
        <v>1321</v>
      </c>
      <c r="B1347" s="30"/>
      <c r="C1347" s="30" t="s">
        <v>167</v>
      </c>
      <c r="D1347" s="30" t="s">
        <v>2060</v>
      </c>
      <c r="E1347" s="31">
        <v>43217</v>
      </c>
      <c r="F1347" s="30" t="s">
        <v>164</v>
      </c>
      <c r="G1347" s="30" t="s">
        <v>165</v>
      </c>
      <c r="H1347" s="30" t="s">
        <v>166</v>
      </c>
      <c r="I1347" s="29">
        <v>20238860</v>
      </c>
      <c r="J1347" s="29">
        <v>10</v>
      </c>
      <c r="K1347" s="29">
        <v>2023886</v>
      </c>
      <c r="L1347" s="38"/>
      <c r="M1347" s="39">
        <v>43241</v>
      </c>
      <c r="N1347" s="40"/>
      <c r="O1347" s="35"/>
      <c r="P1347" s="36"/>
      <c r="Q1347" s="36"/>
      <c r="T1347" s="36"/>
    </row>
    <row r="1348" spans="1:255" s="37" customFormat="1" ht="18.75" customHeight="1">
      <c r="A1348" s="29">
        <f t="shared" si="26"/>
        <v>1322</v>
      </c>
      <c r="B1348" s="30"/>
      <c r="C1348" s="30" t="s">
        <v>167</v>
      </c>
      <c r="D1348" s="30" t="s">
        <v>2061</v>
      </c>
      <c r="E1348" s="31">
        <v>43217</v>
      </c>
      <c r="F1348" s="30" t="s">
        <v>258</v>
      </c>
      <c r="G1348" s="30" t="s">
        <v>259</v>
      </c>
      <c r="H1348" s="30" t="s">
        <v>2062</v>
      </c>
      <c r="I1348" s="29">
        <v>90854265</v>
      </c>
      <c r="J1348" s="29">
        <v>10</v>
      </c>
      <c r="K1348" s="29">
        <v>9085427</v>
      </c>
      <c r="L1348" s="38"/>
      <c r="M1348" s="39">
        <v>43241</v>
      </c>
      <c r="N1348" s="40"/>
      <c r="O1348" s="35"/>
      <c r="P1348" s="36"/>
      <c r="Q1348" s="36"/>
      <c r="T1348" s="36"/>
    </row>
    <row r="1349" spans="1:255" s="37" customFormat="1" ht="18.75" customHeight="1">
      <c r="A1349" s="29">
        <f t="shared" si="26"/>
        <v>1323</v>
      </c>
      <c r="B1349" s="30"/>
      <c r="C1349" s="30" t="s">
        <v>1080</v>
      </c>
      <c r="D1349" s="30" t="s">
        <v>2063</v>
      </c>
      <c r="E1349" s="31">
        <v>43218</v>
      </c>
      <c r="F1349" s="30" t="s">
        <v>233</v>
      </c>
      <c r="G1349" s="30" t="s">
        <v>234</v>
      </c>
      <c r="H1349" s="30" t="s">
        <v>235</v>
      </c>
      <c r="I1349" s="29">
        <v>58752500</v>
      </c>
      <c r="J1349" s="29">
        <v>10</v>
      </c>
      <c r="K1349" s="29">
        <v>5875250</v>
      </c>
      <c r="L1349" s="38"/>
      <c r="M1349" s="39">
        <v>43241</v>
      </c>
      <c r="N1349" s="40"/>
      <c r="O1349" s="35"/>
      <c r="P1349" s="36"/>
      <c r="Q1349" s="36"/>
      <c r="T1349" s="36"/>
    </row>
    <row r="1350" spans="1:255" s="37" customFormat="1" ht="18.75" customHeight="1">
      <c r="A1350" s="29">
        <f t="shared" si="26"/>
        <v>1324</v>
      </c>
      <c r="B1350" s="30"/>
      <c r="C1350" s="30" t="s">
        <v>1080</v>
      </c>
      <c r="D1350" s="30" t="s">
        <v>474</v>
      </c>
      <c r="E1350" s="31">
        <v>43218</v>
      </c>
      <c r="F1350" s="30" t="s">
        <v>233</v>
      </c>
      <c r="G1350" s="30" t="s">
        <v>234</v>
      </c>
      <c r="H1350" s="30" t="s">
        <v>235</v>
      </c>
      <c r="I1350" s="29">
        <v>27802400</v>
      </c>
      <c r="J1350" s="29">
        <v>10</v>
      </c>
      <c r="K1350" s="29">
        <v>2780240</v>
      </c>
      <c r="L1350" s="38"/>
      <c r="M1350" s="39">
        <v>43241</v>
      </c>
      <c r="N1350" s="40"/>
      <c r="O1350" s="35"/>
      <c r="P1350" s="36"/>
      <c r="Q1350" s="36"/>
      <c r="T1350" s="36"/>
    </row>
    <row r="1351" spans="1:255" s="37" customFormat="1" ht="18.75" customHeight="1">
      <c r="A1351" s="29">
        <f t="shared" si="26"/>
        <v>1325</v>
      </c>
      <c r="B1351" s="30"/>
      <c r="C1351" s="30" t="s">
        <v>248</v>
      </c>
      <c r="D1351" s="30" t="s">
        <v>2064</v>
      </c>
      <c r="E1351" s="31">
        <v>43218</v>
      </c>
      <c r="F1351" s="30" t="s">
        <v>250</v>
      </c>
      <c r="G1351" s="30" t="s">
        <v>251</v>
      </c>
      <c r="H1351" s="30" t="s">
        <v>2065</v>
      </c>
      <c r="I1351" s="29">
        <v>275787500</v>
      </c>
      <c r="J1351" s="29">
        <v>10</v>
      </c>
      <c r="K1351" s="29">
        <v>27578750</v>
      </c>
      <c r="L1351" s="38"/>
      <c r="M1351" s="39">
        <v>43241</v>
      </c>
      <c r="N1351" s="40"/>
      <c r="O1351" s="35"/>
      <c r="P1351" s="36"/>
      <c r="Q1351" s="36"/>
      <c r="T1351" s="36"/>
    </row>
    <row r="1352" spans="1:255" s="37" customFormat="1" ht="18.75" customHeight="1">
      <c r="A1352" s="29">
        <f t="shared" si="26"/>
        <v>1326</v>
      </c>
      <c r="B1352" s="30"/>
      <c r="C1352" s="30" t="s">
        <v>248</v>
      </c>
      <c r="D1352" s="30" t="s">
        <v>2066</v>
      </c>
      <c r="E1352" s="31">
        <v>43218</v>
      </c>
      <c r="F1352" s="30" t="s">
        <v>250</v>
      </c>
      <c r="G1352" s="30" t="s">
        <v>251</v>
      </c>
      <c r="H1352" s="30" t="s">
        <v>2067</v>
      </c>
      <c r="I1352" s="29">
        <v>4800000</v>
      </c>
      <c r="J1352" s="29">
        <v>10</v>
      </c>
      <c r="K1352" s="29">
        <v>480000</v>
      </c>
      <c r="L1352" s="38"/>
      <c r="M1352" s="39">
        <v>43241</v>
      </c>
      <c r="N1352" s="40"/>
      <c r="O1352" s="35"/>
      <c r="P1352" s="36"/>
      <c r="Q1352" s="36"/>
      <c r="T1352" s="36"/>
    </row>
    <row r="1353" spans="1:255" s="37" customFormat="1" ht="18.75" customHeight="1">
      <c r="A1353" s="233" t="s">
        <v>264</v>
      </c>
      <c r="B1353" s="234"/>
      <c r="C1353" s="234"/>
      <c r="D1353" s="234"/>
      <c r="E1353" s="234"/>
      <c r="F1353" s="234"/>
      <c r="G1353" s="234"/>
      <c r="H1353" s="235"/>
      <c r="I1353" s="43">
        <f>SUM(I1258:I1352)</f>
        <v>3652915584</v>
      </c>
      <c r="J1353" s="43"/>
      <c r="K1353" s="43">
        <f>SUM(K1258:K1352)</f>
        <v>365291562</v>
      </c>
      <c r="L1353" s="44"/>
      <c r="M1353" s="44"/>
      <c r="N1353" s="46"/>
      <c r="O1353" s="35"/>
      <c r="P1353" s="49"/>
      <c r="Q1353" s="36"/>
      <c r="R1353" s="10"/>
      <c r="S1353" s="10"/>
      <c r="T1353" s="10"/>
      <c r="U1353" s="10"/>
      <c r="V1353" s="10"/>
      <c r="W1353" s="10"/>
      <c r="X1353" s="10"/>
      <c r="Y1353" s="10"/>
      <c r="Z1353" s="10"/>
      <c r="AA1353" s="10"/>
      <c r="AB1353" s="10"/>
      <c r="AC1353" s="10"/>
      <c r="AD1353" s="10"/>
      <c r="AE1353" s="10"/>
      <c r="AF1353" s="10"/>
      <c r="AG1353" s="10"/>
      <c r="AH1353" s="10"/>
      <c r="AI1353" s="10"/>
      <c r="AJ1353" s="10"/>
      <c r="AK1353" s="10"/>
      <c r="AL1353" s="10"/>
      <c r="AM1353" s="10"/>
      <c r="AN1353" s="10"/>
      <c r="AO1353" s="10"/>
      <c r="AP1353" s="10"/>
      <c r="AQ1353" s="10"/>
      <c r="AR1353" s="10"/>
      <c r="AS1353" s="10"/>
      <c r="AT1353" s="10"/>
      <c r="AU1353" s="10"/>
      <c r="AV1353" s="10"/>
      <c r="AW1353" s="10"/>
      <c r="AX1353" s="10"/>
      <c r="AY1353" s="10"/>
      <c r="AZ1353" s="10"/>
      <c r="BA1353" s="10"/>
      <c r="BB1353" s="10"/>
      <c r="BC1353" s="10"/>
      <c r="BD1353" s="10"/>
      <c r="BE1353" s="10"/>
      <c r="BF1353" s="10"/>
      <c r="BG1353" s="10"/>
      <c r="BH1353" s="10"/>
      <c r="BI1353" s="10"/>
      <c r="BJ1353" s="10"/>
      <c r="BK1353" s="10"/>
      <c r="BL1353" s="10"/>
      <c r="BM1353" s="10"/>
      <c r="BN1353" s="10"/>
      <c r="BO1353" s="10"/>
      <c r="BP1353" s="10"/>
      <c r="BQ1353" s="10"/>
      <c r="BR1353" s="10"/>
      <c r="BS1353" s="10"/>
      <c r="BT1353" s="10"/>
      <c r="BU1353" s="10"/>
      <c r="BV1353" s="10"/>
      <c r="BW1353" s="10"/>
      <c r="BX1353" s="10"/>
      <c r="BY1353" s="10"/>
      <c r="BZ1353" s="10"/>
      <c r="CA1353" s="10"/>
      <c r="CB1353" s="10"/>
      <c r="CC1353" s="10"/>
      <c r="CD1353" s="10"/>
      <c r="CE1353" s="10"/>
      <c r="CF1353" s="10"/>
      <c r="CG1353" s="10"/>
      <c r="CH1353" s="10"/>
      <c r="CI1353" s="10"/>
      <c r="CJ1353" s="10"/>
      <c r="CK1353" s="10"/>
      <c r="CL1353" s="10"/>
      <c r="CM1353" s="10"/>
      <c r="CN1353" s="10"/>
      <c r="CO1353" s="10"/>
      <c r="CP1353" s="10"/>
      <c r="CQ1353" s="10"/>
      <c r="CR1353" s="10"/>
      <c r="CS1353" s="10"/>
      <c r="CT1353" s="10"/>
      <c r="CU1353" s="10"/>
      <c r="CV1353" s="10"/>
      <c r="CW1353" s="10"/>
      <c r="CX1353" s="10"/>
      <c r="CY1353" s="10"/>
      <c r="CZ1353" s="10"/>
      <c r="DA1353" s="10"/>
      <c r="DB1353" s="10"/>
      <c r="DC1353" s="10"/>
      <c r="DD1353" s="10"/>
      <c r="DE1353" s="10"/>
      <c r="DF1353" s="10"/>
      <c r="DG1353" s="10"/>
      <c r="DH1353" s="10"/>
      <c r="DI1353" s="10"/>
      <c r="DJ1353" s="10"/>
      <c r="DK1353" s="10"/>
      <c r="DL1353" s="10"/>
      <c r="DM1353" s="10"/>
      <c r="DN1353" s="10"/>
      <c r="DO1353" s="10"/>
      <c r="DP1353" s="10"/>
      <c r="DQ1353" s="10"/>
      <c r="DR1353" s="10"/>
      <c r="DS1353" s="10"/>
      <c r="DT1353" s="10"/>
      <c r="DU1353" s="10"/>
      <c r="DV1353" s="10"/>
      <c r="DW1353" s="10"/>
      <c r="DX1353" s="10"/>
      <c r="DY1353" s="10"/>
      <c r="DZ1353" s="10"/>
      <c r="EA1353" s="10"/>
      <c r="EB1353" s="10"/>
      <c r="EC1353" s="10"/>
      <c r="ED1353" s="10"/>
      <c r="EE1353" s="10"/>
      <c r="EF1353" s="10"/>
      <c r="EG1353" s="10"/>
      <c r="EH1353" s="10"/>
      <c r="EI1353" s="10"/>
      <c r="EJ1353" s="10"/>
      <c r="EK1353" s="10"/>
      <c r="EL1353" s="10"/>
      <c r="EM1353" s="10"/>
      <c r="EN1353" s="10"/>
      <c r="EO1353" s="10"/>
      <c r="EP1353" s="10"/>
      <c r="EQ1353" s="10"/>
      <c r="ER1353" s="10"/>
      <c r="ES1353" s="10"/>
      <c r="ET1353" s="10"/>
      <c r="EU1353" s="10"/>
      <c r="EV1353" s="10"/>
      <c r="EW1353" s="10"/>
      <c r="EX1353" s="10"/>
      <c r="EY1353" s="10"/>
      <c r="EZ1353" s="10"/>
      <c r="FA1353" s="10"/>
      <c r="FB1353" s="10"/>
      <c r="FC1353" s="10"/>
      <c r="FD1353" s="10"/>
      <c r="FE1353" s="10"/>
      <c r="FF1353" s="10"/>
      <c r="FG1353" s="10"/>
      <c r="FH1353" s="10"/>
      <c r="FI1353" s="10"/>
      <c r="FJ1353" s="10"/>
      <c r="FK1353" s="10"/>
      <c r="FL1353" s="10"/>
      <c r="FM1353" s="10"/>
      <c r="FN1353" s="10"/>
      <c r="FO1353" s="10"/>
      <c r="FP1353" s="10"/>
      <c r="FQ1353" s="10"/>
      <c r="FR1353" s="10"/>
      <c r="FS1353" s="10"/>
      <c r="FT1353" s="10"/>
      <c r="FU1353" s="10"/>
      <c r="FV1353" s="10"/>
      <c r="FW1353" s="10"/>
      <c r="FX1353" s="10"/>
      <c r="FY1353" s="10"/>
      <c r="FZ1353" s="10"/>
      <c r="GA1353" s="10"/>
      <c r="GB1353" s="10"/>
      <c r="GC1353" s="10"/>
      <c r="GD1353" s="10"/>
      <c r="GE1353" s="10"/>
      <c r="GF1353" s="10"/>
      <c r="GG1353" s="10"/>
      <c r="GH1353" s="10"/>
      <c r="GI1353" s="10"/>
      <c r="GJ1353" s="10"/>
      <c r="GK1353" s="10"/>
      <c r="GL1353" s="10"/>
      <c r="GM1353" s="10"/>
      <c r="GN1353" s="10"/>
      <c r="GO1353" s="10"/>
      <c r="GP1353" s="10"/>
      <c r="GQ1353" s="10"/>
      <c r="GR1353" s="10"/>
      <c r="GS1353" s="10"/>
      <c r="GT1353" s="10"/>
      <c r="GU1353" s="10"/>
      <c r="GV1353" s="10"/>
      <c r="GW1353" s="10"/>
      <c r="GX1353" s="10"/>
      <c r="GY1353" s="10"/>
      <c r="GZ1353" s="10"/>
      <c r="HA1353" s="10"/>
      <c r="HB1353" s="10"/>
      <c r="HC1353" s="10"/>
      <c r="HD1353" s="10"/>
      <c r="HE1353" s="10"/>
      <c r="HF1353" s="10"/>
      <c r="HG1353" s="10"/>
      <c r="HH1353" s="10"/>
      <c r="HI1353" s="10"/>
      <c r="HJ1353" s="10"/>
      <c r="HK1353" s="10"/>
      <c r="HL1353" s="10"/>
      <c r="HM1353" s="10"/>
      <c r="HN1353" s="10"/>
      <c r="HO1353" s="10"/>
      <c r="HP1353" s="10"/>
      <c r="HQ1353" s="10"/>
      <c r="HR1353" s="10"/>
      <c r="HS1353" s="10"/>
      <c r="HT1353" s="10"/>
      <c r="HU1353" s="10"/>
      <c r="HV1353" s="10"/>
      <c r="HW1353" s="10"/>
      <c r="HX1353" s="10"/>
      <c r="HY1353" s="10"/>
      <c r="HZ1353" s="10"/>
      <c r="IA1353" s="10"/>
      <c r="IB1353" s="10"/>
      <c r="IC1353" s="10"/>
      <c r="ID1353" s="10"/>
      <c r="IE1353" s="10"/>
      <c r="IF1353" s="10"/>
      <c r="IG1353" s="10"/>
      <c r="IH1353" s="10"/>
      <c r="II1353" s="10"/>
      <c r="IJ1353" s="10"/>
      <c r="IK1353" s="10"/>
      <c r="IL1353" s="10"/>
      <c r="IM1353" s="10"/>
      <c r="IN1353" s="10"/>
      <c r="IO1353" s="10"/>
      <c r="IP1353" s="10"/>
      <c r="IQ1353" s="10"/>
      <c r="IR1353" s="10"/>
      <c r="IS1353" s="10"/>
      <c r="IT1353" s="10"/>
      <c r="IU1353" s="10"/>
    </row>
    <row r="1354" spans="1:255" ht="16.5" customHeight="1">
      <c r="A1354" s="240" t="s">
        <v>2068</v>
      </c>
      <c r="B1354" s="241"/>
      <c r="C1354" s="241"/>
      <c r="D1354" s="241"/>
      <c r="E1354" s="241"/>
      <c r="F1354" s="241"/>
      <c r="G1354" s="241"/>
      <c r="H1354" s="242"/>
      <c r="I1354" s="66">
        <f>I100+I193+I277+I378+I450+I573+I694+I796+I901+I1044+I1106+I1179+I1257+I1353</f>
        <v>53840815261</v>
      </c>
      <c r="J1354" s="66"/>
      <c r="K1354" s="66">
        <f>K100+K193+K277+K378+K450+K573+K694+K796+K901+K1044+K1106+K1179+K1257+K1353</f>
        <v>5336529528</v>
      </c>
      <c r="L1354" s="67"/>
      <c r="M1354" s="67"/>
      <c r="N1354" s="68"/>
      <c r="O1354" s="35"/>
      <c r="P1354" s="36"/>
      <c r="Q1354" s="36"/>
    </row>
    <row r="1355" spans="1:255" ht="15" customHeight="1">
      <c r="A1355" s="69"/>
      <c r="B1355" s="69"/>
      <c r="C1355" s="70"/>
      <c r="D1355" s="70"/>
      <c r="E1355" s="71"/>
      <c r="F1355" s="70"/>
      <c r="G1355" s="70"/>
      <c r="H1355" s="70"/>
      <c r="I1355" s="72"/>
      <c r="J1355" s="72"/>
      <c r="K1355" s="72"/>
      <c r="O1355" s="35"/>
      <c r="P1355" s="74"/>
    </row>
    <row r="1356" spans="1:255" ht="12.75" customHeight="1">
      <c r="A1356" s="75" t="s">
        <v>2069</v>
      </c>
      <c r="B1356" s="75"/>
      <c r="C1356" s="76"/>
      <c r="D1356" s="76"/>
      <c r="E1356" s="76"/>
      <c r="F1356" s="76"/>
      <c r="G1356" s="76"/>
      <c r="H1356" s="76"/>
      <c r="I1356" s="76"/>
      <c r="J1356" s="76"/>
      <c r="K1356" s="77"/>
      <c r="O1356" s="35"/>
      <c r="P1356" s="74"/>
    </row>
    <row r="1357" spans="1:255">
      <c r="A1357" s="78"/>
      <c r="B1357" s="78"/>
      <c r="C1357" s="79"/>
      <c r="D1357" s="79"/>
      <c r="E1357" s="79"/>
      <c r="F1357" s="79"/>
      <c r="G1357" s="79"/>
      <c r="H1357" s="79"/>
      <c r="I1357" s="80"/>
      <c r="J1357" s="79"/>
      <c r="K1357" s="80"/>
      <c r="Q1357" s="36"/>
    </row>
    <row r="1358" spans="1:255">
      <c r="A1358" s="69" t="s">
        <v>2070</v>
      </c>
      <c r="B1358" s="69"/>
      <c r="C1358" s="81"/>
      <c r="D1358" s="81"/>
      <c r="E1358" s="81"/>
      <c r="F1358" s="81"/>
      <c r="G1358" s="81"/>
      <c r="H1358" s="81"/>
      <c r="I1358" s="82"/>
      <c r="J1358" s="81"/>
      <c r="K1358" s="77"/>
      <c r="Q1358" s="36"/>
    </row>
    <row r="1359" spans="1:255">
      <c r="A1359" s="78" t="s">
        <v>52</v>
      </c>
      <c r="B1359" s="78"/>
      <c r="C1359" s="76" t="s">
        <v>2071</v>
      </c>
      <c r="D1359" s="79"/>
      <c r="E1359" s="79"/>
      <c r="F1359" s="79"/>
      <c r="G1359" s="81"/>
      <c r="H1359" s="81"/>
      <c r="I1359" s="82"/>
      <c r="J1359" s="81"/>
      <c r="K1359" s="80"/>
      <c r="L1359" s="80"/>
      <c r="M1359" s="80"/>
      <c r="N1359" s="80"/>
      <c r="Q1359" s="83"/>
    </row>
    <row r="1360" spans="1:255">
      <c r="A1360" s="78" t="s">
        <v>2072</v>
      </c>
      <c r="B1360" s="78"/>
      <c r="C1360" s="76" t="s">
        <v>2073</v>
      </c>
      <c r="D1360" s="79"/>
      <c r="E1360" s="79"/>
      <c r="F1360" s="79"/>
      <c r="G1360" s="81"/>
      <c r="H1360" s="81"/>
      <c r="I1360" s="82"/>
      <c r="J1360" s="81"/>
    </row>
    <row r="1361" spans="1:252">
      <c r="A1361" s="78" t="s">
        <v>2074</v>
      </c>
      <c r="B1361" s="78"/>
      <c r="C1361" s="76" t="s">
        <v>2075</v>
      </c>
      <c r="D1361" s="79"/>
      <c r="E1361" s="79"/>
      <c r="F1361" s="79"/>
      <c r="G1361" s="81"/>
      <c r="H1361" s="81"/>
      <c r="I1361" s="85"/>
      <c r="J1361" s="81"/>
      <c r="K1361" s="80"/>
    </row>
    <row r="1362" spans="1:252">
      <c r="A1362" s="86"/>
      <c r="B1362" s="86"/>
      <c r="C1362" s="81"/>
      <c r="D1362" s="81"/>
      <c r="E1362" s="81"/>
      <c r="F1362" s="81"/>
      <c r="G1362" s="81"/>
      <c r="H1362" s="81"/>
      <c r="I1362" s="85"/>
      <c r="J1362" s="81"/>
      <c r="K1362" s="81"/>
    </row>
    <row r="1363" spans="1:252">
      <c r="A1363" s="69"/>
      <c r="B1363" s="69"/>
      <c r="C1363" s="70"/>
      <c r="D1363" s="70"/>
      <c r="E1363" s="71"/>
      <c r="F1363" s="70"/>
      <c r="G1363" s="70"/>
      <c r="H1363" s="70"/>
      <c r="I1363" s="243" t="s">
        <v>2076</v>
      </c>
      <c r="J1363" s="243"/>
      <c r="K1363" s="243"/>
    </row>
    <row r="1364" spans="1:252">
      <c r="A1364" s="237" t="s">
        <v>2077</v>
      </c>
      <c r="B1364" s="237"/>
      <c r="C1364" s="237"/>
      <c r="D1364" s="237"/>
      <c r="E1364" s="237"/>
      <c r="F1364" s="237" t="s">
        <v>2078</v>
      </c>
      <c r="G1364" s="237"/>
      <c r="H1364" s="237"/>
      <c r="I1364" s="237" t="s">
        <v>2079</v>
      </c>
      <c r="J1364" s="237"/>
      <c r="K1364" s="237"/>
    </row>
    <row r="1365" spans="1:252">
      <c r="I1365" s="89"/>
      <c r="J1365" s="89"/>
      <c r="K1365" s="90"/>
    </row>
    <row r="1366" spans="1:252">
      <c r="H1366" s="91"/>
    </row>
    <row r="1367" spans="1:252">
      <c r="H1367" s="91"/>
    </row>
    <row r="1368" spans="1:252">
      <c r="H1368" s="93"/>
    </row>
    <row r="1369" spans="1:252" s="73" customFormat="1">
      <c r="A1369" s="11"/>
      <c r="B1369" s="11"/>
      <c r="C1369" s="87"/>
      <c r="D1369" s="87"/>
      <c r="E1369" s="88"/>
      <c r="F1369" s="87"/>
      <c r="G1369" s="87"/>
      <c r="H1369" s="94"/>
      <c r="I1369" s="92"/>
      <c r="J1369" s="87"/>
      <c r="K1369" s="84"/>
      <c r="O1369" s="8"/>
      <c r="P1369" s="9"/>
      <c r="Q1369" s="10"/>
      <c r="R1369" s="10"/>
      <c r="S1369" s="10"/>
      <c r="T1369" s="10"/>
      <c r="U1369" s="10"/>
      <c r="V1369" s="10"/>
      <c r="W1369" s="10"/>
      <c r="X1369" s="10"/>
      <c r="Y1369" s="10"/>
      <c r="Z1369" s="10"/>
      <c r="AA1369" s="10"/>
      <c r="AB1369" s="10"/>
      <c r="AC1369" s="10"/>
      <c r="AD1369" s="10"/>
      <c r="AE1369" s="10"/>
      <c r="AF1369" s="10"/>
      <c r="AG1369" s="10"/>
      <c r="AH1369" s="10"/>
      <c r="AI1369" s="10"/>
      <c r="AJ1369" s="10"/>
      <c r="AK1369" s="10"/>
      <c r="AL1369" s="10"/>
      <c r="AM1369" s="10"/>
      <c r="AN1369" s="10"/>
      <c r="AO1369" s="10"/>
      <c r="AP1369" s="10"/>
      <c r="AQ1369" s="10"/>
      <c r="AR1369" s="10"/>
      <c r="AS1369" s="10"/>
      <c r="AT1369" s="10"/>
      <c r="AU1369" s="10"/>
      <c r="AV1369" s="10"/>
      <c r="AW1369" s="10"/>
      <c r="AX1369" s="10"/>
      <c r="AY1369" s="10"/>
      <c r="AZ1369" s="10"/>
      <c r="BA1369" s="10"/>
      <c r="BB1369" s="10"/>
      <c r="BC1369" s="10"/>
      <c r="BD1369" s="10"/>
      <c r="BE1369" s="10"/>
      <c r="BF1369" s="10"/>
      <c r="BG1369" s="10"/>
      <c r="BH1369" s="10"/>
      <c r="BI1369" s="10"/>
      <c r="BJ1369" s="10"/>
      <c r="BK1369" s="10"/>
      <c r="BL1369" s="10"/>
      <c r="BM1369" s="10"/>
      <c r="BN1369" s="10"/>
      <c r="BO1369" s="10"/>
      <c r="BP1369" s="10"/>
      <c r="BQ1369" s="10"/>
      <c r="BR1369" s="10"/>
      <c r="BS1369" s="10"/>
      <c r="BT1369" s="10"/>
      <c r="BU1369" s="10"/>
      <c r="BV1369" s="10"/>
      <c r="BW1369" s="10"/>
      <c r="BX1369" s="10"/>
      <c r="BY1369" s="10"/>
      <c r="BZ1369" s="10"/>
      <c r="CA1369" s="10"/>
      <c r="CB1369" s="10"/>
      <c r="CC1369" s="10"/>
      <c r="CD1369" s="10"/>
      <c r="CE1369" s="10"/>
      <c r="CF1369" s="10"/>
      <c r="CG1369" s="10"/>
      <c r="CH1369" s="10"/>
      <c r="CI1369" s="10"/>
      <c r="CJ1369" s="10"/>
      <c r="CK1369" s="10"/>
      <c r="CL1369" s="10"/>
      <c r="CM1369" s="10"/>
      <c r="CN1369" s="10"/>
      <c r="CO1369" s="10"/>
      <c r="CP1369" s="10"/>
      <c r="CQ1369" s="10"/>
      <c r="CR1369" s="10"/>
      <c r="CS1369" s="10"/>
      <c r="CT1369" s="10"/>
      <c r="CU1369" s="10"/>
      <c r="CV1369" s="10"/>
      <c r="CW1369" s="10"/>
      <c r="CX1369" s="10"/>
      <c r="CY1369" s="10"/>
      <c r="CZ1369" s="10"/>
      <c r="DA1369" s="10"/>
      <c r="DB1369" s="10"/>
      <c r="DC1369" s="10"/>
      <c r="DD1369" s="10"/>
      <c r="DE1369" s="10"/>
      <c r="DF1369" s="10"/>
      <c r="DG1369" s="10"/>
      <c r="DH1369" s="10"/>
      <c r="DI1369" s="10"/>
      <c r="DJ1369" s="10"/>
      <c r="DK1369" s="10"/>
      <c r="DL1369" s="10"/>
      <c r="DM1369" s="10"/>
      <c r="DN1369" s="10"/>
      <c r="DO1369" s="10"/>
      <c r="DP1369" s="10"/>
      <c r="DQ1369" s="10"/>
      <c r="DR1369" s="10"/>
      <c r="DS1369" s="10"/>
      <c r="DT1369" s="10"/>
      <c r="DU1369" s="10"/>
      <c r="DV1369" s="10"/>
      <c r="DW1369" s="10"/>
      <c r="DX1369" s="10"/>
      <c r="DY1369" s="10"/>
      <c r="DZ1369" s="10"/>
      <c r="EA1369" s="10"/>
      <c r="EB1369" s="10"/>
      <c r="EC1369" s="10"/>
      <c r="ED1369" s="10"/>
      <c r="EE1369" s="10"/>
      <c r="EF1369" s="10"/>
      <c r="EG1369" s="10"/>
      <c r="EH1369" s="10"/>
      <c r="EI1369" s="10"/>
      <c r="EJ1369" s="10"/>
      <c r="EK1369" s="10"/>
      <c r="EL1369" s="10"/>
      <c r="EM1369" s="10"/>
      <c r="EN1369" s="10"/>
      <c r="EO1369" s="10"/>
      <c r="EP1369" s="10"/>
      <c r="EQ1369" s="10"/>
      <c r="ER1369" s="10"/>
      <c r="ES1369" s="10"/>
      <c r="ET1369" s="10"/>
      <c r="EU1369" s="10"/>
      <c r="EV1369" s="10"/>
      <c r="EW1369" s="10"/>
      <c r="EX1369" s="10"/>
      <c r="EY1369" s="10"/>
      <c r="EZ1369" s="10"/>
      <c r="FA1369" s="10"/>
      <c r="FB1369" s="10"/>
      <c r="FC1369" s="10"/>
      <c r="FD1369" s="10"/>
      <c r="FE1369" s="10"/>
      <c r="FF1369" s="10"/>
      <c r="FG1369" s="10"/>
      <c r="FH1369" s="10"/>
      <c r="FI1369" s="10"/>
      <c r="FJ1369" s="10"/>
      <c r="FK1369" s="10"/>
      <c r="FL1369" s="10"/>
      <c r="FM1369" s="10"/>
      <c r="FN1369" s="10"/>
      <c r="FO1369" s="10"/>
      <c r="FP1369" s="10"/>
      <c r="FQ1369" s="10"/>
      <c r="FR1369" s="10"/>
      <c r="FS1369" s="10"/>
      <c r="FT1369" s="10"/>
      <c r="FU1369" s="10"/>
      <c r="FV1369" s="10"/>
      <c r="FW1369" s="10"/>
      <c r="FX1369" s="10"/>
      <c r="FY1369" s="10"/>
      <c r="FZ1369" s="10"/>
      <c r="GA1369" s="10"/>
      <c r="GB1369" s="10"/>
      <c r="GC1369" s="10"/>
      <c r="GD1369" s="10"/>
      <c r="GE1369" s="10"/>
      <c r="GF1369" s="10"/>
      <c r="GG1369" s="10"/>
      <c r="GH1369" s="10"/>
      <c r="GI1369" s="10"/>
      <c r="GJ1369" s="10"/>
      <c r="GK1369" s="10"/>
      <c r="GL1369" s="10"/>
      <c r="GM1369" s="10"/>
      <c r="GN1369" s="10"/>
      <c r="GO1369" s="10"/>
      <c r="GP1369" s="10"/>
      <c r="GQ1369" s="10"/>
      <c r="GR1369" s="10"/>
      <c r="GS1369" s="10"/>
      <c r="GT1369" s="10"/>
      <c r="GU1369" s="10"/>
      <c r="GV1369" s="10"/>
      <c r="GW1369" s="10"/>
      <c r="GX1369" s="10"/>
      <c r="GY1369" s="10"/>
      <c r="GZ1369" s="10"/>
      <c r="HA1369" s="10"/>
      <c r="HB1369" s="10"/>
      <c r="HC1369" s="10"/>
      <c r="HD1369" s="10"/>
      <c r="HE1369" s="10"/>
      <c r="HF1369" s="10"/>
      <c r="HG1369" s="10"/>
      <c r="HH1369" s="10"/>
      <c r="HI1369" s="10"/>
      <c r="HJ1369" s="10"/>
      <c r="HK1369" s="10"/>
      <c r="HL1369" s="10"/>
      <c r="HM1369" s="10"/>
      <c r="HN1369" s="10"/>
      <c r="HO1369" s="10"/>
      <c r="HP1369" s="10"/>
      <c r="HQ1369" s="10"/>
      <c r="HR1369" s="10"/>
      <c r="HS1369" s="10"/>
      <c r="HT1369" s="10"/>
      <c r="HU1369" s="10"/>
      <c r="HV1369" s="10"/>
      <c r="HW1369" s="10"/>
      <c r="HX1369" s="10"/>
      <c r="HY1369" s="10"/>
      <c r="HZ1369" s="10"/>
      <c r="IA1369" s="10"/>
      <c r="IB1369" s="10"/>
      <c r="IC1369" s="10"/>
      <c r="ID1369" s="10"/>
      <c r="IE1369" s="10"/>
      <c r="IF1369" s="10"/>
      <c r="IG1369" s="10"/>
      <c r="IH1369" s="10"/>
      <c r="II1369" s="10"/>
      <c r="IJ1369" s="10"/>
      <c r="IK1369" s="10"/>
      <c r="IL1369" s="10"/>
      <c r="IM1369" s="10"/>
      <c r="IN1369" s="10"/>
      <c r="IO1369" s="10"/>
      <c r="IP1369" s="10"/>
      <c r="IQ1369" s="10"/>
      <c r="IR1369" s="10"/>
    </row>
    <row r="1370" spans="1:252" s="73" customFormat="1">
      <c r="A1370" s="11"/>
      <c r="B1370" s="11"/>
      <c r="C1370" s="87"/>
      <c r="D1370" s="87"/>
      <c r="E1370" s="88"/>
      <c r="F1370" s="87"/>
      <c r="G1370" s="87"/>
      <c r="H1370" s="95"/>
      <c r="I1370" s="92"/>
      <c r="J1370" s="87"/>
      <c r="K1370" s="84"/>
      <c r="O1370" s="8"/>
      <c r="P1370" s="9"/>
      <c r="Q1370" s="10"/>
      <c r="R1370" s="10"/>
      <c r="S1370" s="10"/>
      <c r="T1370" s="10"/>
      <c r="U1370" s="10"/>
      <c r="V1370" s="10"/>
      <c r="W1370" s="10"/>
      <c r="X1370" s="10"/>
      <c r="Y1370" s="10"/>
      <c r="Z1370" s="10"/>
      <c r="AA1370" s="10"/>
      <c r="AB1370" s="10"/>
      <c r="AC1370" s="10"/>
      <c r="AD1370" s="10"/>
      <c r="AE1370" s="10"/>
      <c r="AF1370" s="10"/>
      <c r="AG1370" s="10"/>
      <c r="AH1370" s="10"/>
      <c r="AI1370" s="10"/>
      <c r="AJ1370" s="10"/>
      <c r="AK1370" s="10"/>
      <c r="AL1370" s="10"/>
      <c r="AM1370" s="10"/>
      <c r="AN1370" s="10"/>
      <c r="AO1370" s="10"/>
      <c r="AP1370" s="10"/>
      <c r="AQ1370" s="10"/>
      <c r="AR1370" s="10"/>
      <c r="AS1370" s="10"/>
      <c r="AT1370" s="10"/>
      <c r="AU1370" s="10"/>
      <c r="AV1370" s="10"/>
      <c r="AW1370" s="10"/>
      <c r="AX1370" s="10"/>
      <c r="AY1370" s="10"/>
      <c r="AZ1370" s="10"/>
      <c r="BA1370" s="10"/>
      <c r="BB1370" s="10"/>
      <c r="BC1370" s="10"/>
      <c r="BD1370" s="10"/>
      <c r="BE1370" s="10"/>
      <c r="BF1370" s="10"/>
      <c r="BG1370" s="10"/>
      <c r="BH1370" s="10"/>
      <c r="BI1370" s="10"/>
      <c r="BJ1370" s="10"/>
      <c r="BK1370" s="10"/>
      <c r="BL1370" s="10"/>
      <c r="BM1370" s="10"/>
      <c r="BN1370" s="10"/>
      <c r="BO1370" s="10"/>
      <c r="BP1370" s="10"/>
      <c r="BQ1370" s="10"/>
      <c r="BR1370" s="10"/>
      <c r="BS1370" s="10"/>
      <c r="BT1370" s="10"/>
      <c r="BU1370" s="10"/>
      <c r="BV1370" s="10"/>
      <c r="BW1370" s="10"/>
      <c r="BX1370" s="10"/>
      <c r="BY1370" s="10"/>
      <c r="BZ1370" s="10"/>
      <c r="CA1370" s="10"/>
      <c r="CB1370" s="10"/>
      <c r="CC1370" s="10"/>
      <c r="CD1370" s="10"/>
      <c r="CE1370" s="10"/>
      <c r="CF1370" s="10"/>
      <c r="CG1370" s="10"/>
      <c r="CH1370" s="10"/>
      <c r="CI1370" s="10"/>
      <c r="CJ1370" s="10"/>
      <c r="CK1370" s="10"/>
      <c r="CL1370" s="10"/>
      <c r="CM1370" s="10"/>
      <c r="CN1370" s="10"/>
      <c r="CO1370" s="10"/>
      <c r="CP1370" s="10"/>
      <c r="CQ1370" s="10"/>
      <c r="CR1370" s="10"/>
      <c r="CS1370" s="10"/>
      <c r="CT1370" s="10"/>
      <c r="CU1370" s="10"/>
      <c r="CV1370" s="10"/>
      <c r="CW1370" s="10"/>
      <c r="CX1370" s="10"/>
      <c r="CY1370" s="10"/>
      <c r="CZ1370" s="10"/>
      <c r="DA1370" s="10"/>
      <c r="DB1370" s="10"/>
      <c r="DC1370" s="10"/>
      <c r="DD1370" s="10"/>
      <c r="DE1370" s="10"/>
      <c r="DF1370" s="10"/>
      <c r="DG1370" s="10"/>
      <c r="DH1370" s="10"/>
      <c r="DI1370" s="10"/>
      <c r="DJ1370" s="10"/>
      <c r="DK1370" s="10"/>
      <c r="DL1370" s="10"/>
      <c r="DM1370" s="10"/>
      <c r="DN1370" s="10"/>
      <c r="DO1370" s="10"/>
      <c r="DP1370" s="10"/>
      <c r="DQ1370" s="10"/>
      <c r="DR1370" s="10"/>
      <c r="DS1370" s="10"/>
      <c r="DT1370" s="10"/>
      <c r="DU1370" s="10"/>
      <c r="DV1370" s="10"/>
      <c r="DW1370" s="10"/>
      <c r="DX1370" s="10"/>
      <c r="DY1370" s="10"/>
      <c r="DZ1370" s="10"/>
      <c r="EA1370" s="10"/>
      <c r="EB1370" s="10"/>
      <c r="EC1370" s="10"/>
      <c r="ED1370" s="10"/>
      <c r="EE1370" s="10"/>
      <c r="EF1370" s="10"/>
      <c r="EG1370" s="10"/>
      <c r="EH1370" s="10"/>
      <c r="EI1370" s="10"/>
      <c r="EJ1370" s="10"/>
      <c r="EK1370" s="10"/>
      <c r="EL1370" s="10"/>
      <c r="EM1370" s="10"/>
      <c r="EN1370" s="10"/>
      <c r="EO1370" s="10"/>
      <c r="EP1370" s="10"/>
      <c r="EQ1370" s="10"/>
      <c r="ER1370" s="10"/>
      <c r="ES1370" s="10"/>
      <c r="ET1370" s="10"/>
      <c r="EU1370" s="10"/>
      <c r="EV1370" s="10"/>
      <c r="EW1370" s="10"/>
      <c r="EX1370" s="10"/>
      <c r="EY1370" s="10"/>
      <c r="EZ1370" s="10"/>
      <c r="FA1370" s="10"/>
      <c r="FB1370" s="10"/>
      <c r="FC1370" s="10"/>
      <c r="FD1370" s="10"/>
      <c r="FE1370" s="10"/>
      <c r="FF1370" s="10"/>
      <c r="FG1370" s="10"/>
      <c r="FH1370" s="10"/>
      <c r="FI1370" s="10"/>
      <c r="FJ1370" s="10"/>
      <c r="FK1370" s="10"/>
      <c r="FL1370" s="10"/>
      <c r="FM1370" s="10"/>
      <c r="FN1370" s="10"/>
      <c r="FO1370" s="10"/>
      <c r="FP1370" s="10"/>
      <c r="FQ1370" s="10"/>
      <c r="FR1370" s="10"/>
      <c r="FS1370" s="10"/>
      <c r="FT1370" s="10"/>
      <c r="FU1370" s="10"/>
      <c r="FV1370" s="10"/>
      <c r="FW1370" s="10"/>
      <c r="FX1370" s="10"/>
      <c r="FY1370" s="10"/>
      <c r="FZ1370" s="10"/>
      <c r="GA1370" s="10"/>
      <c r="GB1370" s="10"/>
      <c r="GC1370" s="10"/>
      <c r="GD1370" s="10"/>
      <c r="GE1370" s="10"/>
      <c r="GF1370" s="10"/>
      <c r="GG1370" s="10"/>
      <c r="GH1370" s="10"/>
      <c r="GI1370" s="10"/>
      <c r="GJ1370" s="10"/>
      <c r="GK1370" s="10"/>
      <c r="GL1370" s="10"/>
      <c r="GM1370" s="10"/>
      <c r="GN1370" s="10"/>
      <c r="GO1370" s="10"/>
      <c r="GP1370" s="10"/>
      <c r="GQ1370" s="10"/>
      <c r="GR1370" s="10"/>
      <c r="GS1370" s="10"/>
      <c r="GT1370" s="10"/>
      <c r="GU1370" s="10"/>
      <c r="GV1370" s="10"/>
      <c r="GW1370" s="10"/>
      <c r="GX1370" s="10"/>
      <c r="GY1370" s="10"/>
      <c r="GZ1370" s="10"/>
      <c r="HA1370" s="10"/>
      <c r="HB1370" s="10"/>
      <c r="HC1370" s="10"/>
      <c r="HD1370" s="10"/>
      <c r="HE1370" s="10"/>
      <c r="HF1370" s="10"/>
      <c r="HG1370" s="10"/>
      <c r="HH1370" s="10"/>
      <c r="HI1370" s="10"/>
      <c r="HJ1370" s="10"/>
      <c r="HK1370" s="10"/>
      <c r="HL1370" s="10"/>
      <c r="HM1370" s="10"/>
      <c r="HN1370" s="10"/>
      <c r="HO1370" s="10"/>
      <c r="HP1370" s="10"/>
      <c r="HQ1370" s="10"/>
      <c r="HR1370" s="10"/>
      <c r="HS1370" s="10"/>
      <c r="HT1370" s="10"/>
      <c r="HU1370" s="10"/>
      <c r="HV1370" s="10"/>
      <c r="HW1370" s="10"/>
      <c r="HX1370" s="10"/>
      <c r="HY1370" s="10"/>
      <c r="HZ1370" s="10"/>
      <c r="IA1370" s="10"/>
      <c r="IB1370" s="10"/>
      <c r="IC1370" s="10"/>
      <c r="ID1370" s="10"/>
      <c r="IE1370" s="10"/>
      <c r="IF1370" s="10"/>
      <c r="IG1370" s="10"/>
      <c r="IH1370" s="10"/>
      <c r="II1370" s="10"/>
      <c r="IJ1370" s="10"/>
      <c r="IK1370" s="10"/>
      <c r="IL1370" s="10"/>
      <c r="IM1370" s="10"/>
      <c r="IN1370" s="10"/>
      <c r="IO1370" s="10"/>
      <c r="IP1370" s="10"/>
      <c r="IQ1370" s="10"/>
      <c r="IR1370" s="10"/>
    </row>
    <row r="1371" spans="1:252" s="73" customFormat="1">
      <c r="A1371" s="96"/>
      <c r="B1371" s="96"/>
      <c r="C1371" s="97"/>
      <c r="D1371" s="97"/>
      <c r="E1371" s="98"/>
      <c r="F1371" s="97"/>
      <c r="G1371" s="97"/>
      <c r="H1371" s="99"/>
      <c r="I1371" s="100"/>
      <c r="J1371" s="100"/>
      <c r="K1371" s="100"/>
      <c r="O1371" s="8"/>
      <c r="P1371" s="9"/>
      <c r="Q1371" s="10"/>
      <c r="R1371" s="10"/>
      <c r="S1371" s="10"/>
      <c r="T1371" s="10"/>
      <c r="U1371" s="10"/>
      <c r="V1371" s="10"/>
      <c r="W1371" s="10"/>
      <c r="X1371" s="10"/>
      <c r="Y1371" s="10"/>
      <c r="Z1371" s="10"/>
      <c r="AA1371" s="10"/>
      <c r="AB1371" s="10"/>
      <c r="AC1371" s="10"/>
      <c r="AD1371" s="10"/>
      <c r="AE1371" s="10"/>
      <c r="AF1371" s="10"/>
      <c r="AG1371" s="10"/>
      <c r="AH1371" s="10"/>
      <c r="AI1371" s="10"/>
      <c r="AJ1371" s="10"/>
      <c r="AK1371" s="10"/>
      <c r="AL1371" s="10"/>
      <c r="AM1371" s="10"/>
      <c r="AN1371" s="10"/>
      <c r="AO1371" s="10"/>
      <c r="AP1371" s="10"/>
      <c r="AQ1371" s="10"/>
      <c r="AR1371" s="10"/>
      <c r="AS1371" s="10"/>
      <c r="AT1371" s="10"/>
      <c r="AU1371" s="10"/>
      <c r="AV1371" s="10"/>
      <c r="AW1371" s="10"/>
      <c r="AX1371" s="10"/>
      <c r="AY1371" s="10"/>
      <c r="AZ1371" s="10"/>
      <c r="BA1371" s="10"/>
      <c r="BB1371" s="10"/>
      <c r="BC1371" s="10"/>
      <c r="BD1371" s="10"/>
      <c r="BE1371" s="10"/>
      <c r="BF1371" s="10"/>
      <c r="BG1371" s="10"/>
      <c r="BH1371" s="10"/>
      <c r="BI1371" s="10"/>
      <c r="BJ1371" s="10"/>
      <c r="BK1371" s="10"/>
      <c r="BL1371" s="10"/>
      <c r="BM1371" s="10"/>
      <c r="BN1371" s="10"/>
      <c r="BO1371" s="10"/>
      <c r="BP1371" s="10"/>
      <c r="BQ1371" s="10"/>
      <c r="BR1371" s="10"/>
      <c r="BS1371" s="10"/>
      <c r="BT1371" s="10"/>
      <c r="BU1371" s="10"/>
      <c r="BV1371" s="10"/>
      <c r="BW1371" s="10"/>
      <c r="BX1371" s="10"/>
      <c r="BY1371" s="10"/>
      <c r="BZ1371" s="10"/>
      <c r="CA1371" s="10"/>
      <c r="CB1371" s="10"/>
      <c r="CC1371" s="10"/>
      <c r="CD1371" s="10"/>
      <c r="CE1371" s="10"/>
      <c r="CF1371" s="10"/>
      <c r="CG1371" s="10"/>
      <c r="CH1371" s="10"/>
      <c r="CI1371" s="10"/>
      <c r="CJ1371" s="10"/>
      <c r="CK1371" s="10"/>
      <c r="CL1371" s="10"/>
      <c r="CM1371" s="10"/>
      <c r="CN1371" s="10"/>
      <c r="CO1371" s="10"/>
      <c r="CP1371" s="10"/>
      <c r="CQ1371" s="10"/>
      <c r="CR1371" s="10"/>
      <c r="CS1371" s="10"/>
      <c r="CT1371" s="10"/>
      <c r="CU1371" s="10"/>
      <c r="CV1371" s="10"/>
      <c r="CW1371" s="10"/>
      <c r="CX1371" s="10"/>
      <c r="CY1371" s="10"/>
      <c r="CZ1371" s="10"/>
      <c r="DA1371" s="10"/>
      <c r="DB1371" s="10"/>
      <c r="DC1371" s="10"/>
      <c r="DD1371" s="10"/>
      <c r="DE1371" s="10"/>
      <c r="DF1371" s="10"/>
      <c r="DG1371" s="10"/>
      <c r="DH1371" s="10"/>
      <c r="DI1371" s="10"/>
      <c r="DJ1371" s="10"/>
      <c r="DK1371" s="10"/>
      <c r="DL1371" s="10"/>
      <c r="DM1371" s="10"/>
      <c r="DN1371" s="10"/>
      <c r="DO1371" s="10"/>
      <c r="DP1371" s="10"/>
      <c r="DQ1371" s="10"/>
      <c r="DR1371" s="10"/>
      <c r="DS1371" s="10"/>
      <c r="DT1371" s="10"/>
      <c r="DU1371" s="10"/>
      <c r="DV1371" s="10"/>
      <c r="DW1371" s="10"/>
      <c r="DX1371" s="10"/>
      <c r="DY1371" s="10"/>
      <c r="DZ1371" s="10"/>
      <c r="EA1371" s="10"/>
      <c r="EB1371" s="10"/>
      <c r="EC1371" s="10"/>
      <c r="ED1371" s="10"/>
      <c r="EE1371" s="10"/>
      <c r="EF1371" s="10"/>
      <c r="EG1371" s="10"/>
      <c r="EH1371" s="10"/>
      <c r="EI1371" s="10"/>
      <c r="EJ1371" s="10"/>
      <c r="EK1371" s="10"/>
      <c r="EL1371" s="10"/>
      <c r="EM1371" s="10"/>
      <c r="EN1371" s="10"/>
      <c r="EO1371" s="10"/>
      <c r="EP1371" s="10"/>
      <c r="EQ1371" s="10"/>
      <c r="ER1371" s="10"/>
      <c r="ES1371" s="10"/>
      <c r="ET1371" s="10"/>
      <c r="EU1371" s="10"/>
      <c r="EV1371" s="10"/>
      <c r="EW1371" s="10"/>
      <c r="EX1371" s="10"/>
      <c r="EY1371" s="10"/>
      <c r="EZ1371" s="10"/>
      <c r="FA1371" s="10"/>
      <c r="FB1371" s="10"/>
      <c r="FC1371" s="10"/>
      <c r="FD1371" s="10"/>
      <c r="FE1371" s="10"/>
      <c r="FF1371" s="10"/>
      <c r="FG1371" s="10"/>
      <c r="FH1371" s="10"/>
      <c r="FI1371" s="10"/>
      <c r="FJ1371" s="10"/>
      <c r="FK1371" s="10"/>
      <c r="FL1371" s="10"/>
      <c r="FM1371" s="10"/>
      <c r="FN1371" s="10"/>
      <c r="FO1371" s="10"/>
      <c r="FP1371" s="10"/>
      <c r="FQ1371" s="10"/>
      <c r="FR1371" s="10"/>
      <c r="FS1371" s="10"/>
      <c r="FT1371" s="10"/>
      <c r="FU1371" s="10"/>
      <c r="FV1371" s="10"/>
      <c r="FW1371" s="10"/>
      <c r="FX1371" s="10"/>
      <c r="FY1371" s="10"/>
      <c r="FZ1371" s="10"/>
      <c r="GA1371" s="10"/>
      <c r="GB1371" s="10"/>
      <c r="GC1371" s="10"/>
      <c r="GD1371" s="10"/>
      <c r="GE1371" s="10"/>
      <c r="GF1371" s="10"/>
      <c r="GG1371" s="10"/>
      <c r="GH1371" s="10"/>
      <c r="GI1371" s="10"/>
      <c r="GJ1371" s="10"/>
      <c r="GK1371" s="10"/>
      <c r="GL1371" s="10"/>
      <c r="GM1371" s="10"/>
      <c r="GN1371" s="10"/>
      <c r="GO1371" s="10"/>
      <c r="GP1371" s="10"/>
      <c r="GQ1371" s="10"/>
      <c r="GR1371" s="10"/>
      <c r="GS1371" s="10"/>
      <c r="GT1371" s="10"/>
      <c r="GU1371" s="10"/>
      <c r="GV1371" s="10"/>
      <c r="GW1371" s="10"/>
      <c r="GX1371" s="10"/>
      <c r="GY1371" s="10"/>
      <c r="GZ1371" s="10"/>
      <c r="HA1371" s="10"/>
      <c r="HB1371" s="10"/>
      <c r="HC1371" s="10"/>
      <c r="HD1371" s="10"/>
      <c r="HE1371" s="10"/>
      <c r="HF1371" s="10"/>
      <c r="HG1371" s="10"/>
      <c r="HH1371" s="10"/>
      <c r="HI1371" s="10"/>
      <c r="HJ1371" s="10"/>
      <c r="HK1371" s="10"/>
      <c r="HL1371" s="10"/>
      <c r="HM1371" s="10"/>
      <c r="HN1371" s="10"/>
      <c r="HO1371" s="10"/>
      <c r="HP1371" s="10"/>
      <c r="HQ1371" s="10"/>
      <c r="HR1371" s="10"/>
      <c r="HS1371" s="10"/>
      <c r="HT1371" s="10"/>
      <c r="HU1371" s="10"/>
      <c r="HV1371" s="10"/>
      <c r="HW1371" s="10"/>
      <c r="HX1371" s="10"/>
      <c r="HY1371" s="10"/>
      <c r="HZ1371" s="10"/>
      <c r="IA1371" s="10"/>
      <c r="IB1371" s="10"/>
      <c r="IC1371" s="10"/>
      <c r="ID1371" s="10"/>
      <c r="IE1371" s="10"/>
      <c r="IF1371" s="10"/>
      <c r="IG1371" s="10"/>
      <c r="IH1371" s="10"/>
      <c r="II1371" s="10"/>
      <c r="IJ1371" s="10"/>
      <c r="IK1371" s="10"/>
      <c r="IL1371" s="10"/>
      <c r="IM1371" s="10"/>
      <c r="IN1371" s="10"/>
      <c r="IO1371" s="10"/>
      <c r="IP1371" s="10"/>
      <c r="IQ1371" s="10"/>
      <c r="IR1371" s="10"/>
    </row>
    <row r="1372" spans="1:252">
      <c r="B1372" s="236" t="s">
        <v>2080</v>
      </c>
      <c r="C1372" s="236"/>
      <c r="D1372" s="236"/>
      <c r="F1372" s="237" t="s">
        <v>2081</v>
      </c>
      <c r="G1372" s="237"/>
      <c r="H1372" s="237"/>
      <c r="I1372" s="238" t="s">
        <v>2082</v>
      </c>
      <c r="J1372" s="238"/>
      <c r="K1372" s="238"/>
    </row>
    <row r="1377" spans="1:255" ht="56">
      <c r="F1377" s="101" t="s">
        <v>2083</v>
      </c>
      <c r="G1377" s="102" t="s">
        <v>2084</v>
      </c>
    </row>
    <row r="1378" spans="1:255" ht="42">
      <c r="F1378" s="102" t="s">
        <v>2085</v>
      </c>
      <c r="G1378" s="102" t="s">
        <v>2086</v>
      </c>
    </row>
    <row r="1379" spans="1:255" ht="14">
      <c r="F1379" s="102" t="s">
        <v>2087</v>
      </c>
      <c r="G1379" s="102" t="s">
        <v>2088</v>
      </c>
    </row>
    <row r="1380" spans="1:255" s="87" customFormat="1" ht="25.5" customHeight="1">
      <c r="A1380" s="11"/>
      <c r="B1380" s="11"/>
      <c r="E1380" s="88"/>
      <c r="F1380" s="103" t="s">
        <v>2089</v>
      </c>
      <c r="G1380" s="239" t="s">
        <v>2090</v>
      </c>
      <c r="I1380" s="92"/>
      <c r="K1380" s="84"/>
      <c r="L1380" s="73"/>
      <c r="M1380" s="73"/>
      <c r="N1380" s="73"/>
      <c r="O1380" s="8"/>
      <c r="P1380" s="9"/>
      <c r="Q1380" s="10"/>
      <c r="R1380" s="10"/>
      <c r="S1380" s="10"/>
      <c r="T1380" s="10"/>
      <c r="U1380" s="10"/>
      <c r="V1380" s="10"/>
      <c r="W1380" s="10"/>
      <c r="X1380" s="10"/>
      <c r="Y1380" s="10"/>
      <c r="Z1380" s="10"/>
      <c r="AA1380" s="10"/>
      <c r="AB1380" s="10"/>
      <c r="AC1380" s="10"/>
      <c r="AD1380" s="10"/>
      <c r="AE1380" s="10"/>
      <c r="AF1380" s="10"/>
      <c r="AG1380" s="10"/>
      <c r="AH1380" s="10"/>
      <c r="AI1380" s="10"/>
      <c r="AJ1380" s="10"/>
      <c r="AK1380" s="10"/>
      <c r="AL1380" s="10"/>
      <c r="AM1380" s="10"/>
      <c r="AN1380" s="10"/>
      <c r="AO1380" s="10"/>
      <c r="AP1380" s="10"/>
      <c r="AQ1380" s="10"/>
      <c r="AR1380" s="10"/>
      <c r="AS1380" s="10"/>
      <c r="AT1380" s="10"/>
      <c r="AU1380" s="10"/>
      <c r="AV1380" s="10"/>
      <c r="AW1380" s="10"/>
      <c r="AX1380" s="10"/>
      <c r="AY1380" s="10"/>
      <c r="AZ1380" s="10"/>
      <c r="BA1380" s="10"/>
      <c r="BB1380" s="10"/>
      <c r="BC1380" s="10"/>
      <c r="BD1380" s="10"/>
      <c r="BE1380" s="10"/>
      <c r="BF1380" s="10"/>
      <c r="BG1380" s="10"/>
      <c r="BH1380" s="10"/>
      <c r="BI1380" s="10"/>
      <c r="BJ1380" s="10"/>
      <c r="BK1380" s="10"/>
      <c r="BL1380" s="10"/>
      <c r="BM1380" s="10"/>
      <c r="BN1380" s="10"/>
      <c r="BO1380" s="10"/>
      <c r="BP1380" s="10"/>
      <c r="BQ1380" s="10"/>
      <c r="BR1380" s="10"/>
      <c r="BS1380" s="10"/>
      <c r="BT1380" s="10"/>
      <c r="BU1380" s="10"/>
      <c r="BV1380" s="10"/>
      <c r="BW1380" s="10"/>
      <c r="BX1380" s="10"/>
      <c r="BY1380" s="10"/>
      <c r="BZ1380" s="10"/>
      <c r="CA1380" s="10"/>
      <c r="CB1380" s="10"/>
      <c r="CC1380" s="10"/>
      <c r="CD1380" s="10"/>
      <c r="CE1380" s="10"/>
      <c r="CF1380" s="10"/>
      <c r="CG1380" s="10"/>
      <c r="CH1380" s="10"/>
      <c r="CI1380" s="10"/>
      <c r="CJ1380" s="10"/>
      <c r="CK1380" s="10"/>
      <c r="CL1380" s="10"/>
      <c r="CM1380" s="10"/>
      <c r="CN1380" s="10"/>
      <c r="CO1380" s="10"/>
      <c r="CP1380" s="10"/>
      <c r="CQ1380" s="10"/>
      <c r="CR1380" s="10"/>
      <c r="CS1380" s="10"/>
      <c r="CT1380" s="10"/>
      <c r="CU1380" s="10"/>
      <c r="CV1380" s="10"/>
      <c r="CW1380" s="10"/>
      <c r="CX1380" s="10"/>
      <c r="CY1380" s="10"/>
      <c r="CZ1380" s="10"/>
      <c r="DA1380" s="10"/>
      <c r="DB1380" s="10"/>
      <c r="DC1380" s="10"/>
      <c r="DD1380" s="10"/>
      <c r="DE1380" s="10"/>
      <c r="DF1380" s="10"/>
      <c r="DG1380" s="10"/>
      <c r="DH1380" s="10"/>
      <c r="DI1380" s="10"/>
      <c r="DJ1380" s="10"/>
      <c r="DK1380" s="10"/>
      <c r="DL1380" s="10"/>
      <c r="DM1380" s="10"/>
      <c r="DN1380" s="10"/>
      <c r="DO1380" s="10"/>
      <c r="DP1380" s="10"/>
      <c r="DQ1380" s="10"/>
      <c r="DR1380" s="10"/>
      <c r="DS1380" s="10"/>
      <c r="DT1380" s="10"/>
      <c r="DU1380" s="10"/>
      <c r="DV1380" s="10"/>
      <c r="DW1380" s="10"/>
      <c r="DX1380" s="10"/>
      <c r="DY1380" s="10"/>
      <c r="DZ1380" s="10"/>
      <c r="EA1380" s="10"/>
      <c r="EB1380" s="10"/>
      <c r="EC1380" s="10"/>
      <c r="ED1380" s="10"/>
      <c r="EE1380" s="10"/>
      <c r="EF1380" s="10"/>
      <c r="EG1380" s="10"/>
      <c r="EH1380" s="10"/>
      <c r="EI1380" s="10"/>
      <c r="EJ1380" s="10"/>
      <c r="EK1380" s="10"/>
      <c r="EL1380" s="10"/>
      <c r="EM1380" s="10"/>
      <c r="EN1380" s="10"/>
      <c r="EO1380" s="10"/>
      <c r="EP1380" s="10"/>
      <c r="EQ1380" s="10"/>
      <c r="ER1380" s="10"/>
      <c r="ES1380" s="10"/>
      <c r="ET1380" s="10"/>
      <c r="EU1380" s="10"/>
      <c r="EV1380" s="10"/>
      <c r="EW1380" s="10"/>
      <c r="EX1380" s="10"/>
      <c r="EY1380" s="10"/>
      <c r="EZ1380" s="10"/>
      <c r="FA1380" s="10"/>
      <c r="FB1380" s="10"/>
      <c r="FC1380" s="10"/>
      <c r="FD1380" s="10"/>
      <c r="FE1380" s="10"/>
      <c r="FF1380" s="10"/>
      <c r="FG1380" s="10"/>
      <c r="FH1380" s="10"/>
      <c r="FI1380" s="10"/>
      <c r="FJ1380" s="10"/>
      <c r="FK1380" s="10"/>
      <c r="FL1380" s="10"/>
      <c r="FM1380" s="10"/>
      <c r="FN1380" s="10"/>
      <c r="FO1380" s="10"/>
      <c r="FP1380" s="10"/>
      <c r="FQ1380" s="10"/>
      <c r="FR1380" s="10"/>
      <c r="FS1380" s="10"/>
      <c r="FT1380" s="10"/>
      <c r="FU1380" s="10"/>
      <c r="FV1380" s="10"/>
      <c r="FW1380" s="10"/>
      <c r="FX1380" s="10"/>
      <c r="FY1380" s="10"/>
      <c r="FZ1380" s="10"/>
      <c r="GA1380" s="10"/>
      <c r="GB1380" s="10"/>
      <c r="GC1380" s="10"/>
      <c r="GD1380" s="10"/>
      <c r="GE1380" s="10"/>
      <c r="GF1380" s="10"/>
      <c r="GG1380" s="10"/>
      <c r="GH1380" s="10"/>
      <c r="GI1380" s="10"/>
      <c r="GJ1380" s="10"/>
      <c r="GK1380" s="10"/>
      <c r="GL1380" s="10"/>
      <c r="GM1380" s="10"/>
      <c r="GN1380" s="10"/>
      <c r="GO1380" s="10"/>
      <c r="GP1380" s="10"/>
      <c r="GQ1380" s="10"/>
      <c r="GR1380" s="10"/>
      <c r="GS1380" s="10"/>
      <c r="GT1380" s="10"/>
      <c r="GU1380" s="10"/>
      <c r="GV1380" s="10"/>
      <c r="GW1380" s="10"/>
      <c r="GX1380" s="10"/>
      <c r="GY1380" s="10"/>
      <c r="GZ1380" s="10"/>
      <c r="HA1380" s="10"/>
      <c r="HB1380" s="10"/>
      <c r="HC1380" s="10"/>
      <c r="HD1380" s="10"/>
      <c r="HE1380" s="10"/>
      <c r="HF1380" s="10"/>
      <c r="HG1380" s="10"/>
      <c r="HH1380" s="10"/>
      <c r="HI1380" s="10"/>
      <c r="HJ1380" s="10"/>
      <c r="HK1380" s="10"/>
      <c r="HL1380" s="10"/>
      <c r="HM1380" s="10"/>
      <c r="HN1380" s="10"/>
      <c r="HO1380" s="10"/>
      <c r="HP1380" s="10"/>
      <c r="HQ1380" s="10"/>
      <c r="HR1380" s="10"/>
      <c r="HS1380" s="10"/>
      <c r="HT1380" s="10"/>
      <c r="HU1380" s="10"/>
      <c r="HV1380" s="10"/>
      <c r="HW1380" s="10"/>
      <c r="HX1380" s="10"/>
      <c r="HY1380" s="10"/>
      <c r="HZ1380" s="10"/>
      <c r="IA1380" s="10"/>
      <c r="IB1380" s="10"/>
      <c r="IC1380" s="10"/>
      <c r="ID1380" s="10"/>
      <c r="IE1380" s="10"/>
      <c r="IF1380" s="10"/>
      <c r="IG1380" s="10"/>
      <c r="IH1380" s="10"/>
      <c r="II1380" s="10"/>
      <c r="IJ1380" s="10"/>
      <c r="IK1380" s="10"/>
      <c r="IL1380" s="10"/>
      <c r="IM1380" s="10"/>
      <c r="IN1380" s="10"/>
      <c r="IO1380" s="10"/>
      <c r="IP1380" s="10"/>
      <c r="IQ1380" s="10"/>
      <c r="IR1380" s="10"/>
      <c r="IS1380" s="10"/>
      <c r="IT1380" s="10"/>
      <c r="IU1380" s="10"/>
    </row>
    <row r="1381" spans="1:255" s="87" customFormat="1">
      <c r="A1381" s="11"/>
      <c r="B1381" s="11"/>
      <c r="E1381" s="88"/>
      <c r="F1381" s="104" t="s">
        <v>2091</v>
      </c>
      <c r="G1381" s="239"/>
      <c r="I1381" s="92"/>
      <c r="K1381" s="84"/>
      <c r="L1381" s="73"/>
      <c r="M1381" s="73"/>
      <c r="N1381" s="73"/>
      <c r="O1381" s="8"/>
      <c r="P1381" s="9"/>
      <c r="Q1381" s="10"/>
      <c r="R1381" s="10"/>
      <c r="S1381" s="10"/>
      <c r="T1381" s="10"/>
      <c r="U1381" s="10"/>
      <c r="V1381" s="10"/>
      <c r="W1381" s="10"/>
      <c r="X1381" s="10"/>
      <c r="Y1381" s="10"/>
      <c r="Z1381" s="10"/>
      <c r="AA1381" s="10"/>
      <c r="AB1381" s="10"/>
      <c r="AC1381" s="10"/>
      <c r="AD1381" s="10"/>
      <c r="AE1381" s="10"/>
      <c r="AF1381" s="10"/>
      <c r="AG1381" s="10"/>
      <c r="AH1381" s="10"/>
      <c r="AI1381" s="10"/>
      <c r="AJ1381" s="10"/>
      <c r="AK1381" s="10"/>
      <c r="AL1381" s="10"/>
      <c r="AM1381" s="10"/>
      <c r="AN1381" s="10"/>
      <c r="AO1381" s="10"/>
      <c r="AP1381" s="10"/>
      <c r="AQ1381" s="10"/>
      <c r="AR1381" s="10"/>
      <c r="AS1381" s="10"/>
      <c r="AT1381" s="10"/>
      <c r="AU1381" s="10"/>
      <c r="AV1381" s="10"/>
      <c r="AW1381" s="10"/>
      <c r="AX1381" s="10"/>
      <c r="AY1381" s="10"/>
      <c r="AZ1381" s="10"/>
      <c r="BA1381" s="10"/>
      <c r="BB1381" s="10"/>
      <c r="BC1381" s="10"/>
      <c r="BD1381" s="10"/>
      <c r="BE1381" s="10"/>
      <c r="BF1381" s="10"/>
      <c r="BG1381" s="10"/>
      <c r="BH1381" s="10"/>
      <c r="BI1381" s="10"/>
      <c r="BJ1381" s="10"/>
      <c r="BK1381" s="10"/>
      <c r="BL1381" s="10"/>
      <c r="BM1381" s="10"/>
      <c r="BN1381" s="10"/>
      <c r="BO1381" s="10"/>
      <c r="BP1381" s="10"/>
      <c r="BQ1381" s="10"/>
      <c r="BR1381" s="10"/>
      <c r="BS1381" s="10"/>
      <c r="BT1381" s="10"/>
      <c r="BU1381" s="10"/>
      <c r="BV1381" s="10"/>
      <c r="BW1381" s="10"/>
      <c r="BX1381" s="10"/>
      <c r="BY1381" s="10"/>
      <c r="BZ1381" s="10"/>
      <c r="CA1381" s="10"/>
      <c r="CB1381" s="10"/>
      <c r="CC1381" s="10"/>
      <c r="CD1381" s="10"/>
      <c r="CE1381" s="10"/>
      <c r="CF1381" s="10"/>
      <c r="CG1381" s="10"/>
      <c r="CH1381" s="10"/>
      <c r="CI1381" s="10"/>
      <c r="CJ1381" s="10"/>
      <c r="CK1381" s="10"/>
      <c r="CL1381" s="10"/>
      <c r="CM1381" s="10"/>
      <c r="CN1381" s="10"/>
      <c r="CO1381" s="10"/>
      <c r="CP1381" s="10"/>
      <c r="CQ1381" s="10"/>
      <c r="CR1381" s="10"/>
      <c r="CS1381" s="10"/>
      <c r="CT1381" s="10"/>
      <c r="CU1381" s="10"/>
      <c r="CV1381" s="10"/>
      <c r="CW1381" s="10"/>
      <c r="CX1381" s="10"/>
      <c r="CY1381" s="10"/>
      <c r="CZ1381" s="10"/>
      <c r="DA1381" s="10"/>
      <c r="DB1381" s="10"/>
      <c r="DC1381" s="10"/>
      <c r="DD1381" s="10"/>
      <c r="DE1381" s="10"/>
      <c r="DF1381" s="10"/>
      <c r="DG1381" s="10"/>
      <c r="DH1381" s="10"/>
      <c r="DI1381" s="10"/>
      <c r="DJ1381" s="10"/>
      <c r="DK1381" s="10"/>
      <c r="DL1381" s="10"/>
      <c r="DM1381" s="10"/>
      <c r="DN1381" s="10"/>
      <c r="DO1381" s="10"/>
      <c r="DP1381" s="10"/>
      <c r="DQ1381" s="10"/>
      <c r="DR1381" s="10"/>
      <c r="DS1381" s="10"/>
      <c r="DT1381" s="10"/>
      <c r="DU1381" s="10"/>
      <c r="DV1381" s="10"/>
      <c r="DW1381" s="10"/>
      <c r="DX1381" s="10"/>
      <c r="DY1381" s="10"/>
      <c r="DZ1381" s="10"/>
      <c r="EA1381" s="10"/>
      <c r="EB1381" s="10"/>
      <c r="EC1381" s="10"/>
      <c r="ED1381" s="10"/>
      <c r="EE1381" s="10"/>
      <c r="EF1381" s="10"/>
      <c r="EG1381" s="10"/>
      <c r="EH1381" s="10"/>
      <c r="EI1381" s="10"/>
      <c r="EJ1381" s="10"/>
      <c r="EK1381" s="10"/>
      <c r="EL1381" s="10"/>
      <c r="EM1381" s="10"/>
      <c r="EN1381" s="10"/>
      <c r="EO1381" s="10"/>
      <c r="EP1381" s="10"/>
      <c r="EQ1381" s="10"/>
      <c r="ER1381" s="10"/>
      <c r="ES1381" s="10"/>
      <c r="ET1381" s="10"/>
      <c r="EU1381" s="10"/>
      <c r="EV1381" s="10"/>
      <c r="EW1381" s="10"/>
      <c r="EX1381" s="10"/>
      <c r="EY1381" s="10"/>
      <c r="EZ1381" s="10"/>
      <c r="FA1381" s="10"/>
      <c r="FB1381" s="10"/>
      <c r="FC1381" s="10"/>
      <c r="FD1381" s="10"/>
      <c r="FE1381" s="10"/>
      <c r="FF1381" s="10"/>
      <c r="FG1381" s="10"/>
      <c r="FH1381" s="10"/>
      <c r="FI1381" s="10"/>
      <c r="FJ1381" s="10"/>
      <c r="FK1381" s="10"/>
      <c r="FL1381" s="10"/>
      <c r="FM1381" s="10"/>
      <c r="FN1381" s="10"/>
      <c r="FO1381" s="10"/>
      <c r="FP1381" s="10"/>
      <c r="FQ1381" s="10"/>
      <c r="FR1381" s="10"/>
      <c r="FS1381" s="10"/>
      <c r="FT1381" s="10"/>
      <c r="FU1381" s="10"/>
      <c r="FV1381" s="10"/>
      <c r="FW1381" s="10"/>
      <c r="FX1381" s="10"/>
      <c r="FY1381" s="10"/>
      <c r="FZ1381" s="10"/>
      <c r="GA1381" s="10"/>
      <c r="GB1381" s="10"/>
      <c r="GC1381" s="10"/>
      <c r="GD1381" s="10"/>
      <c r="GE1381" s="10"/>
      <c r="GF1381" s="10"/>
      <c r="GG1381" s="10"/>
      <c r="GH1381" s="10"/>
      <c r="GI1381" s="10"/>
      <c r="GJ1381" s="10"/>
      <c r="GK1381" s="10"/>
      <c r="GL1381" s="10"/>
      <c r="GM1381" s="10"/>
      <c r="GN1381" s="10"/>
      <c r="GO1381" s="10"/>
      <c r="GP1381" s="10"/>
      <c r="GQ1381" s="10"/>
      <c r="GR1381" s="10"/>
      <c r="GS1381" s="10"/>
      <c r="GT1381" s="10"/>
      <c r="GU1381" s="10"/>
      <c r="GV1381" s="10"/>
      <c r="GW1381" s="10"/>
      <c r="GX1381" s="10"/>
      <c r="GY1381" s="10"/>
      <c r="GZ1381" s="10"/>
      <c r="HA1381" s="10"/>
      <c r="HB1381" s="10"/>
      <c r="HC1381" s="10"/>
      <c r="HD1381" s="10"/>
      <c r="HE1381" s="10"/>
      <c r="HF1381" s="10"/>
      <c r="HG1381" s="10"/>
      <c r="HH1381" s="10"/>
      <c r="HI1381" s="10"/>
      <c r="HJ1381" s="10"/>
      <c r="HK1381" s="10"/>
      <c r="HL1381" s="10"/>
      <c r="HM1381" s="10"/>
      <c r="HN1381" s="10"/>
      <c r="HO1381" s="10"/>
      <c r="HP1381" s="10"/>
      <c r="HQ1381" s="10"/>
      <c r="HR1381" s="10"/>
      <c r="HS1381" s="10"/>
      <c r="HT1381" s="10"/>
      <c r="HU1381" s="10"/>
      <c r="HV1381" s="10"/>
      <c r="HW1381" s="10"/>
      <c r="HX1381" s="10"/>
      <c r="HY1381" s="10"/>
      <c r="HZ1381" s="10"/>
      <c r="IA1381" s="10"/>
      <c r="IB1381" s="10"/>
      <c r="IC1381" s="10"/>
      <c r="ID1381" s="10"/>
      <c r="IE1381" s="10"/>
      <c r="IF1381" s="10"/>
      <c r="IG1381" s="10"/>
      <c r="IH1381" s="10"/>
      <c r="II1381" s="10"/>
      <c r="IJ1381" s="10"/>
      <c r="IK1381" s="10"/>
      <c r="IL1381" s="10"/>
      <c r="IM1381" s="10"/>
      <c r="IN1381" s="10"/>
      <c r="IO1381" s="10"/>
      <c r="IP1381" s="10"/>
      <c r="IQ1381" s="10"/>
      <c r="IR1381" s="10"/>
      <c r="IS1381" s="10"/>
      <c r="IT1381" s="10"/>
      <c r="IU1381" s="10"/>
    </row>
    <row r="1382" spans="1:255" s="87" customFormat="1">
      <c r="A1382" s="11"/>
      <c r="B1382" s="11"/>
      <c r="E1382" s="88"/>
      <c r="F1382" s="105"/>
      <c r="G1382"/>
      <c r="I1382" s="92"/>
      <c r="K1382" s="84"/>
      <c r="L1382" s="73"/>
      <c r="M1382" s="73"/>
      <c r="N1382" s="73"/>
      <c r="O1382" s="8"/>
      <c r="P1382" s="9"/>
      <c r="Q1382" s="10"/>
      <c r="R1382" s="10"/>
      <c r="S1382" s="10"/>
      <c r="T1382" s="10"/>
      <c r="U1382" s="10"/>
      <c r="V1382" s="10"/>
      <c r="W1382" s="10"/>
      <c r="X1382" s="10"/>
      <c r="Y1382" s="10"/>
      <c r="Z1382" s="10"/>
      <c r="AA1382" s="10"/>
      <c r="AB1382" s="10"/>
      <c r="AC1382" s="10"/>
      <c r="AD1382" s="10"/>
      <c r="AE1382" s="10"/>
      <c r="AF1382" s="10"/>
      <c r="AG1382" s="10"/>
      <c r="AH1382" s="10"/>
      <c r="AI1382" s="10"/>
      <c r="AJ1382" s="10"/>
      <c r="AK1382" s="10"/>
      <c r="AL1382" s="10"/>
      <c r="AM1382" s="10"/>
      <c r="AN1382" s="10"/>
      <c r="AO1382" s="10"/>
      <c r="AP1382" s="10"/>
      <c r="AQ1382" s="10"/>
      <c r="AR1382" s="10"/>
      <c r="AS1382" s="10"/>
      <c r="AT1382" s="10"/>
      <c r="AU1382" s="10"/>
      <c r="AV1382" s="10"/>
      <c r="AW1382" s="10"/>
      <c r="AX1382" s="10"/>
      <c r="AY1382" s="10"/>
      <c r="AZ1382" s="10"/>
      <c r="BA1382" s="10"/>
      <c r="BB1382" s="10"/>
      <c r="BC1382" s="10"/>
      <c r="BD1382" s="10"/>
      <c r="BE1382" s="10"/>
      <c r="BF1382" s="10"/>
      <c r="BG1382" s="10"/>
      <c r="BH1382" s="10"/>
      <c r="BI1382" s="10"/>
      <c r="BJ1382" s="10"/>
      <c r="BK1382" s="10"/>
      <c r="BL1382" s="10"/>
      <c r="BM1382" s="10"/>
      <c r="BN1382" s="10"/>
      <c r="BO1382" s="10"/>
      <c r="BP1382" s="10"/>
      <c r="BQ1382" s="10"/>
      <c r="BR1382" s="10"/>
      <c r="BS1382" s="10"/>
      <c r="BT1382" s="10"/>
      <c r="BU1382" s="10"/>
      <c r="BV1382" s="10"/>
      <c r="BW1382" s="10"/>
      <c r="BX1382" s="10"/>
      <c r="BY1382" s="10"/>
      <c r="BZ1382" s="10"/>
      <c r="CA1382" s="10"/>
      <c r="CB1382" s="10"/>
      <c r="CC1382" s="10"/>
      <c r="CD1382" s="10"/>
      <c r="CE1382" s="10"/>
      <c r="CF1382" s="10"/>
      <c r="CG1382" s="10"/>
      <c r="CH1382" s="10"/>
      <c r="CI1382" s="10"/>
      <c r="CJ1382" s="10"/>
      <c r="CK1382" s="10"/>
      <c r="CL1382" s="10"/>
      <c r="CM1382" s="10"/>
      <c r="CN1382" s="10"/>
      <c r="CO1382" s="10"/>
      <c r="CP1382" s="10"/>
      <c r="CQ1382" s="10"/>
      <c r="CR1382" s="10"/>
      <c r="CS1382" s="10"/>
      <c r="CT1382" s="10"/>
      <c r="CU1382" s="10"/>
      <c r="CV1382" s="10"/>
      <c r="CW1382" s="10"/>
      <c r="CX1382" s="10"/>
      <c r="CY1382" s="10"/>
      <c r="CZ1382" s="10"/>
      <c r="DA1382" s="10"/>
      <c r="DB1382" s="10"/>
      <c r="DC1382" s="10"/>
      <c r="DD1382" s="10"/>
      <c r="DE1382" s="10"/>
      <c r="DF1382" s="10"/>
      <c r="DG1382" s="10"/>
      <c r="DH1382" s="10"/>
      <c r="DI1382" s="10"/>
      <c r="DJ1382" s="10"/>
      <c r="DK1382" s="10"/>
      <c r="DL1382" s="10"/>
      <c r="DM1382" s="10"/>
      <c r="DN1382" s="10"/>
      <c r="DO1382" s="10"/>
      <c r="DP1382" s="10"/>
      <c r="DQ1382" s="10"/>
      <c r="DR1382" s="10"/>
      <c r="DS1382" s="10"/>
      <c r="DT1382" s="10"/>
      <c r="DU1382" s="10"/>
      <c r="DV1382" s="10"/>
      <c r="DW1382" s="10"/>
      <c r="DX1382" s="10"/>
      <c r="DY1382" s="10"/>
      <c r="DZ1382" s="10"/>
      <c r="EA1382" s="10"/>
      <c r="EB1382" s="10"/>
      <c r="EC1382" s="10"/>
      <c r="ED1382" s="10"/>
      <c r="EE1382" s="10"/>
      <c r="EF1382" s="10"/>
      <c r="EG1382" s="10"/>
      <c r="EH1382" s="10"/>
      <c r="EI1382" s="10"/>
      <c r="EJ1382" s="10"/>
      <c r="EK1382" s="10"/>
      <c r="EL1382" s="10"/>
      <c r="EM1382" s="10"/>
      <c r="EN1382" s="10"/>
      <c r="EO1382" s="10"/>
      <c r="EP1382" s="10"/>
      <c r="EQ1382" s="10"/>
      <c r="ER1382" s="10"/>
      <c r="ES1382" s="10"/>
      <c r="ET1382" s="10"/>
      <c r="EU1382" s="10"/>
      <c r="EV1382" s="10"/>
      <c r="EW1382" s="10"/>
      <c r="EX1382" s="10"/>
      <c r="EY1382" s="10"/>
      <c r="EZ1382" s="10"/>
      <c r="FA1382" s="10"/>
      <c r="FB1382" s="10"/>
      <c r="FC1382" s="10"/>
      <c r="FD1382" s="10"/>
      <c r="FE1382" s="10"/>
      <c r="FF1382" s="10"/>
      <c r="FG1382" s="10"/>
      <c r="FH1382" s="10"/>
      <c r="FI1382" s="10"/>
      <c r="FJ1382" s="10"/>
      <c r="FK1382" s="10"/>
      <c r="FL1382" s="10"/>
      <c r="FM1382" s="10"/>
      <c r="FN1382" s="10"/>
      <c r="FO1382" s="10"/>
      <c r="FP1382" s="10"/>
      <c r="FQ1382" s="10"/>
      <c r="FR1382" s="10"/>
      <c r="FS1382" s="10"/>
      <c r="FT1382" s="10"/>
      <c r="FU1382" s="10"/>
      <c r="FV1382" s="10"/>
      <c r="FW1382" s="10"/>
      <c r="FX1382" s="10"/>
      <c r="FY1382" s="10"/>
      <c r="FZ1382" s="10"/>
      <c r="GA1382" s="10"/>
      <c r="GB1382" s="10"/>
      <c r="GC1382" s="10"/>
      <c r="GD1382" s="10"/>
      <c r="GE1382" s="10"/>
      <c r="GF1382" s="10"/>
      <c r="GG1382" s="10"/>
      <c r="GH1382" s="10"/>
      <c r="GI1382" s="10"/>
      <c r="GJ1382" s="10"/>
      <c r="GK1382" s="10"/>
      <c r="GL1382" s="10"/>
      <c r="GM1382" s="10"/>
      <c r="GN1382" s="10"/>
      <c r="GO1382" s="10"/>
      <c r="GP1382" s="10"/>
      <c r="GQ1382" s="10"/>
      <c r="GR1382" s="10"/>
      <c r="GS1382" s="10"/>
      <c r="GT1382" s="10"/>
      <c r="GU1382" s="10"/>
      <c r="GV1382" s="10"/>
      <c r="GW1382" s="10"/>
      <c r="GX1382" s="10"/>
      <c r="GY1382" s="10"/>
      <c r="GZ1382" s="10"/>
      <c r="HA1382" s="10"/>
      <c r="HB1382" s="10"/>
      <c r="HC1382" s="10"/>
      <c r="HD1382" s="10"/>
      <c r="HE1382" s="10"/>
      <c r="HF1382" s="10"/>
      <c r="HG1382" s="10"/>
      <c r="HH1382" s="10"/>
      <c r="HI1382" s="10"/>
      <c r="HJ1382" s="10"/>
      <c r="HK1382" s="10"/>
      <c r="HL1382" s="10"/>
      <c r="HM1382" s="10"/>
      <c r="HN1382" s="10"/>
      <c r="HO1382" s="10"/>
      <c r="HP1382" s="10"/>
      <c r="HQ1382" s="10"/>
      <c r="HR1382" s="10"/>
      <c r="HS1382" s="10"/>
      <c r="HT1382" s="10"/>
      <c r="HU1382" s="10"/>
      <c r="HV1382" s="10"/>
      <c r="HW1382" s="10"/>
      <c r="HX1382" s="10"/>
      <c r="HY1382" s="10"/>
      <c r="HZ1382" s="10"/>
      <c r="IA1382" s="10"/>
      <c r="IB1382" s="10"/>
      <c r="IC1382" s="10"/>
      <c r="ID1382" s="10"/>
      <c r="IE1382" s="10"/>
      <c r="IF1382" s="10"/>
      <c r="IG1382" s="10"/>
      <c r="IH1382" s="10"/>
      <c r="II1382" s="10"/>
      <c r="IJ1382" s="10"/>
      <c r="IK1382" s="10"/>
      <c r="IL1382" s="10"/>
      <c r="IM1382" s="10"/>
      <c r="IN1382" s="10"/>
      <c r="IO1382" s="10"/>
      <c r="IP1382" s="10"/>
      <c r="IQ1382" s="10"/>
      <c r="IR1382" s="10"/>
      <c r="IS1382" s="10"/>
      <c r="IT1382" s="10"/>
      <c r="IU1382" s="10"/>
    </row>
    <row r="1383" spans="1:255" s="87" customFormat="1" ht="14">
      <c r="A1383" s="11"/>
      <c r="B1383" s="11"/>
      <c r="E1383" s="88"/>
      <c r="F1383" s="106" t="s">
        <v>2092</v>
      </c>
      <c r="G1383"/>
      <c r="I1383" s="92"/>
      <c r="K1383" s="84"/>
      <c r="L1383" s="73"/>
      <c r="M1383" s="73"/>
      <c r="N1383" s="73"/>
      <c r="O1383" s="8"/>
      <c r="P1383" s="9"/>
      <c r="Q1383" s="10"/>
      <c r="R1383" s="10"/>
      <c r="S1383" s="10"/>
      <c r="T1383" s="10"/>
      <c r="U1383" s="10"/>
      <c r="V1383" s="10"/>
      <c r="W1383" s="10"/>
      <c r="X1383" s="10"/>
      <c r="Y1383" s="10"/>
      <c r="Z1383" s="10"/>
      <c r="AA1383" s="10"/>
      <c r="AB1383" s="10"/>
      <c r="AC1383" s="10"/>
      <c r="AD1383" s="10"/>
      <c r="AE1383" s="10"/>
      <c r="AF1383" s="10"/>
      <c r="AG1383" s="10"/>
      <c r="AH1383" s="10"/>
      <c r="AI1383" s="10"/>
      <c r="AJ1383" s="10"/>
      <c r="AK1383" s="10"/>
      <c r="AL1383" s="10"/>
      <c r="AM1383" s="10"/>
      <c r="AN1383" s="10"/>
      <c r="AO1383" s="10"/>
      <c r="AP1383" s="10"/>
      <c r="AQ1383" s="10"/>
      <c r="AR1383" s="10"/>
      <c r="AS1383" s="10"/>
      <c r="AT1383" s="10"/>
      <c r="AU1383" s="10"/>
      <c r="AV1383" s="10"/>
      <c r="AW1383" s="10"/>
      <c r="AX1383" s="10"/>
      <c r="AY1383" s="10"/>
      <c r="AZ1383" s="10"/>
      <c r="BA1383" s="10"/>
      <c r="BB1383" s="10"/>
      <c r="BC1383" s="10"/>
      <c r="BD1383" s="10"/>
      <c r="BE1383" s="10"/>
      <c r="BF1383" s="10"/>
      <c r="BG1383" s="10"/>
      <c r="BH1383" s="10"/>
      <c r="BI1383" s="10"/>
      <c r="BJ1383" s="10"/>
      <c r="BK1383" s="10"/>
      <c r="BL1383" s="10"/>
      <c r="BM1383" s="10"/>
      <c r="BN1383" s="10"/>
      <c r="BO1383" s="10"/>
      <c r="BP1383" s="10"/>
      <c r="BQ1383" s="10"/>
      <c r="BR1383" s="10"/>
      <c r="BS1383" s="10"/>
      <c r="BT1383" s="10"/>
      <c r="BU1383" s="10"/>
      <c r="BV1383" s="10"/>
      <c r="BW1383" s="10"/>
      <c r="BX1383" s="10"/>
      <c r="BY1383" s="10"/>
      <c r="BZ1383" s="10"/>
      <c r="CA1383" s="10"/>
      <c r="CB1383" s="10"/>
      <c r="CC1383" s="10"/>
      <c r="CD1383" s="10"/>
      <c r="CE1383" s="10"/>
      <c r="CF1383" s="10"/>
      <c r="CG1383" s="10"/>
      <c r="CH1383" s="10"/>
      <c r="CI1383" s="10"/>
      <c r="CJ1383" s="10"/>
      <c r="CK1383" s="10"/>
      <c r="CL1383" s="10"/>
      <c r="CM1383" s="10"/>
      <c r="CN1383" s="10"/>
      <c r="CO1383" s="10"/>
      <c r="CP1383" s="10"/>
      <c r="CQ1383" s="10"/>
      <c r="CR1383" s="10"/>
      <c r="CS1383" s="10"/>
      <c r="CT1383" s="10"/>
      <c r="CU1383" s="10"/>
      <c r="CV1383" s="10"/>
      <c r="CW1383" s="10"/>
      <c r="CX1383" s="10"/>
      <c r="CY1383" s="10"/>
      <c r="CZ1383" s="10"/>
      <c r="DA1383" s="10"/>
      <c r="DB1383" s="10"/>
      <c r="DC1383" s="10"/>
      <c r="DD1383" s="10"/>
      <c r="DE1383" s="10"/>
      <c r="DF1383" s="10"/>
      <c r="DG1383" s="10"/>
      <c r="DH1383" s="10"/>
      <c r="DI1383" s="10"/>
      <c r="DJ1383" s="10"/>
      <c r="DK1383" s="10"/>
      <c r="DL1383" s="10"/>
      <c r="DM1383" s="10"/>
      <c r="DN1383" s="10"/>
      <c r="DO1383" s="10"/>
      <c r="DP1383" s="10"/>
      <c r="DQ1383" s="10"/>
      <c r="DR1383" s="10"/>
      <c r="DS1383" s="10"/>
      <c r="DT1383" s="10"/>
      <c r="DU1383" s="10"/>
      <c r="DV1383" s="10"/>
      <c r="DW1383" s="10"/>
      <c r="DX1383" s="10"/>
      <c r="DY1383" s="10"/>
      <c r="DZ1383" s="10"/>
      <c r="EA1383" s="10"/>
      <c r="EB1383" s="10"/>
      <c r="EC1383" s="10"/>
      <c r="ED1383" s="10"/>
      <c r="EE1383" s="10"/>
      <c r="EF1383" s="10"/>
      <c r="EG1383" s="10"/>
      <c r="EH1383" s="10"/>
      <c r="EI1383" s="10"/>
      <c r="EJ1383" s="10"/>
      <c r="EK1383" s="10"/>
      <c r="EL1383" s="10"/>
      <c r="EM1383" s="10"/>
      <c r="EN1383" s="10"/>
      <c r="EO1383" s="10"/>
      <c r="EP1383" s="10"/>
      <c r="EQ1383" s="10"/>
      <c r="ER1383" s="10"/>
      <c r="ES1383" s="10"/>
      <c r="ET1383" s="10"/>
      <c r="EU1383" s="10"/>
      <c r="EV1383" s="10"/>
      <c r="EW1383" s="10"/>
      <c r="EX1383" s="10"/>
      <c r="EY1383" s="10"/>
      <c r="EZ1383" s="10"/>
      <c r="FA1383" s="10"/>
      <c r="FB1383" s="10"/>
      <c r="FC1383" s="10"/>
      <c r="FD1383" s="10"/>
      <c r="FE1383" s="10"/>
      <c r="FF1383" s="10"/>
      <c r="FG1383" s="10"/>
      <c r="FH1383" s="10"/>
      <c r="FI1383" s="10"/>
      <c r="FJ1383" s="10"/>
      <c r="FK1383" s="10"/>
      <c r="FL1383" s="10"/>
      <c r="FM1383" s="10"/>
      <c r="FN1383" s="10"/>
      <c r="FO1383" s="10"/>
      <c r="FP1383" s="10"/>
      <c r="FQ1383" s="10"/>
      <c r="FR1383" s="10"/>
      <c r="FS1383" s="10"/>
      <c r="FT1383" s="10"/>
      <c r="FU1383" s="10"/>
      <c r="FV1383" s="10"/>
      <c r="FW1383" s="10"/>
      <c r="FX1383" s="10"/>
      <c r="FY1383" s="10"/>
      <c r="FZ1383" s="10"/>
      <c r="GA1383" s="10"/>
      <c r="GB1383" s="10"/>
      <c r="GC1383" s="10"/>
      <c r="GD1383" s="10"/>
      <c r="GE1383" s="10"/>
      <c r="GF1383" s="10"/>
      <c r="GG1383" s="10"/>
      <c r="GH1383" s="10"/>
      <c r="GI1383" s="10"/>
      <c r="GJ1383" s="10"/>
      <c r="GK1383" s="10"/>
      <c r="GL1383" s="10"/>
      <c r="GM1383" s="10"/>
      <c r="GN1383" s="10"/>
      <c r="GO1383" s="10"/>
      <c r="GP1383" s="10"/>
      <c r="GQ1383" s="10"/>
      <c r="GR1383" s="10"/>
      <c r="GS1383" s="10"/>
      <c r="GT1383" s="10"/>
      <c r="GU1383" s="10"/>
      <c r="GV1383" s="10"/>
      <c r="GW1383" s="10"/>
      <c r="GX1383" s="10"/>
      <c r="GY1383" s="10"/>
      <c r="GZ1383" s="10"/>
      <c r="HA1383" s="10"/>
      <c r="HB1383" s="10"/>
      <c r="HC1383" s="10"/>
      <c r="HD1383" s="10"/>
      <c r="HE1383" s="10"/>
      <c r="HF1383" s="10"/>
      <c r="HG1383" s="10"/>
      <c r="HH1383" s="10"/>
      <c r="HI1383" s="10"/>
      <c r="HJ1383" s="10"/>
      <c r="HK1383" s="10"/>
      <c r="HL1383" s="10"/>
      <c r="HM1383" s="10"/>
      <c r="HN1383" s="10"/>
      <c r="HO1383" s="10"/>
      <c r="HP1383" s="10"/>
      <c r="HQ1383" s="10"/>
      <c r="HR1383" s="10"/>
      <c r="HS1383" s="10"/>
      <c r="HT1383" s="10"/>
      <c r="HU1383" s="10"/>
      <c r="HV1383" s="10"/>
      <c r="HW1383" s="10"/>
      <c r="HX1383" s="10"/>
      <c r="HY1383" s="10"/>
      <c r="HZ1383" s="10"/>
      <c r="IA1383" s="10"/>
      <c r="IB1383" s="10"/>
      <c r="IC1383" s="10"/>
      <c r="ID1383" s="10"/>
      <c r="IE1383" s="10"/>
      <c r="IF1383" s="10"/>
      <c r="IG1383" s="10"/>
      <c r="IH1383" s="10"/>
      <c r="II1383" s="10"/>
      <c r="IJ1383" s="10"/>
      <c r="IK1383" s="10"/>
      <c r="IL1383" s="10"/>
      <c r="IM1383" s="10"/>
      <c r="IN1383" s="10"/>
      <c r="IO1383" s="10"/>
      <c r="IP1383" s="10"/>
      <c r="IQ1383" s="10"/>
      <c r="IR1383" s="10"/>
      <c r="IS1383" s="10"/>
      <c r="IT1383" s="10"/>
      <c r="IU1383" s="10"/>
    </row>
    <row r="1384" spans="1:255" s="87" customFormat="1" ht="126">
      <c r="A1384" s="11"/>
      <c r="B1384" s="11"/>
      <c r="E1384" s="88"/>
      <c r="F1384" s="105" t="s">
        <v>2093</v>
      </c>
      <c r="G1384"/>
      <c r="I1384" s="92"/>
      <c r="K1384" s="84"/>
      <c r="L1384" s="73"/>
      <c r="M1384" s="73"/>
      <c r="N1384" s="73"/>
      <c r="O1384" s="8"/>
      <c r="P1384" s="9"/>
      <c r="Q1384" s="10"/>
      <c r="R1384" s="10"/>
      <c r="S1384" s="10"/>
      <c r="T1384" s="10"/>
      <c r="U1384" s="10"/>
      <c r="V1384" s="10"/>
      <c r="W1384" s="10"/>
      <c r="X1384" s="10"/>
      <c r="Y1384" s="10"/>
      <c r="Z1384" s="10"/>
      <c r="AA1384" s="10"/>
      <c r="AB1384" s="10"/>
      <c r="AC1384" s="10"/>
      <c r="AD1384" s="10"/>
      <c r="AE1384" s="10"/>
      <c r="AF1384" s="10"/>
      <c r="AG1384" s="10"/>
      <c r="AH1384" s="10"/>
      <c r="AI1384" s="10"/>
      <c r="AJ1384" s="10"/>
      <c r="AK1384" s="10"/>
      <c r="AL1384" s="10"/>
      <c r="AM1384" s="10"/>
      <c r="AN1384" s="10"/>
      <c r="AO1384" s="10"/>
      <c r="AP1384" s="10"/>
      <c r="AQ1384" s="10"/>
      <c r="AR1384" s="10"/>
      <c r="AS1384" s="10"/>
      <c r="AT1384" s="10"/>
      <c r="AU1384" s="10"/>
      <c r="AV1384" s="10"/>
      <c r="AW1384" s="10"/>
      <c r="AX1384" s="10"/>
      <c r="AY1384" s="10"/>
      <c r="AZ1384" s="10"/>
      <c r="BA1384" s="10"/>
      <c r="BB1384" s="10"/>
      <c r="BC1384" s="10"/>
      <c r="BD1384" s="10"/>
      <c r="BE1384" s="10"/>
      <c r="BF1384" s="10"/>
      <c r="BG1384" s="10"/>
      <c r="BH1384" s="10"/>
      <c r="BI1384" s="10"/>
      <c r="BJ1384" s="10"/>
      <c r="BK1384" s="10"/>
      <c r="BL1384" s="10"/>
      <c r="BM1384" s="10"/>
      <c r="BN1384" s="10"/>
      <c r="BO1384" s="10"/>
      <c r="BP1384" s="10"/>
      <c r="BQ1384" s="10"/>
      <c r="BR1384" s="10"/>
      <c r="BS1384" s="10"/>
      <c r="BT1384" s="10"/>
      <c r="BU1384" s="10"/>
      <c r="BV1384" s="10"/>
      <c r="BW1384" s="10"/>
      <c r="BX1384" s="10"/>
      <c r="BY1384" s="10"/>
      <c r="BZ1384" s="10"/>
      <c r="CA1384" s="10"/>
      <c r="CB1384" s="10"/>
      <c r="CC1384" s="10"/>
      <c r="CD1384" s="10"/>
      <c r="CE1384" s="10"/>
      <c r="CF1384" s="10"/>
      <c r="CG1384" s="10"/>
      <c r="CH1384" s="10"/>
      <c r="CI1384" s="10"/>
      <c r="CJ1384" s="10"/>
      <c r="CK1384" s="10"/>
      <c r="CL1384" s="10"/>
      <c r="CM1384" s="10"/>
      <c r="CN1384" s="10"/>
      <c r="CO1384" s="10"/>
      <c r="CP1384" s="10"/>
      <c r="CQ1384" s="10"/>
      <c r="CR1384" s="10"/>
      <c r="CS1384" s="10"/>
      <c r="CT1384" s="10"/>
      <c r="CU1384" s="10"/>
      <c r="CV1384" s="10"/>
      <c r="CW1384" s="10"/>
      <c r="CX1384" s="10"/>
      <c r="CY1384" s="10"/>
      <c r="CZ1384" s="10"/>
      <c r="DA1384" s="10"/>
      <c r="DB1384" s="10"/>
      <c r="DC1384" s="10"/>
      <c r="DD1384" s="10"/>
      <c r="DE1384" s="10"/>
      <c r="DF1384" s="10"/>
      <c r="DG1384" s="10"/>
      <c r="DH1384" s="10"/>
      <c r="DI1384" s="10"/>
      <c r="DJ1384" s="10"/>
      <c r="DK1384" s="10"/>
      <c r="DL1384" s="10"/>
      <c r="DM1384" s="10"/>
      <c r="DN1384" s="10"/>
      <c r="DO1384" s="10"/>
      <c r="DP1384" s="10"/>
      <c r="DQ1384" s="10"/>
      <c r="DR1384" s="10"/>
      <c r="DS1384" s="10"/>
      <c r="DT1384" s="10"/>
      <c r="DU1384" s="10"/>
      <c r="DV1384" s="10"/>
      <c r="DW1384" s="10"/>
      <c r="DX1384" s="10"/>
      <c r="DY1384" s="10"/>
      <c r="DZ1384" s="10"/>
      <c r="EA1384" s="10"/>
      <c r="EB1384" s="10"/>
      <c r="EC1384" s="10"/>
      <c r="ED1384" s="10"/>
      <c r="EE1384" s="10"/>
      <c r="EF1384" s="10"/>
      <c r="EG1384" s="10"/>
      <c r="EH1384" s="10"/>
      <c r="EI1384" s="10"/>
      <c r="EJ1384" s="10"/>
      <c r="EK1384" s="10"/>
      <c r="EL1384" s="10"/>
      <c r="EM1384" s="10"/>
      <c r="EN1384" s="10"/>
      <c r="EO1384" s="10"/>
      <c r="EP1384" s="10"/>
      <c r="EQ1384" s="10"/>
      <c r="ER1384" s="10"/>
      <c r="ES1384" s="10"/>
      <c r="ET1384" s="10"/>
      <c r="EU1384" s="10"/>
      <c r="EV1384" s="10"/>
      <c r="EW1384" s="10"/>
      <c r="EX1384" s="10"/>
      <c r="EY1384" s="10"/>
      <c r="EZ1384" s="10"/>
      <c r="FA1384" s="10"/>
      <c r="FB1384" s="10"/>
      <c r="FC1384" s="10"/>
      <c r="FD1384" s="10"/>
      <c r="FE1384" s="10"/>
      <c r="FF1384" s="10"/>
      <c r="FG1384" s="10"/>
      <c r="FH1384" s="10"/>
      <c r="FI1384" s="10"/>
      <c r="FJ1384" s="10"/>
      <c r="FK1384" s="10"/>
      <c r="FL1384" s="10"/>
      <c r="FM1384" s="10"/>
      <c r="FN1384" s="10"/>
      <c r="FO1384" s="10"/>
      <c r="FP1384" s="10"/>
      <c r="FQ1384" s="10"/>
      <c r="FR1384" s="10"/>
      <c r="FS1384" s="10"/>
      <c r="FT1384" s="10"/>
      <c r="FU1384" s="10"/>
      <c r="FV1384" s="10"/>
      <c r="FW1384" s="10"/>
      <c r="FX1384" s="10"/>
      <c r="FY1384" s="10"/>
      <c r="FZ1384" s="10"/>
      <c r="GA1384" s="10"/>
      <c r="GB1384" s="10"/>
      <c r="GC1384" s="10"/>
      <c r="GD1384" s="10"/>
      <c r="GE1384" s="10"/>
      <c r="GF1384" s="10"/>
      <c r="GG1384" s="10"/>
      <c r="GH1384" s="10"/>
      <c r="GI1384" s="10"/>
      <c r="GJ1384" s="10"/>
      <c r="GK1384" s="10"/>
      <c r="GL1384" s="10"/>
      <c r="GM1384" s="10"/>
      <c r="GN1384" s="10"/>
      <c r="GO1384" s="10"/>
      <c r="GP1384" s="10"/>
      <c r="GQ1384" s="10"/>
      <c r="GR1384" s="10"/>
      <c r="GS1384" s="10"/>
      <c r="GT1384" s="10"/>
      <c r="GU1384" s="10"/>
      <c r="GV1384" s="10"/>
      <c r="GW1384" s="10"/>
      <c r="GX1384" s="10"/>
      <c r="GY1384" s="10"/>
      <c r="GZ1384" s="10"/>
      <c r="HA1384" s="10"/>
      <c r="HB1384" s="10"/>
      <c r="HC1384" s="10"/>
      <c r="HD1384" s="10"/>
      <c r="HE1384" s="10"/>
      <c r="HF1384" s="10"/>
      <c r="HG1384" s="10"/>
      <c r="HH1384" s="10"/>
      <c r="HI1384" s="10"/>
      <c r="HJ1384" s="10"/>
      <c r="HK1384" s="10"/>
      <c r="HL1384" s="10"/>
      <c r="HM1384" s="10"/>
      <c r="HN1384" s="10"/>
      <c r="HO1384" s="10"/>
      <c r="HP1384" s="10"/>
      <c r="HQ1384" s="10"/>
      <c r="HR1384" s="10"/>
      <c r="HS1384" s="10"/>
      <c r="HT1384" s="10"/>
      <c r="HU1384" s="10"/>
      <c r="HV1384" s="10"/>
      <c r="HW1384" s="10"/>
      <c r="HX1384" s="10"/>
      <c r="HY1384" s="10"/>
      <c r="HZ1384" s="10"/>
      <c r="IA1384" s="10"/>
      <c r="IB1384" s="10"/>
      <c r="IC1384" s="10"/>
      <c r="ID1384" s="10"/>
      <c r="IE1384" s="10"/>
      <c r="IF1384" s="10"/>
      <c r="IG1384" s="10"/>
      <c r="IH1384" s="10"/>
      <c r="II1384" s="10"/>
      <c r="IJ1384" s="10"/>
      <c r="IK1384" s="10"/>
      <c r="IL1384" s="10"/>
      <c r="IM1384" s="10"/>
      <c r="IN1384" s="10"/>
      <c r="IO1384" s="10"/>
      <c r="IP1384" s="10"/>
      <c r="IQ1384" s="10"/>
      <c r="IR1384" s="10"/>
      <c r="IS1384" s="10"/>
      <c r="IT1384" s="10"/>
      <c r="IU1384" s="10"/>
    </row>
    <row r="1385" spans="1:255" s="87" customFormat="1" ht="70">
      <c r="A1385" s="11"/>
      <c r="B1385" s="11"/>
      <c r="E1385" s="88"/>
      <c r="F1385" s="105" t="s">
        <v>2094</v>
      </c>
      <c r="G1385"/>
      <c r="I1385" s="92"/>
      <c r="K1385" s="84"/>
      <c r="L1385" s="73"/>
      <c r="M1385" s="73"/>
      <c r="N1385" s="73"/>
      <c r="O1385" s="8"/>
      <c r="P1385" s="9"/>
      <c r="Q1385" s="10"/>
      <c r="R1385" s="10"/>
      <c r="S1385" s="10"/>
      <c r="T1385" s="10"/>
      <c r="U1385" s="10"/>
      <c r="V1385" s="10"/>
      <c r="W1385" s="10"/>
      <c r="X1385" s="10"/>
      <c r="Y1385" s="10"/>
      <c r="Z1385" s="10"/>
      <c r="AA1385" s="10"/>
      <c r="AB1385" s="10"/>
      <c r="AC1385" s="10"/>
      <c r="AD1385" s="10"/>
      <c r="AE1385" s="10"/>
      <c r="AF1385" s="10"/>
      <c r="AG1385" s="10"/>
      <c r="AH1385" s="10"/>
      <c r="AI1385" s="10"/>
      <c r="AJ1385" s="10"/>
      <c r="AK1385" s="10"/>
      <c r="AL1385" s="10"/>
      <c r="AM1385" s="10"/>
      <c r="AN1385" s="10"/>
      <c r="AO1385" s="10"/>
      <c r="AP1385" s="10"/>
      <c r="AQ1385" s="10"/>
      <c r="AR1385" s="10"/>
      <c r="AS1385" s="10"/>
      <c r="AT1385" s="10"/>
      <c r="AU1385" s="10"/>
      <c r="AV1385" s="10"/>
      <c r="AW1385" s="10"/>
      <c r="AX1385" s="10"/>
      <c r="AY1385" s="10"/>
      <c r="AZ1385" s="10"/>
      <c r="BA1385" s="10"/>
      <c r="BB1385" s="10"/>
      <c r="BC1385" s="10"/>
      <c r="BD1385" s="10"/>
      <c r="BE1385" s="10"/>
      <c r="BF1385" s="10"/>
      <c r="BG1385" s="10"/>
      <c r="BH1385" s="10"/>
      <c r="BI1385" s="10"/>
      <c r="BJ1385" s="10"/>
      <c r="BK1385" s="10"/>
      <c r="BL1385" s="10"/>
      <c r="BM1385" s="10"/>
      <c r="BN1385" s="10"/>
      <c r="BO1385" s="10"/>
      <c r="BP1385" s="10"/>
      <c r="BQ1385" s="10"/>
      <c r="BR1385" s="10"/>
      <c r="BS1385" s="10"/>
      <c r="BT1385" s="10"/>
      <c r="BU1385" s="10"/>
      <c r="BV1385" s="10"/>
      <c r="BW1385" s="10"/>
      <c r="BX1385" s="10"/>
      <c r="BY1385" s="10"/>
      <c r="BZ1385" s="10"/>
      <c r="CA1385" s="10"/>
      <c r="CB1385" s="10"/>
      <c r="CC1385" s="10"/>
      <c r="CD1385" s="10"/>
      <c r="CE1385" s="10"/>
      <c r="CF1385" s="10"/>
      <c r="CG1385" s="10"/>
      <c r="CH1385" s="10"/>
      <c r="CI1385" s="10"/>
      <c r="CJ1385" s="10"/>
      <c r="CK1385" s="10"/>
      <c r="CL1385" s="10"/>
      <c r="CM1385" s="10"/>
      <c r="CN1385" s="10"/>
      <c r="CO1385" s="10"/>
      <c r="CP1385" s="10"/>
      <c r="CQ1385" s="10"/>
      <c r="CR1385" s="10"/>
      <c r="CS1385" s="10"/>
      <c r="CT1385" s="10"/>
      <c r="CU1385" s="10"/>
      <c r="CV1385" s="10"/>
      <c r="CW1385" s="10"/>
      <c r="CX1385" s="10"/>
      <c r="CY1385" s="10"/>
      <c r="CZ1385" s="10"/>
      <c r="DA1385" s="10"/>
      <c r="DB1385" s="10"/>
      <c r="DC1385" s="10"/>
      <c r="DD1385" s="10"/>
      <c r="DE1385" s="10"/>
      <c r="DF1385" s="10"/>
      <c r="DG1385" s="10"/>
      <c r="DH1385" s="10"/>
      <c r="DI1385" s="10"/>
      <c r="DJ1385" s="10"/>
      <c r="DK1385" s="10"/>
      <c r="DL1385" s="10"/>
      <c r="DM1385" s="10"/>
      <c r="DN1385" s="10"/>
      <c r="DO1385" s="10"/>
      <c r="DP1385" s="10"/>
      <c r="DQ1385" s="10"/>
      <c r="DR1385" s="10"/>
      <c r="DS1385" s="10"/>
      <c r="DT1385" s="10"/>
      <c r="DU1385" s="10"/>
      <c r="DV1385" s="10"/>
      <c r="DW1385" s="10"/>
      <c r="DX1385" s="10"/>
      <c r="DY1385" s="10"/>
      <c r="DZ1385" s="10"/>
      <c r="EA1385" s="10"/>
      <c r="EB1385" s="10"/>
      <c r="EC1385" s="10"/>
      <c r="ED1385" s="10"/>
      <c r="EE1385" s="10"/>
      <c r="EF1385" s="10"/>
      <c r="EG1385" s="10"/>
      <c r="EH1385" s="10"/>
      <c r="EI1385" s="10"/>
      <c r="EJ1385" s="10"/>
      <c r="EK1385" s="10"/>
      <c r="EL1385" s="10"/>
      <c r="EM1385" s="10"/>
      <c r="EN1385" s="10"/>
      <c r="EO1385" s="10"/>
      <c r="EP1385" s="10"/>
      <c r="EQ1385" s="10"/>
      <c r="ER1385" s="10"/>
      <c r="ES1385" s="10"/>
      <c r="ET1385" s="10"/>
      <c r="EU1385" s="10"/>
      <c r="EV1385" s="10"/>
      <c r="EW1385" s="10"/>
      <c r="EX1385" s="10"/>
      <c r="EY1385" s="10"/>
      <c r="EZ1385" s="10"/>
      <c r="FA1385" s="10"/>
      <c r="FB1385" s="10"/>
      <c r="FC1385" s="10"/>
      <c r="FD1385" s="10"/>
      <c r="FE1385" s="10"/>
      <c r="FF1385" s="10"/>
      <c r="FG1385" s="10"/>
      <c r="FH1385" s="10"/>
      <c r="FI1385" s="10"/>
      <c r="FJ1385" s="10"/>
      <c r="FK1385" s="10"/>
      <c r="FL1385" s="10"/>
      <c r="FM1385" s="10"/>
      <c r="FN1385" s="10"/>
      <c r="FO1385" s="10"/>
      <c r="FP1385" s="10"/>
      <c r="FQ1385" s="10"/>
      <c r="FR1385" s="10"/>
      <c r="FS1385" s="10"/>
      <c r="FT1385" s="10"/>
      <c r="FU1385" s="10"/>
      <c r="FV1385" s="10"/>
      <c r="FW1385" s="10"/>
      <c r="FX1385" s="10"/>
      <c r="FY1385" s="10"/>
      <c r="FZ1385" s="10"/>
      <c r="GA1385" s="10"/>
      <c r="GB1385" s="10"/>
      <c r="GC1385" s="10"/>
      <c r="GD1385" s="10"/>
      <c r="GE1385" s="10"/>
      <c r="GF1385" s="10"/>
      <c r="GG1385" s="10"/>
      <c r="GH1385" s="10"/>
      <c r="GI1385" s="10"/>
      <c r="GJ1385" s="10"/>
      <c r="GK1385" s="10"/>
      <c r="GL1385" s="10"/>
      <c r="GM1385" s="10"/>
      <c r="GN1385" s="10"/>
      <c r="GO1385" s="10"/>
      <c r="GP1385" s="10"/>
      <c r="GQ1385" s="10"/>
      <c r="GR1385" s="10"/>
      <c r="GS1385" s="10"/>
      <c r="GT1385" s="10"/>
      <c r="GU1385" s="10"/>
      <c r="GV1385" s="10"/>
      <c r="GW1385" s="10"/>
      <c r="GX1385" s="10"/>
      <c r="GY1385" s="10"/>
      <c r="GZ1385" s="10"/>
      <c r="HA1385" s="10"/>
      <c r="HB1385" s="10"/>
      <c r="HC1385" s="10"/>
      <c r="HD1385" s="10"/>
      <c r="HE1385" s="10"/>
      <c r="HF1385" s="10"/>
      <c r="HG1385" s="10"/>
      <c r="HH1385" s="10"/>
      <c r="HI1385" s="10"/>
      <c r="HJ1385" s="10"/>
      <c r="HK1385" s="10"/>
      <c r="HL1385" s="10"/>
      <c r="HM1385" s="10"/>
      <c r="HN1385" s="10"/>
      <c r="HO1385" s="10"/>
      <c r="HP1385" s="10"/>
      <c r="HQ1385" s="10"/>
      <c r="HR1385" s="10"/>
      <c r="HS1385" s="10"/>
      <c r="HT1385" s="10"/>
      <c r="HU1385" s="10"/>
      <c r="HV1385" s="10"/>
      <c r="HW1385" s="10"/>
      <c r="HX1385" s="10"/>
      <c r="HY1385" s="10"/>
      <c r="HZ1385" s="10"/>
      <c r="IA1385" s="10"/>
      <c r="IB1385" s="10"/>
      <c r="IC1385" s="10"/>
      <c r="ID1385" s="10"/>
      <c r="IE1385" s="10"/>
      <c r="IF1385" s="10"/>
      <c r="IG1385" s="10"/>
      <c r="IH1385" s="10"/>
      <c r="II1385" s="10"/>
      <c r="IJ1385" s="10"/>
      <c r="IK1385" s="10"/>
      <c r="IL1385" s="10"/>
      <c r="IM1385" s="10"/>
      <c r="IN1385" s="10"/>
      <c r="IO1385" s="10"/>
      <c r="IP1385" s="10"/>
      <c r="IQ1385" s="10"/>
      <c r="IR1385" s="10"/>
      <c r="IS1385" s="10"/>
      <c r="IT1385" s="10"/>
      <c r="IU1385" s="10"/>
    </row>
    <row r="1386" spans="1:255" s="87" customFormat="1" ht="84">
      <c r="A1386" s="11"/>
      <c r="B1386" s="11"/>
      <c r="E1386" s="88"/>
      <c r="F1386" s="105" t="s">
        <v>2095</v>
      </c>
      <c r="G1386"/>
      <c r="I1386" s="92"/>
      <c r="K1386" s="84"/>
      <c r="L1386" s="73"/>
      <c r="M1386" s="73"/>
      <c r="N1386" s="73"/>
      <c r="O1386" s="8"/>
      <c r="P1386" s="9"/>
      <c r="Q1386" s="10"/>
      <c r="R1386" s="10"/>
      <c r="S1386" s="10"/>
      <c r="T1386" s="10"/>
      <c r="U1386" s="10"/>
      <c r="V1386" s="10"/>
      <c r="W1386" s="10"/>
      <c r="X1386" s="10"/>
      <c r="Y1386" s="10"/>
      <c r="Z1386" s="10"/>
      <c r="AA1386" s="10"/>
      <c r="AB1386" s="10"/>
      <c r="AC1386" s="10"/>
      <c r="AD1386" s="10"/>
      <c r="AE1386" s="10"/>
      <c r="AF1386" s="10"/>
      <c r="AG1386" s="10"/>
      <c r="AH1386" s="10"/>
      <c r="AI1386" s="10"/>
      <c r="AJ1386" s="10"/>
      <c r="AK1386" s="10"/>
      <c r="AL1386" s="10"/>
      <c r="AM1386" s="10"/>
      <c r="AN1386" s="10"/>
      <c r="AO1386" s="10"/>
      <c r="AP1386" s="10"/>
      <c r="AQ1386" s="10"/>
      <c r="AR1386" s="10"/>
      <c r="AS1386" s="10"/>
      <c r="AT1386" s="10"/>
      <c r="AU1386" s="10"/>
      <c r="AV1386" s="10"/>
      <c r="AW1386" s="10"/>
      <c r="AX1386" s="10"/>
      <c r="AY1386" s="10"/>
      <c r="AZ1386" s="10"/>
      <c r="BA1386" s="10"/>
      <c r="BB1386" s="10"/>
      <c r="BC1386" s="10"/>
      <c r="BD1386" s="10"/>
      <c r="BE1386" s="10"/>
      <c r="BF1386" s="10"/>
      <c r="BG1386" s="10"/>
      <c r="BH1386" s="10"/>
      <c r="BI1386" s="10"/>
      <c r="BJ1386" s="10"/>
      <c r="BK1386" s="10"/>
      <c r="BL1386" s="10"/>
      <c r="BM1386" s="10"/>
      <c r="BN1386" s="10"/>
      <c r="BO1386" s="10"/>
      <c r="BP1386" s="10"/>
      <c r="BQ1386" s="10"/>
      <c r="BR1386" s="10"/>
      <c r="BS1386" s="10"/>
      <c r="BT1386" s="10"/>
      <c r="BU1386" s="10"/>
      <c r="BV1386" s="10"/>
      <c r="BW1386" s="10"/>
      <c r="BX1386" s="10"/>
      <c r="BY1386" s="10"/>
      <c r="BZ1386" s="10"/>
      <c r="CA1386" s="10"/>
      <c r="CB1386" s="10"/>
      <c r="CC1386" s="10"/>
      <c r="CD1386" s="10"/>
      <c r="CE1386" s="10"/>
      <c r="CF1386" s="10"/>
      <c r="CG1386" s="10"/>
      <c r="CH1386" s="10"/>
      <c r="CI1386" s="10"/>
      <c r="CJ1386" s="10"/>
      <c r="CK1386" s="10"/>
      <c r="CL1386" s="10"/>
      <c r="CM1386" s="10"/>
      <c r="CN1386" s="10"/>
      <c r="CO1386" s="10"/>
      <c r="CP1386" s="10"/>
      <c r="CQ1386" s="10"/>
      <c r="CR1386" s="10"/>
      <c r="CS1386" s="10"/>
      <c r="CT1386" s="10"/>
      <c r="CU1386" s="10"/>
      <c r="CV1386" s="10"/>
      <c r="CW1386" s="10"/>
      <c r="CX1386" s="10"/>
      <c r="CY1386" s="10"/>
      <c r="CZ1386" s="10"/>
      <c r="DA1386" s="10"/>
      <c r="DB1386" s="10"/>
      <c r="DC1386" s="10"/>
      <c r="DD1386" s="10"/>
      <c r="DE1386" s="10"/>
      <c r="DF1386" s="10"/>
      <c r="DG1386" s="10"/>
      <c r="DH1386" s="10"/>
      <c r="DI1386" s="10"/>
      <c r="DJ1386" s="10"/>
      <c r="DK1386" s="10"/>
      <c r="DL1386" s="10"/>
      <c r="DM1386" s="10"/>
      <c r="DN1386" s="10"/>
      <c r="DO1386" s="10"/>
      <c r="DP1386" s="10"/>
      <c r="DQ1386" s="10"/>
      <c r="DR1386" s="10"/>
      <c r="DS1386" s="10"/>
      <c r="DT1386" s="10"/>
      <c r="DU1386" s="10"/>
      <c r="DV1386" s="10"/>
      <c r="DW1386" s="10"/>
      <c r="DX1386" s="10"/>
      <c r="DY1386" s="10"/>
      <c r="DZ1386" s="10"/>
      <c r="EA1386" s="10"/>
      <c r="EB1386" s="10"/>
      <c r="EC1386" s="10"/>
      <c r="ED1386" s="10"/>
      <c r="EE1386" s="10"/>
      <c r="EF1386" s="10"/>
      <c r="EG1386" s="10"/>
      <c r="EH1386" s="10"/>
      <c r="EI1386" s="10"/>
      <c r="EJ1386" s="10"/>
      <c r="EK1386" s="10"/>
      <c r="EL1386" s="10"/>
      <c r="EM1386" s="10"/>
      <c r="EN1386" s="10"/>
      <c r="EO1386" s="10"/>
      <c r="EP1386" s="10"/>
      <c r="EQ1386" s="10"/>
      <c r="ER1386" s="10"/>
      <c r="ES1386" s="10"/>
      <c r="ET1386" s="10"/>
      <c r="EU1386" s="10"/>
      <c r="EV1386" s="10"/>
      <c r="EW1386" s="10"/>
      <c r="EX1386" s="10"/>
      <c r="EY1386" s="10"/>
      <c r="EZ1386" s="10"/>
      <c r="FA1386" s="10"/>
      <c r="FB1386" s="10"/>
      <c r="FC1386" s="10"/>
      <c r="FD1386" s="10"/>
      <c r="FE1386" s="10"/>
      <c r="FF1386" s="10"/>
      <c r="FG1386" s="10"/>
      <c r="FH1386" s="10"/>
      <c r="FI1386" s="10"/>
      <c r="FJ1386" s="10"/>
      <c r="FK1386" s="10"/>
      <c r="FL1386" s="10"/>
      <c r="FM1386" s="10"/>
      <c r="FN1386" s="10"/>
      <c r="FO1386" s="10"/>
      <c r="FP1386" s="10"/>
      <c r="FQ1386" s="10"/>
      <c r="FR1386" s="10"/>
      <c r="FS1386" s="10"/>
      <c r="FT1386" s="10"/>
      <c r="FU1386" s="10"/>
      <c r="FV1386" s="10"/>
      <c r="FW1386" s="10"/>
      <c r="FX1386" s="10"/>
      <c r="FY1386" s="10"/>
      <c r="FZ1386" s="10"/>
      <c r="GA1386" s="10"/>
      <c r="GB1386" s="10"/>
      <c r="GC1386" s="10"/>
      <c r="GD1386" s="10"/>
      <c r="GE1386" s="10"/>
      <c r="GF1386" s="10"/>
      <c r="GG1386" s="10"/>
      <c r="GH1386" s="10"/>
      <c r="GI1386" s="10"/>
      <c r="GJ1386" s="10"/>
      <c r="GK1386" s="10"/>
      <c r="GL1386" s="10"/>
      <c r="GM1386" s="10"/>
      <c r="GN1386" s="10"/>
      <c r="GO1386" s="10"/>
      <c r="GP1386" s="10"/>
      <c r="GQ1386" s="10"/>
      <c r="GR1386" s="10"/>
      <c r="GS1386" s="10"/>
      <c r="GT1386" s="10"/>
      <c r="GU1386" s="10"/>
      <c r="GV1386" s="10"/>
      <c r="GW1386" s="10"/>
      <c r="GX1386" s="10"/>
      <c r="GY1386" s="10"/>
      <c r="GZ1386" s="10"/>
      <c r="HA1386" s="10"/>
      <c r="HB1386" s="10"/>
      <c r="HC1386" s="10"/>
      <c r="HD1386" s="10"/>
      <c r="HE1386" s="10"/>
      <c r="HF1386" s="10"/>
      <c r="HG1386" s="10"/>
      <c r="HH1386" s="10"/>
      <c r="HI1386" s="10"/>
      <c r="HJ1386" s="10"/>
      <c r="HK1386" s="10"/>
      <c r="HL1386" s="10"/>
      <c r="HM1386" s="10"/>
      <c r="HN1386" s="10"/>
      <c r="HO1386" s="10"/>
      <c r="HP1386" s="10"/>
      <c r="HQ1386" s="10"/>
      <c r="HR1386" s="10"/>
      <c r="HS1386" s="10"/>
      <c r="HT1386" s="10"/>
      <c r="HU1386" s="10"/>
      <c r="HV1386" s="10"/>
      <c r="HW1386" s="10"/>
      <c r="HX1386" s="10"/>
      <c r="HY1386" s="10"/>
      <c r="HZ1386" s="10"/>
      <c r="IA1386" s="10"/>
      <c r="IB1386" s="10"/>
      <c r="IC1386" s="10"/>
      <c r="ID1386" s="10"/>
      <c r="IE1386" s="10"/>
      <c r="IF1386" s="10"/>
      <c r="IG1386" s="10"/>
      <c r="IH1386" s="10"/>
      <c r="II1386" s="10"/>
      <c r="IJ1386" s="10"/>
      <c r="IK1386" s="10"/>
      <c r="IL1386" s="10"/>
      <c r="IM1386" s="10"/>
      <c r="IN1386" s="10"/>
      <c r="IO1386" s="10"/>
      <c r="IP1386" s="10"/>
      <c r="IQ1386" s="10"/>
      <c r="IR1386" s="10"/>
      <c r="IS1386" s="10"/>
      <c r="IT1386" s="10"/>
      <c r="IU1386" s="10"/>
    </row>
    <row r="1387" spans="1:255" s="87" customFormat="1" ht="182">
      <c r="A1387" s="11"/>
      <c r="B1387" s="11"/>
      <c r="E1387" s="88"/>
      <c r="F1387" s="105" t="s">
        <v>2096</v>
      </c>
      <c r="G1387"/>
      <c r="I1387" s="92"/>
      <c r="K1387" s="84"/>
      <c r="L1387" s="73"/>
      <c r="M1387" s="73"/>
      <c r="N1387" s="73"/>
      <c r="O1387" s="8"/>
      <c r="P1387" s="9"/>
      <c r="Q1387" s="10"/>
      <c r="R1387" s="10"/>
      <c r="S1387" s="10"/>
      <c r="T1387" s="10"/>
      <c r="U1387" s="10"/>
      <c r="V1387" s="10"/>
      <c r="W1387" s="10"/>
      <c r="X1387" s="10"/>
      <c r="Y1387" s="10"/>
      <c r="Z1387" s="10"/>
      <c r="AA1387" s="10"/>
      <c r="AB1387" s="10"/>
      <c r="AC1387" s="10"/>
      <c r="AD1387" s="10"/>
      <c r="AE1387" s="10"/>
      <c r="AF1387" s="10"/>
      <c r="AG1387" s="10"/>
      <c r="AH1387" s="10"/>
      <c r="AI1387" s="10"/>
      <c r="AJ1387" s="10"/>
      <c r="AK1387" s="10"/>
      <c r="AL1387" s="10"/>
      <c r="AM1387" s="10"/>
      <c r="AN1387" s="10"/>
      <c r="AO1387" s="10"/>
      <c r="AP1387" s="10"/>
      <c r="AQ1387" s="10"/>
      <c r="AR1387" s="10"/>
      <c r="AS1387" s="10"/>
      <c r="AT1387" s="10"/>
      <c r="AU1387" s="10"/>
      <c r="AV1387" s="10"/>
      <c r="AW1387" s="10"/>
      <c r="AX1387" s="10"/>
      <c r="AY1387" s="10"/>
      <c r="AZ1387" s="10"/>
      <c r="BA1387" s="10"/>
      <c r="BB1387" s="10"/>
      <c r="BC1387" s="10"/>
      <c r="BD1387" s="10"/>
      <c r="BE1387" s="10"/>
      <c r="BF1387" s="10"/>
      <c r="BG1387" s="10"/>
      <c r="BH1387" s="10"/>
      <c r="BI1387" s="10"/>
      <c r="BJ1387" s="10"/>
      <c r="BK1387" s="10"/>
      <c r="BL1387" s="10"/>
      <c r="BM1387" s="10"/>
      <c r="BN1387" s="10"/>
      <c r="BO1387" s="10"/>
      <c r="BP1387" s="10"/>
      <c r="BQ1387" s="10"/>
      <c r="BR1387" s="10"/>
      <c r="BS1387" s="10"/>
      <c r="BT1387" s="10"/>
      <c r="BU1387" s="10"/>
      <c r="BV1387" s="10"/>
      <c r="BW1387" s="10"/>
      <c r="BX1387" s="10"/>
      <c r="BY1387" s="10"/>
      <c r="BZ1387" s="10"/>
      <c r="CA1387" s="10"/>
      <c r="CB1387" s="10"/>
      <c r="CC1387" s="10"/>
      <c r="CD1387" s="10"/>
      <c r="CE1387" s="10"/>
      <c r="CF1387" s="10"/>
      <c r="CG1387" s="10"/>
      <c r="CH1387" s="10"/>
      <c r="CI1387" s="10"/>
      <c r="CJ1387" s="10"/>
      <c r="CK1387" s="10"/>
      <c r="CL1387" s="10"/>
      <c r="CM1387" s="10"/>
      <c r="CN1387" s="10"/>
      <c r="CO1387" s="10"/>
      <c r="CP1387" s="10"/>
      <c r="CQ1387" s="10"/>
      <c r="CR1387" s="10"/>
      <c r="CS1387" s="10"/>
      <c r="CT1387" s="10"/>
      <c r="CU1387" s="10"/>
      <c r="CV1387" s="10"/>
      <c r="CW1387" s="10"/>
      <c r="CX1387" s="10"/>
      <c r="CY1387" s="10"/>
      <c r="CZ1387" s="10"/>
      <c r="DA1387" s="10"/>
      <c r="DB1387" s="10"/>
      <c r="DC1387" s="10"/>
      <c r="DD1387" s="10"/>
      <c r="DE1387" s="10"/>
      <c r="DF1387" s="10"/>
      <c r="DG1387" s="10"/>
      <c r="DH1387" s="10"/>
      <c r="DI1387" s="10"/>
      <c r="DJ1387" s="10"/>
      <c r="DK1387" s="10"/>
      <c r="DL1387" s="10"/>
      <c r="DM1387" s="10"/>
      <c r="DN1387" s="10"/>
      <c r="DO1387" s="10"/>
      <c r="DP1387" s="10"/>
      <c r="DQ1387" s="10"/>
      <c r="DR1387" s="10"/>
      <c r="DS1387" s="10"/>
      <c r="DT1387" s="10"/>
      <c r="DU1387" s="10"/>
      <c r="DV1387" s="10"/>
      <c r="DW1387" s="10"/>
      <c r="DX1387" s="10"/>
      <c r="DY1387" s="10"/>
      <c r="DZ1387" s="10"/>
      <c r="EA1387" s="10"/>
      <c r="EB1387" s="10"/>
      <c r="EC1387" s="10"/>
      <c r="ED1387" s="10"/>
      <c r="EE1387" s="10"/>
      <c r="EF1387" s="10"/>
      <c r="EG1387" s="10"/>
      <c r="EH1387" s="10"/>
      <c r="EI1387" s="10"/>
      <c r="EJ1387" s="10"/>
      <c r="EK1387" s="10"/>
      <c r="EL1387" s="10"/>
      <c r="EM1387" s="10"/>
      <c r="EN1387" s="10"/>
      <c r="EO1387" s="10"/>
      <c r="EP1387" s="10"/>
      <c r="EQ1387" s="10"/>
      <c r="ER1387" s="10"/>
      <c r="ES1387" s="10"/>
      <c r="ET1387" s="10"/>
      <c r="EU1387" s="10"/>
      <c r="EV1387" s="10"/>
      <c r="EW1387" s="10"/>
      <c r="EX1387" s="10"/>
      <c r="EY1387" s="10"/>
      <c r="EZ1387" s="10"/>
      <c r="FA1387" s="10"/>
      <c r="FB1387" s="10"/>
      <c r="FC1387" s="10"/>
      <c r="FD1387" s="10"/>
      <c r="FE1387" s="10"/>
      <c r="FF1387" s="10"/>
      <c r="FG1387" s="10"/>
      <c r="FH1387" s="10"/>
      <c r="FI1387" s="10"/>
      <c r="FJ1387" s="10"/>
      <c r="FK1387" s="10"/>
      <c r="FL1387" s="10"/>
      <c r="FM1387" s="10"/>
      <c r="FN1387" s="10"/>
      <c r="FO1387" s="10"/>
      <c r="FP1387" s="10"/>
      <c r="FQ1387" s="10"/>
      <c r="FR1387" s="10"/>
      <c r="FS1387" s="10"/>
      <c r="FT1387" s="10"/>
      <c r="FU1387" s="10"/>
      <c r="FV1387" s="10"/>
      <c r="FW1387" s="10"/>
      <c r="FX1387" s="10"/>
      <c r="FY1387" s="10"/>
      <c r="FZ1387" s="10"/>
      <c r="GA1387" s="10"/>
      <c r="GB1387" s="10"/>
      <c r="GC1387" s="10"/>
      <c r="GD1387" s="10"/>
      <c r="GE1387" s="10"/>
      <c r="GF1387" s="10"/>
      <c r="GG1387" s="10"/>
      <c r="GH1387" s="10"/>
      <c r="GI1387" s="10"/>
      <c r="GJ1387" s="10"/>
      <c r="GK1387" s="10"/>
      <c r="GL1387" s="10"/>
      <c r="GM1387" s="10"/>
      <c r="GN1387" s="10"/>
      <c r="GO1387" s="10"/>
      <c r="GP1387" s="10"/>
      <c r="GQ1387" s="10"/>
      <c r="GR1387" s="10"/>
      <c r="GS1387" s="10"/>
      <c r="GT1387" s="10"/>
      <c r="GU1387" s="10"/>
      <c r="GV1387" s="10"/>
      <c r="GW1387" s="10"/>
      <c r="GX1387" s="10"/>
      <c r="GY1387" s="10"/>
      <c r="GZ1387" s="10"/>
      <c r="HA1387" s="10"/>
      <c r="HB1387" s="10"/>
      <c r="HC1387" s="10"/>
      <c r="HD1387" s="10"/>
      <c r="HE1387" s="10"/>
      <c r="HF1387" s="10"/>
      <c r="HG1387" s="10"/>
      <c r="HH1387" s="10"/>
      <c r="HI1387" s="10"/>
      <c r="HJ1387" s="10"/>
      <c r="HK1387" s="10"/>
      <c r="HL1387" s="10"/>
      <c r="HM1387" s="10"/>
      <c r="HN1387" s="10"/>
      <c r="HO1387" s="10"/>
      <c r="HP1387" s="10"/>
      <c r="HQ1387" s="10"/>
      <c r="HR1387" s="10"/>
      <c r="HS1387" s="10"/>
      <c r="HT1387" s="10"/>
      <c r="HU1387" s="10"/>
      <c r="HV1387" s="10"/>
      <c r="HW1387" s="10"/>
      <c r="HX1387" s="10"/>
      <c r="HY1387" s="10"/>
      <c r="HZ1387" s="10"/>
      <c r="IA1387" s="10"/>
      <c r="IB1387" s="10"/>
      <c r="IC1387" s="10"/>
      <c r="ID1387" s="10"/>
      <c r="IE1387" s="10"/>
      <c r="IF1387" s="10"/>
      <c r="IG1387" s="10"/>
      <c r="IH1387" s="10"/>
      <c r="II1387" s="10"/>
      <c r="IJ1387" s="10"/>
      <c r="IK1387" s="10"/>
      <c r="IL1387" s="10"/>
      <c r="IM1387" s="10"/>
      <c r="IN1387" s="10"/>
      <c r="IO1387" s="10"/>
      <c r="IP1387" s="10"/>
      <c r="IQ1387" s="10"/>
      <c r="IR1387" s="10"/>
      <c r="IS1387" s="10"/>
      <c r="IT1387" s="10"/>
      <c r="IU1387" s="10"/>
    </row>
    <row r="1388" spans="1:255" s="87" customFormat="1" ht="70">
      <c r="A1388" s="11"/>
      <c r="B1388" s="11"/>
      <c r="E1388" s="88"/>
      <c r="F1388" s="105" t="s">
        <v>2097</v>
      </c>
      <c r="G1388"/>
      <c r="I1388" s="92"/>
      <c r="K1388" s="84"/>
      <c r="L1388" s="73"/>
      <c r="M1388" s="73"/>
      <c r="N1388" s="73"/>
      <c r="O1388" s="8"/>
      <c r="P1388" s="9"/>
      <c r="Q1388" s="10"/>
      <c r="R1388" s="10"/>
      <c r="S1388" s="10"/>
      <c r="T1388" s="10"/>
      <c r="U1388" s="10"/>
      <c r="V1388" s="10"/>
      <c r="W1388" s="10"/>
      <c r="X1388" s="10"/>
      <c r="Y1388" s="10"/>
      <c r="Z1388" s="10"/>
      <c r="AA1388" s="10"/>
      <c r="AB1388" s="10"/>
      <c r="AC1388" s="10"/>
      <c r="AD1388" s="10"/>
      <c r="AE1388" s="10"/>
      <c r="AF1388" s="10"/>
      <c r="AG1388" s="10"/>
      <c r="AH1388" s="10"/>
      <c r="AI1388" s="10"/>
      <c r="AJ1388" s="10"/>
      <c r="AK1388" s="10"/>
      <c r="AL1388" s="10"/>
      <c r="AM1388" s="10"/>
      <c r="AN1388" s="10"/>
      <c r="AO1388" s="10"/>
      <c r="AP1388" s="10"/>
      <c r="AQ1388" s="10"/>
      <c r="AR1388" s="10"/>
      <c r="AS1388" s="10"/>
      <c r="AT1388" s="10"/>
      <c r="AU1388" s="10"/>
      <c r="AV1388" s="10"/>
      <c r="AW1388" s="10"/>
      <c r="AX1388" s="10"/>
      <c r="AY1388" s="10"/>
      <c r="AZ1388" s="10"/>
      <c r="BA1388" s="10"/>
      <c r="BB1388" s="10"/>
      <c r="BC1388" s="10"/>
      <c r="BD1388" s="10"/>
      <c r="BE1388" s="10"/>
      <c r="BF1388" s="10"/>
      <c r="BG1388" s="10"/>
      <c r="BH1388" s="10"/>
      <c r="BI1388" s="10"/>
      <c r="BJ1388" s="10"/>
      <c r="BK1388" s="10"/>
      <c r="BL1388" s="10"/>
      <c r="BM1388" s="10"/>
      <c r="BN1388" s="10"/>
      <c r="BO1388" s="10"/>
      <c r="BP1388" s="10"/>
      <c r="BQ1388" s="10"/>
      <c r="BR1388" s="10"/>
      <c r="BS1388" s="10"/>
      <c r="BT1388" s="10"/>
      <c r="BU1388" s="10"/>
      <c r="BV1388" s="10"/>
      <c r="BW1388" s="10"/>
      <c r="BX1388" s="10"/>
      <c r="BY1388" s="10"/>
      <c r="BZ1388" s="10"/>
      <c r="CA1388" s="10"/>
      <c r="CB1388" s="10"/>
      <c r="CC1388" s="10"/>
      <c r="CD1388" s="10"/>
      <c r="CE1388" s="10"/>
      <c r="CF1388" s="10"/>
      <c r="CG1388" s="10"/>
      <c r="CH1388" s="10"/>
      <c r="CI1388" s="10"/>
      <c r="CJ1388" s="10"/>
      <c r="CK1388" s="10"/>
      <c r="CL1388" s="10"/>
      <c r="CM1388" s="10"/>
      <c r="CN1388" s="10"/>
      <c r="CO1388" s="10"/>
      <c r="CP1388" s="10"/>
      <c r="CQ1388" s="10"/>
      <c r="CR1388" s="10"/>
      <c r="CS1388" s="10"/>
      <c r="CT1388" s="10"/>
      <c r="CU1388" s="10"/>
      <c r="CV1388" s="10"/>
      <c r="CW1388" s="10"/>
      <c r="CX1388" s="10"/>
      <c r="CY1388" s="10"/>
      <c r="CZ1388" s="10"/>
      <c r="DA1388" s="10"/>
      <c r="DB1388" s="10"/>
      <c r="DC1388" s="10"/>
      <c r="DD1388" s="10"/>
      <c r="DE1388" s="10"/>
      <c r="DF1388" s="10"/>
      <c r="DG1388" s="10"/>
      <c r="DH1388" s="10"/>
      <c r="DI1388" s="10"/>
      <c r="DJ1388" s="10"/>
      <c r="DK1388" s="10"/>
      <c r="DL1388" s="10"/>
      <c r="DM1388" s="10"/>
      <c r="DN1388" s="10"/>
      <c r="DO1388" s="10"/>
      <c r="DP1388" s="10"/>
      <c r="DQ1388" s="10"/>
      <c r="DR1388" s="10"/>
      <c r="DS1388" s="10"/>
      <c r="DT1388" s="10"/>
      <c r="DU1388" s="10"/>
      <c r="DV1388" s="10"/>
      <c r="DW1388" s="10"/>
      <c r="DX1388" s="10"/>
      <c r="DY1388" s="10"/>
      <c r="DZ1388" s="10"/>
      <c r="EA1388" s="10"/>
      <c r="EB1388" s="10"/>
      <c r="EC1388" s="10"/>
      <c r="ED1388" s="10"/>
      <c r="EE1388" s="10"/>
      <c r="EF1388" s="10"/>
      <c r="EG1388" s="10"/>
      <c r="EH1388" s="10"/>
      <c r="EI1388" s="10"/>
      <c r="EJ1388" s="10"/>
      <c r="EK1388" s="10"/>
      <c r="EL1388" s="10"/>
      <c r="EM1388" s="10"/>
      <c r="EN1388" s="10"/>
      <c r="EO1388" s="10"/>
      <c r="EP1388" s="10"/>
      <c r="EQ1388" s="10"/>
      <c r="ER1388" s="10"/>
      <c r="ES1388" s="10"/>
      <c r="ET1388" s="10"/>
      <c r="EU1388" s="10"/>
      <c r="EV1388" s="10"/>
      <c r="EW1388" s="10"/>
      <c r="EX1388" s="10"/>
      <c r="EY1388" s="10"/>
      <c r="EZ1388" s="10"/>
      <c r="FA1388" s="10"/>
      <c r="FB1388" s="10"/>
      <c r="FC1388" s="10"/>
      <c r="FD1388" s="10"/>
      <c r="FE1388" s="10"/>
      <c r="FF1388" s="10"/>
      <c r="FG1388" s="10"/>
      <c r="FH1388" s="10"/>
      <c r="FI1388" s="10"/>
      <c r="FJ1388" s="10"/>
      <c r="FK1388" s="10"/>
      <c r="FL1388" s="10"/>
      <c r="FM1388" s="10"/>
      <c r="FN1388" s="10"/>
      <c r="FO1388" s="10"/>
      <c r="FP1388" s="10"/>
      <c r="FQ1388" s="10"/>
      <c r="FR1388" s="10"/>
      <c r="FS1388" s="10"/>
      <c r="FT1388" s="10"/>
      <c r="FU1388" s="10"/>
      <c r="FV1388" s="10"/>
      <c r="FW1388" s="10"/>
      <c r="FX1388" s="10"/>
      <c r="FY1388" s="10"/>
      <c r="FZ1388" s="10"/>
      <c r="GA1388" s="10"/>
      <c r="GB1388" s="10"/>
      <c r="GC1388" s="10"/>
      <c r="GD1388" s="10"/>
      <c r="GE1388" s="10"/>
      <c r="GF1388" s="10"/>
      <c r="GG1388" s="10"/>
      <c r="GH1388" s="10"/>
      <c r="GI1388" s="10"/>
      <c r="GJ1388" s="10"/>
      <c r="GK1388" s="10"/>
      <c r="GL1388" s="10"/>
      <c r="GM1388" s="10"/>
      <c r="GN1388" s="10"/>
      <c r="GO1388" s="10"/>
      <c r="GP1388" s="10"/>
      <c r="GQ1388" s="10"/>
      <c r="GR1388" s="10"/>
      <c r="GS1388" s="10"/>
      <c r="GT1388" s="10"/>
      <c r="GU1388" s="10"/>
      <c r="GV1388" s="10"/>
      <c r="GW1388" s="10"/>
      <c r="GX1388" s="10"/>
      <c r="GY1388" s="10"/>
      <c r="GZ1388" s="10"/>
      <c r="HA1388" s="10"/>
      <c r="HB1388" s="10"/>
      <c r="HC1388" s="10"/>
      <c r="HD1388" s="10"/>
      <c r="HE1388" s="10"/>
      <c r="HF1388" s="10"/>
      <c r="HG1388" s="10"/>
      <c r="HH1388" s="10"/>
      <c r="HI1388" s="10"/>
      <c r="HJ1388" s="10"/>
      <c r="HK1388" s="10"/>
      <c r="HL1388" s="10"/>
      <c r="HM1388" s="10"/>
      <c r="HN1388" s="10"/>
      <c r="HO1388" s="10"/>
      <c r="HP1388" s="10"/>
      <c r="HQ1388" s="10"/>
      <c r="HR1388" s="10"/>
      <c r="HS1388" s="10"/>
      <c r="HT1388" s="10"/>
      <c r="HU1388" s="10"/>
      <c r="HV1388" s="10"/>
      <c r="HW1388" s="10"/>
      <c r="HX1388" s="10"/>
      <c r="HY1388" s="10"/>
      <c r="HZ1388" s="10"/>
      <c r="IA1388" s="10"/>
      <c r="IB1388" s="10"/>
      <c r="IC1388" s="10"/>
      <c r="ID1388" s="10"/>
      <c r="IE1388" s="10"/>
      <c r="IF1388" s="10"/>
      <c r="IG1388" s="10"/>
      <c r="IH1388" s="10"/>
      <c r="II1388" s="10"/>
      <c r="IJ1388" s="10"/>
      <c r="IK1388" s="10"/>
      <c r="IL1388" s="10"/>
      <c r="IM1388" s="10"/>
      <c r="IN1388" s="10"/>
      <c r="IO1388" s="10"/>
      <c r="IP1388" s="10"/>
      <c r="IQ1388" s="10"/>
      <c r="IR1388" s="10"/>
      <c r="IS1388" s="10"/>
      <c r="IT1388" s="10"/>
      <c r="IU1388" s="10"/>
    </row>
    <row r="1389" spans="1:255" s="87" customFormat="1" ht="84">
      <c r="A1389" s="11"/>
      <c r="B1389" s="11"/>
      <c r="E1389" s="88"/>
      <c r="F1389" s="105" t="s">
        <v>2098</v>
      </c>
      <c r="G1389"/>
      <c r="I1389" s="92"/>
      <c r="K1389" s="84"/>
      <c r="L1389" s="73"/>
      <c r="M1389" s="73"/>
      <c r="N1389" s="73"/>
      <c r="O1389" s="8"/>
      <c r="P1389" s="9"/>
      <c r="Q1389" s="10"/>
      <c r="R1389" s="10"/>
      <c r="S1389" s="10"/>
      <c r="T1389" s="10"/>
      <c r="U1389" s="10"/>
      <c r="V1389" s="10"/>
      <c r="W1389" s="10"/>
      <c r="X1389" s="10"/>
      <c r="Y1389" s="10"/>
      <c r="Z1389" s="10"/>
      <c r="AA1389" s="10"/>
      <c r="AB1389" s="10"/>
      <c r="AC1389" s="10"/>
      <c r="AD1389" s="10"/>
      <c r="AE1389" s="10"/>
      <c r="AF1389" s="10"/>
      <c r="AG1389" s="10"/>
      <c r="AH1389" s="10"/>
      <c r="AI1389" s="10"/>
      <c r="AJ1389" s="10"/>
      <c r="AK1389" s="10"/>
      <c r="AL1389" s="10"/>
      <c r="AM1389" s="10"/>
      <c r="AN1389" s="10"/>
      <c r="AO1389" s="10"/>
      <c r="AP1389" s="10"/>
      <c r="AQ1389" s="10"/>
      <c r="AR1389" s="10"/>
      <c r="AS1389" s="10"/>
      <c r="AT1389" s="10"/>
      <c r="AU1389" s="10"/>
      <c r="AV1389" s="10"/>
      <c r="AW1389" s="10"/>
      <c r="AX1389" s="10"/>
      <c r="AY1389" s="10"/>
      <c r="AZ1389" s="10"/>
      <c r="BA1389" s="10"/>
      <c r="BB1389" s="10"/>
      <c r="BC1389" s="10"/>
      <c r="BD1389" s="10"/>
      <c r="BE1389" s="10"/>
      <c r="BF1389" s="10"/>
      <c r="BG1389" s="10"/>
      <c r="BH1389" s="10"/>
      <c r="BI1389" s="10"/>
      <c r="BJ1389" s="10"/>
      <c r="BK1389" s="10"/>
      <c r="BL1389" s="10"/>
      <c r="BM1389" s="10"/>
      <c r="BN1389" s="10"/>
      <c r="BO1389" s="10"/>
      <c r="BP1389" s="10"/>
      <c r="BQ1389" s="10"/>
      <c r="BR1389" s="10"/>
      <c r="BS1389" s="10"/>
      <c r="BT1389" s="10"/>
      <c r="BU1389" s="10"/>
      <c r="BV1389" s="10"/>
      <c r="BW1389" s="10"/>
      <c r="BX1389" s="10"/>
      <c r="BY1389" s="10"/>
      <c r="BZ1389" s="10"/>
      <c r="CA1389" s="10"/>
      <c r="CB1389" s="10"/>
      <c r="CC1389" s="10"/>
      <c r="CD1389" s="10"/>
      <c r="CE1389" s="10"/>
      <c r="CF1389" s="10"/>
      <c r="CG1389" s="10"/>
      <c r="CH1389" s="10"/>
      <c r="CI1389" s="10"/>
      <c r="CJ1389" s="10"/>
      <c r="CK1389" s="10"/>
      <c r="CL1389" s="10"/>
      <c r="CM1389" s="10"/>
      <c r="CN1389" s="10"/>
      <c r="CO1389" s="10"/>
      <c r="CP1389" s="10"/>
      <c r="CQ1389" s="10"/>
      <c r="CR1389" s="10"/>
      <c r="CS1389" s="10"/>
      <c r="CT1389" s="10"/>
      <c r="CU1389" s="10"/>
      <c r="CV1389" s="10"/>
      <c r="CW1389" s="10"/>
      <c r="CX1389" s="10"/>
      <c r="CY1389" s="10"/>
      <c r="CZ1389" s="10"/>
      <c r="DA1389" s="10"/>
      <c r="DB1389" s="10"/>
      <c r="DC1389" s="10"/>
      <c r="DD1389" s="10"/>
      <c r="DE1389" s="10"/>
      <c r="DF1389" s="10"/>
      <c r="DG1389" s="10"/>
      <c r="DH1389" s="10"/>
      <c r="DI1389" s="10"/>
      <c r="DJ1389" s="10"/>
      <c r="DK1389" s="10"/>
      <c r="DL1389" s="10"/>
      <c r="DM1389" s="10"/>
      <c r="DN1389" s="10"/>
      <c r="DO1389" s="10"/>
      <c r="DP1389" s="10"/>
      <c r="DQ1389" s="10"/>
      <c r="DR1389" s="10"/>
      <c r="DS1389" s="10"/>
      <c r="DT1389" s="10"/>
      <c r="DU1389" s="10"/>
      <c r="DV1389" s="10"/>
      <c r="DW1389" s="10"/>
      <c r="DX1389" s="10"/>
      <c r="DY1389" s="10"/>
      <c r="DZ1389" s="10"/>
      <c r="EA1389" s="10"/>
      <c r="EB1389" s="10"/>
      <c r="EC1389" s="10"/>
      <c r="ED1389" s="10"/>
      <c r="EE1389" s="10"/>
      <c r="EF1389" s="10"/>
      <c r="EG1389" s="10"/>
      <c r="EH1389" s="10"/>
      <c r="EI1389" s="10"/>
      <c r="EJ1389" s="10"/>
      <c r="EK1389" s="10"/>
      <c r="EL1389" s="10"/>
      <c r="EM1389" s="10"/>
      <c r="EN1389" s="10"/>
      <c r="EO1389" s="10"/>
      <c r="EP1389" s="10"/>
      <c r="EQ1389" s="10"/>
      <c r="ER1389" s="10"/>
      <c r="ES1389" s="10"/>
      <c r="ET1389" s="10"/>
      <c r="EU1389" s="10"/>
      <c r="EV1389" s="10"/>
      <c r="EW1389" s="10"/>
      <c r="EX1389" s="10"/>
      <c r="EY1389" s="10"/>
      <c r="EZ1389" s="10"/>
      <c r="FA1389" s="10"/>
      <c r="FB1389" s="10"/>
      <c r="FC1389" s="10"/>
      <c r="FD1389" s="10"/>
      <c r="FE1389" s="10"/>
      <c r="FF1389" s="10"/>
      <c r="FG1389" s="10"/>
      <c r="FH1389" s="10"/>
      <c r="FI1389" s="10"/>
      <c r="FJ1389" s="10"/>
      <c r="FK1389" s="10"/>
      <c r="FL1389" s="10"/>
      <c r="FM1389" s="10"/>
      <c r="FN1389" s="10"/>
      <c r="FO1389" s="10"/>
      <c r="FP1389" s="10"/>
      <c r="FQ1389" s="10"/>
      <c r="FR1389" s="10"/>
      <c r="FS1389" s="10"/>
      <c r="FT1389" s="10"/>
      <c r="FU1389" s="10"/>
      <c r="FV1389" s="10"/>
      <c r="FW1389" s="10"/>
      <c r="FX1389" s="10"/>
      <c r="FY1389" s="10"/>
      <c r="FZ1389" s="10"/>
      <c r="GA1389" s="10"/>
      <c r="GB1389" s="10"/>
      <c r="GC1389" s="10"/>
      <c r="GD1389" s="10"/>
      <c r="GE1389" s="10"/>
      <c r="GF1389" s="10"/>
      <c r="GG1389" s="10"/>
      <c r="GH1389" s="10"/>
      <c r="GI1389" s="10"/>
      <c r="GJ1389" s="10"/>
      <c r="GK1389" s="10"/>
      <c r="GL1389" s="10"/>
      <c r="GM1389" s="10"/>
      <c r="GN1389" s="10"/>
      <c r="GO1389" s="10"/>
      <c r="GP1389" s="10"/>
      <c r="GQ1389" s="10"/>
      <c r="GR1389" s="10"/>
      <c r="GS1389" s="10"/>
      <c r="GT1389" s="10"/>
      <c r="GU1389" s="10"/>
      <c r="GV1389" s="10"/>
      <c r="GW1389" s="10"/>
      <c r="GX1389" s="10"/>
      <c r="GY1389" s="10"/>
      <c r="GZ1389" s="10"/>
      <c r="HA1389" s="10"/>
      <c r="HB1389" s="10"/>
      <c r="HC1389" s="10"/>
      <c r="HD1389" s="10"/>
      <c r="HE1389" s="10"/>
      <c r="HF1389" s="10"/>
      <c r="HG1389" s="10"/>
      <c r="HH1389" s="10"/>
      <c r="HI1389" s="10"/>
      <c r="HJ1389" s="10"/>
      <c r="HK1389" s="10"/>
      <c r="HL1389" s="10"/>
      <c r="HM1389" s="10"/>
      <c r="HN1389" s="10"/>
      <c r="HO1389" s="10"/>
      <c r="HP1389" s="10"/>
      <c r="HQ1389" s="10"/>
      <c r="HR1389" s="10"/>
      <c r="HS1389" s="10"/>
      <c r="HT1389" s="10"/>
      <c r="HU1389" s="10"/>
      <c r="HV1389" s="10"/>
      <c r="HW1389" s="10"/>
      <c r="HX1389" s="10"/>
      <c r="HY1389" s="10"/>
      <c r="HZ1389" s="10"/>
      <c r="IA1389" s="10"/>
      <c r="IB1389" s="10"/>
      <c r="IC1389" s="10"/>
      <c r="ID1389" s="10"/>
      <c r="IE1389" s="10"/>
      <c r="IF1389" s="10"/>
      <c r="IG1389" s="10"/>
      <c r="IH1389" s="10"/>
      <c r="II1389" s="10"/>
      <c r="IJ1389" s="10"/>
      <c r="IK1389" s="10"/>
      <c r="IL1389" s="10"/>
      <c r="IM1389" s="10"/>
      <c r="IN1389" s="10"/>
      <c r="IO1389" s="10"/>
      <c r="IP1389" s="10"/>
      <c r="IQ1389" s="10"/>
      <c r="IR1389" s="10"/>
      <c r="IS1389" s="10"/>
      <c r="IT1389" s="10"/>
      <c r="IU1389" s="10"/>
    </row>
    <row r="1390" spans="1:255" s="87" customFormat="1" ht="56">
      <c r="A1390" s="11"/>
      <c r="B1390" s="11"/>
      <c r="E1390" s="88"/>
      <c r="F1390" s="105" t="s">
        <v>2099</v>
      </c>
      <c r="G1390"/>
      <c r="I1390" s="92"/>
      <c r="K1390" s="84"/>
      <c r="L1390" s="73"/>
      <c r="M1390" s="73"/>
      <c r="N1390" s="73"/>
      <c r="O1390" s="8"/>
      <c r="P1390" s="9"/>
      <c r="Q1390" s="10"/>
      <c r="R1390" s="10"/>
      <c r="S1390" s="10"/>
      <c r="T1390" s="10"/>
      <c r="U1390" s="10"/>
      <c r="V1390" s="10"/>
      <c r="W1390" s="10"/>
      <c r="X1390" s="10"/>
      <c r="Y1390" s="10"/>
      <c r="Z1390" s="10"/>
      <c r="AA1390" s="10"/>
      <c r="AB1390" s="10"/>
      <c r="AC1390" s="10"/>
      <c r="AD1390" s="10"/>
      <c r="AE1390" s="10"/>
      <c r="AF1390" s="10"/>
      <c r="AG1390" s="10"/>
      <c r="AH1390" s="10"/>
      <c r="AI1390" s="10"/>
      <c r="AJ1390" s="10"/>
      <c r="AK1390" s="10"/>
      <c r="AL1390" s="10"/>
      <c r="AM1390" s="10"/>
      <c r="AN1390" s="10"/>
      <c r="AO1390" s="10"/>
      <c r="AP1390" s="10"/>
      <c r="AQ1390" s="10"/>
      <c r="AR1390" s="10"/>
      <c r="AS1390" s="10"/>
      <c r="AT1390" s="10"/>
      <c r="AU1390" s="10"/>
      <c r="AV1390" s="10"/>
      <c r="AW1390" s="10"/>
      <c r="AX1390" s="10"/>
      <c r="AY1390" s="10"/>
      <c r="AZ1390" s="10"/>
      <c r="BA1390" s="10"/>
      <c r="BB1390" s="10"/>
      <c r="BC1390" s="10"/>
      <c r="BD1390" s="10"/>
      <c r="BE1390" s="10"/>
      <c r="BF1390" s="10"/>
      <c r="BG1390" s="10"/>
      <c r="BH1390" s="10"/>
      <c r="BI1390" s="10"/>
      <c r="BJ1390" s="10"/>
      <c r="BK1390" s="10"/>
      <c r="BL1390" s="10"/>
      <c r="BM1390" s="10"/>
      <c r="BN1390" s="10"/>
      <c r="BO1390" s="10"/>
      <c r="BP1390" s="10"/>
      <c r="BQ1390" s="10"/>
      <c r="BR1390" s="10"/>
      <c r="BS1390" s="10"/>
      <c r="BT1390" s="10"/>
      <c r="BU1390" s="10"/>
      <c r="BV1390" s="10"/>
      <c r="BW1390" s="10"/>
      <c r="BX1390" s="10"/>
      <c r="BY1390" s="10"/>
      <c r="BZ1390" s="10"/>
      <c r="CA1390" s="10"/>
      <c r="CB1390" s="10"/>
      <c r="CC1390" s="10"/>
      <c r="CD1390" s="10"/>
      <c r="CE1390" s="10"/>
      <c r="CF1390" s="10"/>
      <c r="CG1390" s="10"/>
      <c r="CH1390" s="10"/>
      <c r="CI1390" s="10"/>
      <c r="CJ1390" s="10"/>
      <c r="CK1390" s="10"/>
      <c r="CL1390" s="10"/>
      <c r="CM1390" s="10"/>
      <c r="CN1390" s="10"/>
      <c r="CO1390" s="10"/>
      <c r="CP1390" s="10"/>
      <c r="CQ1390" s="10"/>
      <c r="CR1390" s="10"/>
      <c r="CS1390" s="10"/>
      <c r="CT1390" s="10"/>
      <c r="CU1390" s="10"/>
      <c r="CV1390" s="10"/>
      <c r="CW1390" s="10"/>
      <c r="CX1390" s="10"/>
      <c r="CY1390" s="10"/>
      <c r="CZ1390" s="10"/>
      <c r="DA1390" s="10"/>
      <c r="DB1390" s="10"/>
      <c r="DC1390" s="10"/>
      <c r="DD1390" s="10"/>
      <c r="DE1390" s="10"/>
      <c r="DF1390" s="10"/>
      <c r="DG1390" s="10"/>
      <c r="DH1390" s="10"/>
      <c r="DI1390" s="10"/>
      <c r="DJ1390" s="10"/>
      <c r="DK1390" s="10"/>
      <c r="DL1390" s="10"/>
      <c r="DM1390" s="10"/>
      <c r="DN1390" s="10"/>
      <c r="DO1390" s="10"/>
      <c r="DP1390" s="10"/>
      <c r="DQ1390" s="10"/>
      <c r="DR1390" s="10"/>
      <c r="DS1390" s="10"/>
      <c r="DT1390" s="10"/>
      <c r="DU1390" s="10"/>
      <c r="DV1390" s="10"/>
      <c r="DW1390" s="10"/>
      <c r="DX1390" s="10"/>
      <c r="DY1390" s="10"/>
      <c r="DZ1390" s="10"/>
      <c r="EA1390" s="10"/>
      <c r="EB1390" s="10"/>
      <c r="EC1390" s="10"/>
      <c r="ED1390" s="10"/>
      <c r="EE1390" s="10"/>
      <c r="EF1390" s="10"/>
      <c r="EG1390" s="10"/>
      <c r="EH1390" s="10"/>
      <c r="EI1390" s="10"/>
      <c r="EJ1390" s="10"/>
      <c r="EK1390" s="10"/>
      <c r="EL1390" s="10"/>
      <c r="EM1390" s="10"/>
      <c r="EN1390" s="10"/>
      <c r="EO1390" s="10"/>
      <c r="EP1390" s="10"/>
      <c r="EQ1390" s="10"/>
      <c r="ER1390" s="10"/>
      <c r="ES1390" s="10"/>
      <c r="ET1390" s="10"/>
      <c r="EU1390" s="10"/>
      <c r="EV1390" s="10"/>
      <c r="EW1390" s="10"/>
      <c r="EX1390" s="10"/>
      <c r="EY1390" s="10"/>
      <c r="EZ1390" s="10"/>
      <c r="FA1390" s="10"/>
      <c r="FB1390" s="10"/>
      <c r="FC1390" s="10"/>
      <c r="FD1390" s="10"/>
      <c r="FE1390" s="10"/>
      <c r="FF1390" s="10"/>
      <c r="FG1390" s="10"/>
      <c r="FH1390" s="10"/>
      <c r="FI1390" s="10"/>
      <c r="FJ1390" s="10"/>
      <c r="FK1390" s="10"/>
      <c r="FL1390" s="10"/>
      <c r="FM1390" s="10"/>
      <c r="FN1390" s="10"/>
      <c r="FO1390" s="10"/>
      <c r="FP1390" s="10"/>
      <c r="FQ1390" s="10"/>
      <c r="FR1390" s="10"/>
      <c r="FS1390" s="10"/>
      <c r="FT1390" s="10"/>
      <c r="FU1390" s="10"/>
      <c r="FV1390" s="10"/>
      <c r="FW1390" s="10"/>
      <c r="FX1390" s="10"/>
      <c r="FY1390" s="10"/>
      <c r="FZ1390" s="10"/>
      <c r="GA1390" s="10"/>
      <c r="GB1390" s="10"/>
      <c r="GC1390" s="10"/>
      <c r="GD1390" s="10"/>
      <c r="GE1390" s="10"/>
      <c r="GF1390" s="10"/>
      <c r="GG1390" s="10"/>
      <c r="GH1390" s="10"/>
      <c r="GI1390" s="10"/>
      <c r="GJ1390" s="10"/>
      <c r="GK1390" s="10"/>
      <c r="GL1390" s="10"/>
      <c r="GM1390" s="10"/>
      <c r="GN1390" s="10"/>
      <c r="GO1390" s="10"/>
      <c r="GP1390" s="10"/>
      <c r="GQ1390" s="10"/>
      <c r="GR1390" s="10"/>
      <c r="GS1390" s="10"/>
      <c r="GT1390" s="10"/>
      <c r="GU1390" s="10"/>
      <c r="GV1390" s="10"/>
      <c r="GW1390" s="10"/>
      <c r="GX1390" s="10"/>
      <c r="GY1390" s="10"/>
      <c r="GZ1390" s="10"/>
      <c r="HA1390" s="10"/>
      <c r="HB1390" s="10"/>
      <c r="HC1390" s="10"/>
      <c r="HD1390" s="10"/>
      <c r="HE1390" s="10"/>
      <c r="HF1390" s="10"/>
      <c r="HG1390" s="10"/>
      <c r="HH1390" s="10"/>
      <c r="HI1390" s="10"/>
      <c r="HJ1390" s="10"/>
      <c r="HK1390" s="10"/>
      <c r="HL1390" s="10"/>
      <c r="HM1390" s="10"/>
      <c r="HN1390" s="10"/>
      <c r="HO1390" s="10"/>
      <c r="HP1390" s="10"/>
      <c r="HQ1390" s="10"/>
      <c r="HR1390" s="10"/>
      <c r="HS1390" s="10"/>
      <c r="HT1390" s="10"/>
      <c r="HU1390" s="10"/>
      <c r="HV1390" s="10"/>
      <c r="HW1390" s="10"/>
      <c r="HX1390" s="10"/>
      <c r="HY1390" s="10"/>
      <c r="HZ1390" s="10"/>
      <c r="IA1390" s="10"/>
      <c r="IB1390" s="10"/>
      <c r="IC1390" s="10"/>
      <c r="ID1390" s="10"/>
      <c r="IE1390" s="10"/>
      <c r="IF1390" s="10"/>
      <c r="IG1390" s="10"/>
      <c r="IH1390" s="10"/>
      <c r="II1390" s="10"/>
      <c r="IJ1390" s="10"/>
      <c r="IK1390" s="10"/>
      <c r="IL1390" s="10"/>
      <c r="IM1390" s="10"/>
      <c r="IN1390" s="10"/>
      <c r="IO1390" s="10"/>
      <c r="IP1390" s="10"/>
      <c r="IQ1390" s="10"/>
      <c r="IR1390" s="10"/>
      <c r="IS1390" s="10"/>
      <c r="IT1390" s="10"/>
      <c r="IU1390" s="10"/>
    </row>
    <row r="1391" spans="1:255" s="87" customFormat="1" ht="28">
      <c r="A1391" s="11"/>
      <c r="B1391" s="11"/>
      <c r="E1391" s="88"/>
      <c r="F1391" s="105" t="s">
        <v>2100</v>
      </c>
      <c r="G1391"/>
      <c r="I1391" s="92"/>
      <c r="K1391" s="84"/>
      <c r="L1391" s="73"/>
      <c r="M1391" s="73"/>
      <c r="N1391" s="73"/>
      <c r="O1391" s="8"/>
      <c r="P1391" s="9"/>
      <c r="Q1391" s="10"/>
      <c r="R1391" s="10"/>
      <c r="S1391" s="10"/>
      <c r="T1391" s="10"/>
      <c r="U1391" s="10"/>
      <c r="V1391" s="10"/>
      <c r="W1391" s="10"/>
      <c r="X1391" s="10"/>
      <c r="Y1391" s="10"/>
      <c r="Z1391" s="10"/>
      <c r="AA1391" s="10"/>
      <c r="AB1391" s="10"/>
      <c r="AC1391" s="10"/>
      <c r="AD1391" s="10"/>
      <c r="AE1391" s="10"/>
      <c r="AF1391" s="10"/>
      <c r="AG1391" s="10"/>
      <c r="AH1391" s="10"/>
      <c r="AI1391" s="10"/>
      <c r="AJ1391" s="10"/>
      <c r="AK1391" s="10"/>
      <c r="AL1391" s="10"/>
      <c r="AM1391" s="10"/>
      <c r="AN1391" s="10"/>
      <c r="AO1391" s="10"/>
      <c r="AP1391" s="10"/>
      <c r="AQ1391" s="10"/>
      <c r="AR1391" s="10"/>
      <c r="AS1391" s="10"/>
      <c r="AT1391" s="10"/>
      <c r="AU1391" s="10"/>
      <c r="AV1391" s="10"/>
      <c r="AW1391" s="10"/>
      <c r="AX1391" s="10"/>
      <c r="AY1391" s="10"/>
      <c r="AZ1391" s="10"/>
      <c r="BA1391" s="10"/>
      <c r="BB1391" s="10"/>
      <c r="BC1391" s="10"/>
      <c r="BD1391" s="10"/>
      <c r="BE1391" s="10"/>
      <c r="BF1391" s="10"/>
      <c r="BG1391" s="10"/>
      <c r="BH1391" s="10"/>
      <c r="BI1391" s="10"/>
      <c r="BJ1391" s="10"/>
      <c r="BK1391" s="10"/>
      <c r="BL1391" s="10"/>
      <c r="BM1391" s="10"/>
      <c r="BN1391" s="10"/>
      <c r="BO1391" s="10"/>
      <c r="BP1391" s="10"/>
      <c r="BQ1391" s="10"/>
      <c r="BR1391" s="10"/>
      <c r="BS1391" s="10"/>
      <c r="BT1391" s="10"/>
      <c r="BU1391" s="10"/>
      <c r="BV1391" s="10"/>
      <c r="BW1391" s="10"/>
      <c r="BX1391" s="10"/>
      <c r="BY1391" s="10"/>
      <c r="BZ1391" s="10"/>
      <c r="CA1391" s="10"/>
      <c r="CB1391" s="10"/>
      <c r="CC1391" s="10"/>
      <c r="CD1391" s="10"/>
      <c r="CE1391" s="10"/>
      <c r="CF1391" s="10"/>
      <c r="CG1391" s="10"/>
      <c r="CH1391" s="10"/>
      <c r="CI1391" s="10"/>
      <c r="CJ1391" s="10"/>
      <c r="CK1391" s="10"/>
      <c r="CL1391" s="10"/>
      <c r="CM1391" s="10"/>
      <c r="CN1391" s="10"/>
      <c r="CO1391" s="10"/>
      <c r="CP1391" s="10"/>
      <c r="CQ1391" s="10"/>
      <c r="CR1391" s="10"/>
      <c r="CS1391" s="10"/>
      <c r="CT1391" s="10"/>
      <c r="CU1391" s="10"/>
      <c r="CV1391" s="10"/>
      <c r="CW1391" s="10"/>
      <c r="CX1391" s="10"/>
      <c r="CY1391" s="10"/>
      <c r="CZ1391" s="10"/>
      <c r="DA1391" s="10"/>
      <c r="DB1391" s="10"/>
      <c r="DC1391" s="10"/>
      <c r="DD1391" s="10"/>
      <c r="DE1391" s="10"/>
      <c r="DF1391" s="10"/>
      <c r="DG1391" s="10"/>
      <c r="DH1391" s="10"/>
      <c r="DI1391" s="10"/>
      <c r="DJ1391" s="10"/>
      <c r="DK1391" s="10"/>
      <c r="DL1391" s="10"/>
      <c r="DM1391" s="10"/>
      <c r="DN1391" s="10"/>
      <c r="DO1391" s="10"/>
      <c r="DP1391" s="10"/>
      <c r="DQ1391" s="10"/>
      <c r="DR1391" s="10"/>
      <c r="DS1391" s="10"/>
      <c r="DT1391" s="10"/>
      <c r="DU1391" s="10"/>
      <c r="DV1391" s="10"/>
      <c r="DW1391" s="10"/>
      <c r="DX1391" s="10"/>
      <c r="DY1391" s="10"/>
      <c r="DZ1391" s="10"/>
      <c r="EA1391" s="10"/>
      <c r="EB1391" s="10"/>
      <c r="EC1391" s="10"/>
      <c r="ED1391" s="10"/>
      <c r="EE1391" s="10"/>
      <c r="EF1391" s="10"/>
      <c r="EG1391" s="10"/>
      <c r="EH1391" s="10"/>
      <c r="EI1391" s="10"/>
      <c r="EJ1391" s="10"/>
      <c r="EK1391" s="10"/>
      <c r="EL1391" s="10"/>
      <c r="EM1391" s="10"/>
      <c r="EN1391" s="10"/>
      <c r="EO1391" s="10"/>
      <c r="EP1391" s="10"/>
      <c r="EQ1391" s="10"/>
      <c r="ER1391" s="10"/>
      <c r="ES1391" s="10"/>
      <c r="ET1391" s="10"/>
      <c r="EU1391" s="10"/>
      <c r="EV1391" s="10"/>
      <c r="EW1391" s="10"/>
      <c r="EX1391" s="10"/>
      <c r="EY1391" s="10"/>
      <c r="EZ1391" s="10"/>
      <c r="FA1391" s="10"/>
      <c r="FB1391" s="10"/>
      <c r="FC1391" s="10"/>
      <c r="FD1391" s="10"/>
      <c r="FE1391" s="10"/>
      <c r="FF1391" s="10"/>
      <c r="FG1391" s="10"/>
      <c r="FH1391" s="10"/>
      <c r="FI1391" s="10"/>
      <c r="FJ1391" s="10"/>
      <c r="FK1391" s="10"/>
      <c r="FL1391" s="10"/>
      <c r="FM1391" s="10"/>
      <c r="FN1391" s="10"/>
      <c r="FO1391" s="10"/>
      <c r="FP1391" s="10"/>
      <c r="FQ1391" s="10"/>
      <c r="FR1391" s="10"/>
      <c r="FS1391" s="10"/>
      <c r="FT1391" s="10"/>
      <c r="FU1391" s="10"/>
      <c r="FV1391" s="10"/>
      <c r="FW1391" s="10"/>
      <c r="FX1391" s="10"/>
      <c r="FY1391" s="10"/>
      <c r="FZ1391" s="10"/>
      <c r="GA1391" s="10"/>
      <c r="GB1391" s="10"/>
      <c r="GC1391" s="10"/>
      <c r="GD1391" s="10"/>
      <c r="GE1391" s="10"/>
      <c r="GF1391" s="10"/>
      <c r="GG1391" s="10"/>
      <c r="GH1391" s="10"/>
      <c r="GI1391" s="10"/>
      <c r="GJ1391" s="10"/>
      <c r="GK1391" s="10"/>
      <c r="GL1391" s="10"/>
      <c r="GM1391" s="10"/>
      <c r="GN1391" s="10"/>
      <c r="GO1391" s="10"/>
      <c r="GP1391" s="10"/>
      <c r="GQ1391" s="10"/>
      <c r="GR1391" s="10"/>
      <c r="GS1391" s="10"/>
      <c r="GT1391" s="10"/>
      <c r="GU1391" s="10"/>
      <c r="GV1391" s="10"/>
      <c r="GW1391" s="10"/>
      <c r="GX1391" s="10"/>
      <c r="GY1391" s="10"/>
      <c r="GZ1391" s="10"/>
      <c r="HA1391" s="10"/>
      <c r="HB1391" s="10"/>
      <c r="HC1391" s="10"/>
      <c r="HD1391" s="10"/>
      <c r="HE1391" s="10"/>
      <c r="HF1391" s="10"/>
      <c r="HG1391" s="10"/>
      <c r="HH1391" s="10"/>
      <c r="HI1391" s="10"/>
      <c r="HJ1391" s="10"/>
      <c r="HK1391" s="10"/>
      <c r="HL1391" s="10"/>
      <c r="HM1391" s="10"/>
      <c r="HN1391" s="10"/>
      <c r="HO1391" s="10"/>
      <c r="HP1391" s="10"/>
      <c r="HQ1391" s="10"/>
      <c r="HR1391" s="10"/>
      <c r="HS1391" s="10"/>
      <c r="HT1391" s="10"/>
      <c r="HU1391" s="10"/>
      <c r="HV1391" s="10"/>
      <c r="HW1391" s="10"/>
      <c r="HX1391" s="10"/>
      <c r="HY1391" s="10"/>
      <c r="HZ1391" s="10"/>
      <c r="IA1391" s="10"/>
      <c r="IB1391" s="10"/>
      <c r="IC1391" s="10"/>
      <c r="ID1391" s="10"/>
      <c r="IE1391" s="10"/>
      <c r="IF1391" s="10"/>
      <c r="IG1391" s="10"/>
      <c r="IH1391" s="10"/>
      <c r="II1391" s="10"/>
      <c r="IJ1391" s="10"/>
      <c r="IK1391" s="10"/>
      <c r="IL1391" s="10"/>
      <c r="IM1391" s="10"/>
      <c r="IN1391" s="10"/>
      <c r="IO1391" s="10"/>
      <c r="IP1391" s="10"/>
      <c r="IQ1391" s="10"/>
      <c r="IR1391" s="10"/>
      <c r="IS1391" s="10"/>
      <c r="IT1391" s="10"/>
      <c r="IU1391" s="10"/>
    </row>
    <row r="1392" spans="1:255" s="87" customFormat="1" ht="42">
      <c r="A1392" s="11"/>
      <c r="B1392" s="11"/>
      <c r="E1392" s="88"/>
      <c r="F1392" s="105" t="s">
        <v>2101</v>
      </c>
      <c r="G1392"/>
      <c r="I1392" s="92"/>
      <c r="K1392" s="84"/>
      <c r="L1392" s="73"/>
      <c r="M1392" s="73"/>
      <c r="N1392" s="73"/>
      <c r="O1392" s="8"/>
      <c r="P1392" s="9"/>
      <c r="Q1392" s="10"/>
      <c r="R1392" s="10"/>
      <c r="S1392" s="10"/>
      <c r="T1392" s="10"/>
      <c r="U1392" s="10"/>
      <c r="V1392" s="10"/>
      <c r="W1392" s="10"/>
      <c r="X1392" s="10"/>
      <c r="Y1392" s="10"/>
      <c r="Z1392" s="10"/>
      <c r="AA1392" s="10"/>
      <c r="AB1392" s="10"/>
      <c r="AC1392" s="10"/>
      <c r="AD1392" s="10"/>
      <c r="AE1392" s="10"/>
      <c r="AF1392" s="10"/>
      <c r="AG1392" s="10"/>
      <c r="AH1392" s="10"/>
      <c r="AI1392" s="10"/>
      <c r="AJ1392" s="10"/>
      <c r="AK1392" s="10"/>
      <c r="AL1392" s="10"/>
      <c r="AM1392" s="10"/>
      <c r="AN1392" s="10"/>
      <c r="AO1392" s="10"/>
      <c r="AP1392" s="10"/>
      <c r="AQ1392" s="10"/>
      <c r="AR1392" s="10"/>
      <c r="AS1392" s="10"/>
      <c r="AT1392" s="10"/>
      <c r="AU1392" s="10"/>
      <c r="AV1392" s="10"/>
      <c r="AW1392" s="10"/>
      <c r="AX1392" s="10"/>
      <c r="AY1392" s="10"/>
      <c r="AZ1392" s="10"/>
      <c r="BA1392" s="10"/>
      <c r="BB1392" s="10"/>
      <c r="BC1392" s="10"/>
      <c r="BD1392" s="10"/>
      <c r="BE1392" s="10"/>
      <c r="BF1392" s="10"/>
      <c r="BG1392" s="10"/>
      <c r="BH1392" s="10"/>
      <c r="BI1392" s="10"/>
      <c r="BJ1392" s="10"/>
      <c r="BK1392" s="10"/>
      <c r="BL1392" s="10"/>
      <c r="BM1392" s="10"/>
      <c r="BN1392" s="10"/>
      <c r="BO1392" s="10"/>
      <c r="BP1392" s="10"/>
      <c r="BQ1392" s="10"/>
      <c r="BR1392" s="10"/>
      <c r="BS1392" s="10"/>
      <c r="BT1392" s="10"/>
      <c r="BU1392" s="10"/>
      <c r="BV1392" s="10"/>
      <c r="BW1392" s="10"/>
      <c r="BX1392" s="10"/>
      <c r="BY1392" s="10"/>
      <c r="BZ1392" s="10"/>
      <c r="CA1392" s="10"/>
      <c r="CB1392" s="10"/>
      <c r="CC1392" s="10"/>
      <c r="CD1392" s="10"/>
      <c r="CE1392" s="10"/>
      <c r="CF1392" s="10"/>
      <c r="CG1392" s="10"/>
      <c r="CH1392" s="10"/>
      <c r="CI1392" s="10"/>
      <c r="CJ1392" s="10"/>
      <c r="CK1392" s="10"/>
      <c r="CL1392" s="10"/>
      <c r="CM1392" s="10"/>
      <c r="CN1392" s="10"/>
      <c r="CO1392" s="10"/>
      <c r="CP1392" s="10"/>
      <c r="CQ1392" s="10"/>
      <c r="CR1392" s="10"/>
      <c r="CS1392" s="10"/>
      <c r="CT1392" s="10"/>
      <c r="CU1392" s="10"/>
      <c r="CV1392" s="10"/>
      <c r="CW1392" s="10"/>
      <c r="CX1392" s="10"/>
      <c r="CY1392" s="10"/>
      <c r="CZ1392" s="10"/>
      <c r="DA1392" s="10"/>
      <c r="DB1392" s="10"/>
      <c r="DC1392" s="10"/>
      <c r="DD1392" s="10"/>
      <c r="DE1392" s="10"/>
      <c r="DF1392" s="10"/>
      <c r="DG1392" s="10"/>
      <c r="DH1392" s="10"/>
      <c r="DI1392" s="10"/>
      <c r="DJ1392" s="10"/>
      <c r="DK1392" s="10"/>
      <c r="DL1392" s="10"/>
      <c r="DM1392" s="10"/>
      <c r="DN1392" s="10"/>
      <c r="DO1392" s="10"/>
      <c r="DP1392" s="10"/>
      <c r="DQ1392" s="10"/>
      <c r="DR1392" s="10"/>
      <c r="DS1392" s="10"/>
      <c r="DT1392" s="10"/>
      <c r="DU1392" s="10"/>
      <c r="DV1392" s="10"/>
      <c r="DW1392" s="10"/>
      <c r="DX1392" s="10"/>
      <c r="DY1392" s="10"/>
      <c r="DZ1392" s="10"/>
      <c r="EA1392" s="10"/>
      <c r="EB1392" s="10"/>
      <c r="EC1392" s="10"/>
      <c r="ED1392" s="10"/>
      <c r="EE1392" s="10"/>
      <c r="EF1392" s="10"/>
      <c r="EG1392" s="10"/>
      <c r="EH1392" s="10"/>
      <c r="EI1392" s="10"/>
      <c r="EJ1392" s="10"/>
      <c r="EK1392" s="10"/>
      <c r="EL1392" s="10"/>
      <c r="EM1392" s="10"/>
      <c r="EN1392" s="10"/>
      <c r="EO1392" s="10"/>
      <c r="EP1392" s="10"/>
      <c r="EQ1392" s="10"/>
      <c r="ER1392" s="10"/>
      <c r="ES1392" s="10"/>
      <c r="ET1392" s="10"/>
      <c r="EU1392" s="10"/>
      <c r="EV1392" s="10"/>
      <c r="EW1392" s="10"/>
      <c r="EX1392" s="10"/>
      <c r="EY1392" s="10"/>
      <c r="EZ1392" s="10"/>
      <c r="FA1392" s="10"/>
      <c r="FB1392" s="10"/>
      <c r="FC1392" s="10"/>
      <c r="FD1392" s="10"/>
      <c r="FE1392" s="10"/>
      <c r="FF1392" s="10"/>
      <c r="FG1392" s="10"/>
      <c r="FH1392" s="10"/>
      <c r="FI1392" s="10"/>
      <c r="FJ1392" s="10"/>
      <c r="FK1392" s="10"/>
      <c r="FL1392" s="10"/>
      <c r="FM1392" s="10"/>
      <c r="FN1392" s="10"/>
      <c r="FO1392" s="10"/>
      <c r="FP1392" s="10"/>
      <c r="FQ1392" s="10"/>
      <c r="FR1392" s="10"/>
      <c r="FS1392" s="10"/>
      <c r="FT1392" s="10"/>
      <c r="FU1392" s="10"/>
      <c r="FV1392" s="10"/>
      <c r="FW1392" s="10"/>
      <c r="FX1392" s="10"/>
      <c r="FY1392" s="10"/>
      <c r="FZ1392" s="10"/>
      <c r="GA1392" s="10"/>
      <c r="GB1392" s="10"/>
      <c r="GC1392" s="10"/>
      <c r="GD1392" s="10"/>
      <c r="GE1392" s="10"/>
      <c r="GF1392" s="10"/>
      <c r="GG1392" s="10"/>
      <c r="GH1392" s="10"/>
      <c r="GI1392" s="10"/>
      <c r="GJ1392" s="10"/>
      <c r="GK1392" s="10"/>
      <c r="GL1392" s="10"/>
      <c r="GM1392" s="10"/>
      <c r="GN1392" s="10"/>
      <c r="GO1392" s="10"/>
      <c r="GP1392" s="10"/>
      <c r="GQ1392" s="10"/>
      <c r="GR1392" s="10"/>
      <c r="GS1392" s="10"/>
      <c r="GT1392" s="10"/>
      <c r="GU1392" s="10"/>
      <c r="GV1392" s="10"/>
      <c r="GW1392" s="10"/>
      <c r="GX1392" s="10"/>
      <c r="GY1392" s="10"/>
      <c r="GZ1392" s="10"/>
      <c r="HA1392" s="10"/>
      <c r="HB1392" s="10"/>
      <c r="HC1392" s="10"/>
      <c r="HD1392" s="10"/>
      <c r="HE1392" s="10"/>
      <c r="HF1392" s="10"/>
      <c r="HG1392" s="10"/>
      <c r="HH1392" s="10"/>
      <c r="HI1392" s="10"/>
      <c r="HJ1392" s="10"/>
      <c r="HK1392" s="10"/>
      <c r="HL1392" s="10"/>
      <c r="HM1392" s="10"/>
      <c r="HN1392" s="10"/>
      <c r="HO1392" s="10"/>
      <c r="HP1392" s="10"/>
      <c r="HQ1392" s="10"/>
      <c r="HR1392" s="10"/>
      <c r="HS1392" s="10"/>
      <c r="HT1392" s="10"/>
      <c r="HU1392" s="10"/>
      <c r="HV1392" s="10"/>
      <c r="HW1392" s="10"/>
      <c r="HX1392" s="10"/>
      <c r="HY1392" s="10"/>
      <c r="HZ1392" s="10"/>
      <c r="IA1392" s="10"/>
      <c r="IB1392" s="10"/>
      <c r="IC1392" s="10"/>
      <c r="ID1392" s="10"/>
      <c r="IE1392" s="10"/>
      <c r="IF1392" s="10"/>
      <c r="IG1392" s="10"/>
      <c r="IH1392" s="10"/>
      <c r="II1392" s="10"/>
      <c r="IJ1392" s="10"/>
      <c r="IK1392" s="10"/>
      <c r="IL1392" s="10"/>
      <c r="IM1392" s="10"/>
      <c r="IN1392" s="10"/>
      <c r="IO1392" s="10"/>
      <c r="IP1392" s="10"/>
      <c r="IQ1392" s="10"/>
      <c r="IR1392" s="10"/>
      <c r="IS1392" s="10"/>
      <c r="IT1392" s="10"/>
      <c r="IU1392" s="10"/>
    </row>
    <row r="1393" spans="1:255" s="87" customFormat="1" ht="98">
      <c r="A1393" s="11"/>
      <c r="B1393" s="11"/>
      <c r="E1393" s="88"/>
      <c r="F1393" s="105" t="s">
        <v>2102</v>
      </c>
      <c r="G1393"/>
      <c r="I1393" s="92"/>
      <c r="K1393" s="84"/>
      <c r="L1393" s="73"/>
      <c r="M1393" s="73"/>
      <c r="N1393" s="73"/>
      <c r="O1393" s="8"/>
      <c r="P1393" s="9"/>
      <c r="Q1393" s="10"/>
      <c r="R1393" s="10"/>
      <c r="S1393" s="10"/>
      <c r="T1393" s="10"/>
      <c r="U1393" s="10"/>
      <c r="V1393" s="10"/>
      <c r="W1393" s="10"/>
      <c r="X1393" s="10"/>
      <c r="Y1393" s="10"/>
      <c r="Z1393" s="10"/>
      <c r="AA1393" s="10"/>
      <c r="AB1393" s="10"/>
      <c r="AC1393" s="10"/>
      <c r="AD1393" s="10"/>
      <c r="AE1393" s="10"/>
      <c r="AF1393" s="10"/>
      <c r="AG1393" s="10"/>
      <c r="AH1393" s="10"/>
      <c r="AI1393" s="10"/>
      <c r="AJ1393" s="10"/>
      <c r="AK1393" s="10"/>
      <c r="AL1393" s="10"/>
      <c r="AM1393" s="10"/>
      <c r="AN1393" s="10"/>
      <c r="AO1393" s="10"/>
      <c r="AP1393" s="10"/>
      <c r="AQ1393" s="10"/>
      <c r="AR1393" s="10"/>
      <c r="AS1393" s="10"/>
      <c r="AT1393" s="10"/>
      <c r="AU1393" s="10"/>
      <c r="AV1393" s="10"/>
      <c r="AW1393" s="10"/>
      <c r="AX1393" s="10"/>
      <c r="AY1393" s="10"/>
      <c r="AZ1393" s="10"/>
      <c r="BA1393" s="10"/>
      <c r="BB1393" s="10"/>
      <c r="BC1393" s="10"/>
      <c r="BD1393" s="10"/>
      <c r="BE1393" s="10"/>
      <c r="BF1393" s="10"/>
      <c r="BG1393" s="10"/>
      <c r="BH1393" s="10"/>
      <c r="BI1393" s="10"/>
      <c r="BJ1393" s="10"/>
      <c r="BK1393" s="10"/>
      <c r="BL1393" s="10"/>
      <c r="BM1393" s="10"/>
      <c r="BN1393" s="10"/>
      <c r="BO1393" s="10"/>
      <c r="BP1393" s="10"/>
      <c r="BQ1393" s="10"/>
      <c r="BR1393" s="10"/>
      <c r="BS1393" s="10"/>
      <c r="BT1393" s="10"/>
      <c r="BU1393" s="10"/>
      <c r="BV1393" s="10"/>
      <c r="BW1393" s="10"/>
      <c r="BX1393" s="10"/>
      <c r="BY1393" s="10"/>
      <c r="BZ1393" s="10"/>
      <c r="CA1393" s="10"/>
      <c r="CB1393" s="10"/>
      <c r="CC1393" s="10"/>
      <c r="CD1393" s="10"/>
      <c r="CE1393" s="10"/>
      <c r="CF1393" s="10"/>
      <c r="CG1393" s="10"/>
      <c r="CH1393" s="10"/>
      <c r="CI1393" s="10"/>
      <c r="CJ1393" s="10"/>
      <c r="CK1393" s="10"/>
      <c r="CL1393" s="10"/>
      <c r="CM1393" s="10"/>
      <c r="CN1393" s="10"/>
      <c r="CO1393" s="10"/>
      <c r="CP1393" s="10"/>
      <c r="CQ1393" s="10"/>
      <c r="CR1393" s="10"/>
      <c r="CS1393" s="10"/>
      <c r="CT1393" s="10"/>
      <c r="CU1393" s="10"/>
      <c r="CV1393" s="10"/>
      <c r="CW1393" s="10"/>
      <c r="CX1393" s="10"/>
      <c r="CY1393" s="10"/>
      <c r="CZ1393" s="10"/>
      <c r="DA1393" s="10"/>
      <c r="DB1393" s="10"/>
      <c r="DC1393" s="10"/>
      <c r="DD1393" s="10"/>
      <c r="DE1393" s="10"/>
      <c r="DF1393" s="10"/>
      <c r="DG1393" s="10"/>
      <c r="DH1393" s="10"/>
      <c r="DI1393" s="10"/>
      <c r="DJ1393" s="10"/>
      <c r="DK1393" s="10"/>
      <c r="DL1393" s="10"/>
      <c r="DM1393" s="10"/>
      <c r="DN1393" s="10"/>
      <c r="DO1393" s="10"/>
      <c r="DP1393" s="10"/>
      <c r="DQ1393" s="10"/>
      <c r="DR1393" s="10"/>
      <c r="DS1393" s="10"/>
      <c r="DT1393" s="10"/>
      <c r="DU1393" s="10"/>
      <c r="DV1393" s="10"/>
      <c r="DW1393" s="10"/>
      <c r="DX1393" s="10"/>
      <c r="DY1393" s="10"/>
      <c r="DZ1393" s="10"/>
      <c r="EA1393" s="10"/>
      <c r="EB1393" s="10"/>
      <c r="EC1393" s="10"/>
      <c r="ED1393" s="10"/>
      <c r="EE1393" s="10"/>
      <c r="EF1393" s="10"/>
      <c r="EG1393" s="10"/>
      <c r="EH1393" s="10"/>
      <c r="EI1393" s="10"/>
      <c r="EJ1393" s="10"/>
      <c r="EK1393" s="10"/>
      <c r="EL1393" s="10"/>
      <c r="EM1393" s="10"/>
      <c r="EN1393" s="10"/>
      <c r="EO1393" s="10"/>
      <c r="EP1393" s="10"/>
      <c r="EQ1393" s="10"/>
      <c r="ER1393" s="10"/>
      <c r="ES1393" s="10"/>
      <c r="ET1393" s="10"/>
      <c r="EU1393" s="10"/>
      <c r="EV1393" s="10"/>
      <c r="EW1393" s="10"/>
      <c r="EX1393" s="10"/>
      <c r="EY1393" s="10"/>
      <c r="EZ1393" s="10"/>
      <c r="FA1393" s="10"/>
      <c r="FB1393" s="10"/>
      <c r="FC1393" s="10"/>
      <c r="FD1393" s="10"/>
      <c r="FE1393" s="10"/>
      <c r="FF1393" s="10"/>
      <c r="FG1393" s="10"/>
      <c r="FH1393" s="10"/>
      <c r="FI1393" s="10"/>
      <c r="FJ1393" s="10"/>
      <c r="FK1393" s="10"/>
      <c r="FL1393" s="10"/>
      <c r="FM1393" s="10"/>
      <c r="FN1393" s="10"/>
      <c r="FO1393" s="10"/>
      <c r="FP1393" s="10"/>
      <c r="FQ1393" s="10"/>
      <c r="FR1393" s="10"/>
      <c r="FS1393" s="10"/>
      <c r="FT1393" s="10"/>
      <c r="FU1393" s="10"/>
      <c r="FV1393" s="10"/>
      <c r="FW1393" s="10"/>
      <c r="FX1393" s="10"/>
      <c r="FY1393" s="10"/>
      <c r="FZ1393" s="10"/>
      <c r="GA1393" s="10"/>
      <c r="GB1393" s="10"/>
      <c r="GC1393" s="10"/>
      <c r="GD1393" s="10"/>
      <c r="GE1393" s="10"/>
      <c r="GF1393" s="10"/>
      <c r="GG1393" s="10"/>
      <c r="GH1393" s="10"/>
      <c r="GI1393" s="10"/>
      <c r="GJ1393" s="10"/>
      <c r="GK1393" s="10"/>
      <c r="GL1393" s="10"/>
      <c r="GM1393" s="10"/>
      <c r="GN1393" s="10"/>
      <c r="GO1393" s="10"/>
      <c r="GP1393" s="10"/>
      <c r="GQ1393" s="10"/>
      <c r="GR1393" s="10"/>
      <c r="GS1393" s="10"/>
      <c r="GT1393" s="10"/>
      <c r="GU1393" s="10"/>
      <c r="GV1393" s="10"/>
      <c r="GW1393" s="10"/>
      <c r="GX1393" s="10"/>
      <c r="GY1393" s="10"/>
      <c r="GZ1393" s="10"/>
      <c r="HA1393" s="10"/>
      <c r="HB1393" s="10"/>
      <c r="HC1393" s="10"/>
      <c r="HD1393" s="10"/>
      <c r="HE1393" s="10"/>
      <c r="HF1393" s="10"/>
      <c r="HG1393" s="10"/>
      <c r="HH1393" s="10"/>
      <c r="HI1393" s="10"/>
      <c r="HJ1393" s="10"/>
      <c r="HK1393" s="10"/>
      <c r="HL1393" s="10"/>
      <c r="HM1393" s="10"/>
      <c r="HN1393" s="10"/>
      <c r="HO1393" s="10"/>
      <c r="HP1393" s="10"/>
      <c r="HQ1393" s="10"/>
      <c r="HR1393" s="10"/>
      <c r="HS1393" s="10"/>
      <c r="HT1393" s="10"/>
      <c r="HU1393" s="10"/>
      <c r="HV1393" s="10"/>
      <c r="HW1393" s="10"/>
      <c r="HX1393" s="10"/>
      <c r="HY1393" s="10"/>
      <c r="HZ1393" s="10"/>
      <c r="IA1393" s="10"/>
      <c r="IB1393" s="10"/>
      <c r="IC1393" s="10"/>
      <c r="ID1393" s="10"/>
      <c r="IE1393" s="10"/>
      <c r="IF1393" s="10"/>
      <c r="IG1393" s="10"/>
      <c r="IH1393" s="10"/>
      <c r="II1393" s="10"/>
      <c r="IJ1393" s="10"/>
      <c r="IK1393" s="10"/>
      <c r="IL1393" s="10"/>
      <c r="IM1393" s="10"/>
      <c r="IN1393" s="10"/>
      <c r="IO1393" s="10"/>
      <c r="IP1393" s="10"/>
      <c r="IQ1393" s="10"/>
      <c r="IR1393" s="10"/>
      <c r="IS1393" s="10"/>
      <c r="IT1393" s="10"/>
      <c r="IU1393" s="10"/>
    </row>
    <row r="1394" spans="1:255" s="87" customFormat="1" ht="84">
      <c r="A1394" s="11"/>
      <c r="B1394" s="11"/>
      <c r="E1394" s="88"/>
      <c r="F1394" s="105" t="s">
        <v>2103</v>
      </c>
      <c r="G1394"/>
      <c r="I1394" s="92"/>
      <c r="K1394" s="84"/>
      <c r="L1394" s="73"/>
      <c r="M1394" s="73"/>
      <c r="N1394" s="73"/>
      <c r="O1394" s="8"/>
      <c r="P1394" s="9"/>
      <c r="Q1394" s="10"/>
      <c r="R1394" s="10"/>
      <c r="S1394" s="10"/>
      <c r="T1394" s="10"/>
      <c r="U1394" s="10"/>
      <c r="V1394" s="10"/>
      <c r="W1394" s="10"/>
      <c r="X1394" s="10"/>
      <c r="Y1394" s="10"/>
      <c r="Z1394" s="10"/>
      <c r="AA1394" s="10"/>
      <c r="AB1394" s="10"/>
      <c r="AC1394" s="10"/>
      <c r="AD1394" s="10"/>
      <c r="AE1394" s="10"/>
      <c r="AF1394" s="10"/>
      <c r="AG1394" s="10"/>
      <c r="AH1394" s="10"/>
      <c r="AI1394" s="10"/>
      <c r="AJ1394" s="10"/>
      <c r="AK1394" s="10"/>
      <c r="AL1394" s="10"/>
      <c r="AM1394" s="10"/>
      <c r="AN1394" s="10"/>
      <c r="AO1394" s="10"/>
      <c r="AP1394" s="10"/>
      <c r="AQ1394" s="10"/>
      <c r="AR1394" s="10"/>
      <c r="AS1394" s="10"/>
      <c r="AT1394" s="10"/>
      <c r="AU1394" s="10"/>
      <c r="AV1394" s="10"/>
      <c r="AW1394" s="10"/>
      <c r="AX1394" s="10"/>
      <c r="AY1394" s="10"/>
      <c r="AZ1394" s="10"/>
      <c r="BA1394" s="10"/>
      <c r="BB1394" s="10"/>
      <c r="BC1394" s="10"/>
      <c r="BD1394" s="10"/>
      <c r="BE1394" s="10"/>
      <c r="BF1394" s="10"/>
      <c r="BG1394" s="10"/>
      <c r="BH1394" s="10"/>
      <c r="BI1394" s="10"/>
      <c r="BJ1394" s="10"/>
      <c r="BK1394" s="10"/>
      <c r="BL1394" s="10"/>
      <c r="BM1394" s="10"/>
      <c r="BN1394" s="10"/>
      <c r="BO1394" s="10"/>
      <c r="BP1394" s="10"/>
      <c r="BQ1394" s="10"/>
      <c r="BR1394" s="10"/>
      <c r="BS1394" s="10"/>
      <c r="BT1394" s="10"/>
      <c r="BU1394" s="10"/>
      <c r="BV1394" s="10"/>
      <c r="BW1394" s="10"/>
      <c r="BX1394" s="10"/>
      <c r="BY1394" s="10"/>
      <c r="BZ1394" s="10"/>
      <c r="CA1394" s="10"/>
      <c r="CB1394" s="10"/>
      <c r="CC1394" s="10"/>
      <c r="CD1394" s="10"/>
      <c r="CE1394" s="10"/>
      <c r="CF1394" s="10"/>
      <c r="CG1394" s="10"/>
      <c r="CH1394" s="10"/>
      <c r="CI1394" s="10"/>
      <c r="CJ1394" s="10"/>
      <c r="CK1394" s="10"/>
      <c r="CL1394" s="10"/>
      <c r="CM1394" s="10"/>
      <c r="CN1394" s="10"/>
      <c r="CO1394" s="10"/>
      <c r="CP1394" s="10"/>
      <c r="CQ1394" s="10"/>
      <c r="CR1394" s="10"/>
      <c r="CS1394" s="10"/>
      <c r="CT1394" s="10"/>
      <c r="CU1394" s="10"/>
      <c r="CV1394" s="10"/>
      <c r="CW1394" s="10"/>
      <c r="CX1394" s="10"/>
      <c r="CY1394" s="10"/>
      <c r="CZ1394" s="10"/>
      <c r="DA1394" s="10"/>
      <c r="DB1394" s="10"/>
      <c r="DC1394" s="10"/>
      <c r="DD1394" s="10"/>
      <c r="DE1394" s="10"/>
      <c r="DF1394" s="10"/>
      <c r="DG1394" s="10"/>
      <c r="DH1394" s="10"/>
      <c r="DI1394" s="10"/>
      <c r="DJ1394" s="10"/>
      <c r="DK1394" s="10"/>
      <c r="DL1394" s="10"/>
      <c r="DM1394" s="10"/>
      <c r="DN1394" s="10"/>
      <c r="DO1394" s="10"/>
      <c r="DP1394" s="10"/>
      <c r="DQ1394" s="10"/>
      <c r="DR1394" s="10"/>
      <c r="DS1394" s="10"/>
      <c r="DT1394" s="10"/>
      <c r="DU1394" s="10"/>
      <c r="DV1394" s="10"/>
      <c r="DW1394" s="10"/>
      <c r="DX1394" s="10"/>
      <c r="DY1394" s="10"/>
      <c r="DZ1394" s="10"/>
      <c r="EA1394" s="10"/>
      <c r="EB1394" s="10"/>
      <c r="EC1394" s="10"/>
      <c r="ED1394" s="10"/>
      <c r="EE1394" s="10"/>
      <c r="EF1394" s="10"/>
      <c r="EG1394" s="10"/>
      <c r="EH1394" s="10"/>
      <c r="EI1394" s="10"/>
      <c r="EJ1394" s="10"/>
      <c r="EK1394" s="10"/>
      <c r="EL1394" s="10"/>
      <c r="EM1394" s="10"/>
      <c r="EN1394" s="10"/>
      <c r="EO1394" s="10"/>
      <c r="EP1394" s="10"/>
      <c r="EQ1394" s="10"/>
      <c r="ER1394" s="10"/>
      <c r="ES1394" s="10"/>
      <c r="ET1394" s="10"/>
      <c r="EU1394" s="10"/>
      <c r="EV1394" s="10"/>
      <c r="EW1394" s="10"/>
      <c r="EX1394" s="10"/>
      <c r="EY1394" s="10"/>
      <c r="EZ1394" s="10"/>
      <c r="FA1394" s="10"/>
      <c r="FB1394" s="10"/>
      <c r="FC1394" s="10"/>
      <c r="FD1394" s="10"/>
      <c r="FE1394" s="10"/>
      <c r="FF1394" s="10"/>
      <c r="FG1394" s="10"/>
      <c r="FH1394" s="10"/>
      <c r="FI1394" s="10"/>
      <c r="FJ1394" s="10"/>
      <c r="FK1394" s="10"/>
      <c r="FL1394" s="10"/>
      <c r="FM1394" s="10"/>
      <c r="FN1394" s="10"/>
      <c r="FO1394" s="10"/>
      <c r="FP1394" s="10"/>
      <c r="FQ1394" s="10"/>
      <c r="FR1394" s="10"/>
      <c r="FS1394" s="10"/>
      <c r="FT1394" s="10"/>
      <c r="FU1394" s="10"/>
      <c r="FV1394" s="10"/>
      <c r="FW1394" s="10"/>
      <c r="FX1394" s="10"/>
      <c r="FY1394" s="10"/>
      <c r="FZ1394" s="10"/>
      <c r="GA1394" s="10"/>
      <c r="GB1394" s="10"/>
      <c r="GC1394" s="10"/>
      <c r="GD1394" s="10"/>
      <c r="GE1394" s="10"/>
      <c r="GF1394" s="10"/>
      <c r="GG1394" s="10"/>
      <c r="GH1394" s="10"/>
      <c r="GI1394" s="10"/>
      <c r="GJ1394" s="10"/>
      <c r="GK1394" s="10"/>
      <c r="GL1394" s="10"/>
      <c r="GM1394" s="10"/>
      <c r="GN1394" s="10"/>
      <c r="GO1394" s="10"/>
      <c r="GP1394" s="10"/>
      <c r="GQ1394" s="10"/>
      <c r="GR1394" s="10"/>
      <c r="GS1394" s="10"/>
      <c r="GT1394" s="10"/>
      <c r="GU1394" s="10"/>
      <c r="GV1394" s="10"/>
      <c r="GW1394" s="10"/>
      <c r="GX1394" s="10"/>
      <c r="GY1394" s="10"/>
      <c r="GZ1394" s="10"/>
      <c r="HA1394" s="10"/>
      <c r="HB1394" s="10"/>
      <c r="HC1394" s="10"/>
      <c r="HD1394" s="10"/>
      <c r="HE1394" s="10"/>
      <c r="HF1394" s="10"/>
      <c r="HG1394" s="10"/>
      <c r="HH1394" s="10"/>
      <c r="HI1394" s="10"/>
      <c r="HJ1394" s="10"/>
      <c r="HK1394" s="10"/>
      <c r="HL1394" s="10"/>
      <c r="HM1394" s="10"/>
      <c r="HN1394" s="10"/>
      <c r="HO1394" s="10"/>
      <c r="HP1394" s="10"/>
      <c r="HQ1394" s="10"/>
      <c r="HR1394" s="10"/>
      <c r="HS1394" s="10"/>
      <c r="HT1394" s="10"/>
      <c r="HU1394" s="10"/>
      <c r="HV1394" s="10"/>
      <c r="HW1394" s="10"/>
      <c r="HX1394" s="10"/>
      <c r="HY1394" s="10"/>
      <c r="HZ1394" s="10"/>
      <c r="IA1394" s="10"/>
      <c r="IB1394" s="10"/>
      <c r="IC1394" s="10"/>
      <c r="ID1394" s="10"/>
      <c r="IE1394" s="10"/>
      <c r="IF1394" s="10"/>
      <c r="IG1394" s="10"/>
      <c r="IH1394" s="10"/>
      <c r="II1394" s="10"/>
      <c r="IJ1394" s="10"/>
      <c r="IK1394" s="10"/>
      <c r="IL1394" s="10"/>
      <c r="IM1394" s="10"/>
      <c r="IN1394" s="10"/>
      <c r="IO1394" s="10"/>
      <c r="IP1394" s="10"/>
      <c r="IQ1394" s="10"/>
      <c r="IR1394" s="10"/>
      <c r="IS1394" s="10"/>
      <c r="IT1394" s="10"/>
      <c r="IU1394" s="10"/>
    </row>
    <row r="1395" spans="1:255" s="87" customFormat="1" ht="154">
      <c r="A1395" s="11"/>
      <c r="B1395" s="11"/>
      <c r="E1395" s="88"/>
      <c r="F1395" s="105" t="s">
        <v>2104</v>
      </c>
      <c r="G1395"/>
      <c r="I1395" s="92"/>
      <c r="K1395" s="84"/>
      <c r="L1395" s="73"/>
      <c r="M1395" s="73"/>
      <c r="N1395" s="73"/>
      <c r="O1395" s="8"/>
      <c r="P1395" s="9"/>
      <c r="Q1395" s="10"/>
      <c r="R1395" s="10"/>
      <c r="S1395" s="10"/>
      <c r="T1395" s="10"/>
      <c r="U1395" s="10"/>
      <c r="V1395" s="10"/>
      <c r="W1395" s="10"/>
      <c r="X1395" s="10"/>
      <c r="Y1395" s="10"/>
      <c r="Z1395" s="10"/>
      <c r="AA1395" s="10"/>
      <c r="AB1395" s="10"/>
      <c r="AC1395" s="10"/>
      <c r="AD1395" s="10"/>
      <c r="AE1395" s="10"/>
      <c r="AF1395" s="10"/>
      <c r="AG1395" s="10"/>
      <c r="AH1395" s="10"/>
      <c r="AI1395" s="10"/>
      <c r="AJ1395" s="10"/>
      <c r="AK1395" s="10"/>
      <c r="AL1395" s="10"/>
      <c r="AM1395" s="10"/>
      <c r="AN1395" s="10"/>
      <c r="AO1395" s="10"/>
      <c r="AP1395" s="10"/>
      <c r="AQ1395" s="10"/>
      <c r="AR1395" s="10"/>
      <c r="AS1395" s="10"/>
      <c r="AT1395" s="10"/>
      <c r="AU1395" s="10"/>
      <c r="AV1395" s="10"/>
      <c r="AW1395" s="10"/>
      <c r="AX1395" s="10"/>
      <c r="AY1395" s="10"/>
      <c r="AZ1395" s="10"/>
      <c r="BA1395" s="10"/>
      <c r="BB1395" s="10"/>
      <c r="BC1395" s="10"/>
      <c r="BD1395" s="10"/>
      <c r="BE1395" s="10"/>
      <c r="BF1395" s="10"/>
      <c r="BG1395" s="10"/>
      <c r="BH1395" s="10"/>
      <c r="BI1395" s="10"/>
      <c r="BJ1395" s="10"/>
      <c r="BK1395" s="10"/>
      <c r="BL1395" s="10"/>
      <c r="BM1395" s="10"/>
      <c r="BN1395" s="10"/>
      <c r="BO1395" s="10"/>
      <c r="BP1395" s="10"/>
      <c r="BQ1395" s="10"/>
      <c r="BR1395" s="10"/>
      <c r="BS1395" s="10"/>
      <c r="BT1395" s="10"/>
      <c r="BU1395" s="10"/>
      <c r="BV1395" s="10"/>
      <c r="BW1395" s="10"/>
      <c r="BX1395" s="10"/>
      <c r="BY1395" s="10"/>
      <c r="BZ1395" s="10"/>
      <c r="CA1395" s="10"/>
      <c r="CB1395" s="10"/>
      <c r="CC1395" s="10"/>
      <c r="CD1395" s="10"/>
      <c r="CE1395" s="10"/>
      <c r="CF1395" s="10"/>
      <c r="CG1395" s="10"/>
      <c r="CH1395" s="10"/>
      <c r="CI1395" s="10"/>
      <c r="CJ1395" s="10"/>
      <c r="CK1395" s="10"/>
      <c r="CL1395" s="10"/>
      <c r="CM1395" s="10"/>
      <c r="CN1395" s="10"/>
      <c r="CO1395" s="10"/>
      <c r="CP1395" s="10"/>
      <c r="CQ1395" s="10"/>
      <c r="CR1395" s="10"/>
      <c r="CS1395" s="10"/>
      <c r="CT1395" s="10"/>
      <c r="CU1395" s="10"/>
      <c r="CV1395" s="10"/>
      <c r="CW1395" s="10"/>
      <c r="CX1395" s="10"/>
      <c r="CY1395" s="10"/>
      <c r="CZ1395" s="10"/>
      <c r="DA1395" s="10"/>
      <c r="DB1395" s="10"/>
      <c r="DC1395" s="10"/>
      <c r="DD1395" s="10"/>
      <c r="DE1395" s="10"/>
      <c r="DF1395" s="10"/>
      <c r="DG1395" s="10"/>
      <c r="DH1395" s="10"/>
      <c r="DI1395" s="10"/>
      <c r="DJ1395" s="10"/>
      <c r="DK1395" s="10"/>
      <c r="DL1395" s="10"/>
      <c r="DM1395" s="10"/>
      <c r="DN1395" s="10"/>
      <c r="DO1395" s="10"/>
      <c r="DP1395" s="10"/>
      <c r="DQ1395" s="10"/>
      <c r="DR1395" s="10"/>
      <c r="DS1395" s="10"/>
      <c r="DT1395" s="10"/>
      <c r="DU1395" s="10"/>
      <c r="DV1395" s="10"/>
      <c r="DW1395" s="10"/>
      <c r="DX1395" s="10"/>
      <c r="DY1395" s="10"/>
      <c r="DZ1395" s="10"/>
      <c r="EA1395" s="10"/>
      <c r="EB1395" s="10"/>
      <c r="EC1395" s="10"/>
      <c r="ED1395" s="10"/>
      <c r="EE1395" s="10"/>
      <c r="EF1395" s="10"/>
      <c r="EG1395" s="10"/>
      <c r="EH1395" s="10"/>
      <c r="EI1395" s="10"/>
      <c r="EJ1395" s="10"/>
      <c r="EK1395" s="10"/>
      <c r="EL1395" s="10"/>
      <c r="EM1395" s="10"/>
      <c r="EN1395" s="10"/>
      <c r="EO1395" s="10"/>
      <c r="EP1395" s="10"/>
      <c r="EQ1395" s="10"/>
      <c r="ER1395" s="10"/>
      <c r="ES1395" s="10"/>
      <c r="ET1395" s="10"/>
      <c r="EU1395" s="10"/>
      <c r="EV1395" s="10"/>
      <c r="EW1395" s="10"/>
      <c r="EX1395" s="10"/>
      <c r="EY1395" s="10"/>
      <c r="EZ1395" s="10"/>
      <c r="FA1395" s="10"/>
      <c r="FB1395" s="10"/>
      <c r="FC1395" s="10"/>
      <c r="FD1395" s="10"/>
      <c r="FE1395" s="10"/>
      <c r="FF1395" s="10"/>
      <c r="FG1395" s="10"/>
      <c r="FH1395" s="10"/>
      <c r="FI1395" s="10"/>
      <c r="FJ1395" s="10"/>
      <c r="FK1395" s="10"/>
      <c r="FL1395" s="10"/>
      <c r="FM1395" s="10"/>
      <c r="FN1395" s="10"/>
      <c r="FO1395" s="10"/>
      <c r="FP1395" s="10"/>
      <c r="FQ1395" s="10"/>
      <c r="FR1395" s="10"/>
      <c r="FS1395" s="10"/>
      <c r="FT1395" s="10"/>
      <c r="FU1395" s="10"/>
      <c r="FV1395" s="10"/>
      <c r="FW1395" s="10"/>
      <c r="FX1395" s="10"/>
      <c r="FY1395" s="10"/>
      <c r="FZ1395" s="10"/>
      <c r="GA1395" s="10"/>
      <c r="GB1395" s="10"/>
      <c r="GC1395" s="10"/>
      <c r="GD1395" s="10"/>
      <c r="GE1395" s="10"/>
      <c r="GF1395" s="10"/>
      <c r="GG1395" s="10"/>
      <c r="GH1395" s="10"/>
      <c r="GI1395" s="10"/>
      <c r="GJ1395" s="10"/>
      <c r="GK1395" s="10"/>
      <c r="GL1395" s="10"/>
      <c r="GM1395" s="10"/>
      <c r="GN1395" s="10"/>
      <c r="GO1395" s="10"/>
      <c r="GP1395" s="10"/>
      <c r="GQ1395" s="10"/>
      <c r="GR1395" s="10"/>
      <c r="GS1395" s="10"/>
      <c r="GT1395" s="10"/>
      <c r="GU1395" s="10"/>
      <c r="GV1395" s="10"/>
      <c r="GW1395" s="10"/>
      <c r="GX1395" s="10"/>
      <c r="GY1395" s="10"/>
      <c r="GZ1395" s="10"/>
      <c r="HA1395" s="10"/>
      <c r="HB1395" s="10"/>
      <c r="HC1395" s="10"/>
      <c r="HD1395" s="10"/>
      <c r="HE1395" s="10"/>
      <c r="HF1395" s="10"/>
      <c r="HG1395" s="10"/>
      <c r="HH1395" s="10"/>
      <c r="HI1395" s="10"/>
      <c r="HJ1395" s="10"/>
      <c r="HK1395" s="10"/>
      <c r="HL1395" s="10"/>
      <c r="HM1395" s="10"/>
      <c r="HN1395" s="10"/>
      <c r="HO1395" s="10"/>
      <c r="HP1395" s="10"/>
      <c r="HQ1395" s="10"/>
      <c r="HR1395" s="10"/>
      <c r="HS1395" s="10"/>
      <c r="HT1395" s="10"/>
      <c r="HU1395" s="10"/>
      <c r="HV1395" s="10"/>
      <c r="HW1395" s="10"/>
      <c r="HX1395" s="10"/>
      <c r="HY1395" s="10"/>
      <c r="HZ1395" s="10"/>
      <c r="IA1395" s="10"/>
      <c r="IB1395" s="10"/>
      <c r="IC1395" s="10"/>
      <c r="ID1395" s="10"/>
      <c r="IE1395" s="10"/>
      <c r="IF1395" s="10"/>
      <c r="IG1395" s="10"/>
      <c r="IH1395" s="10"/>
      <c r="II1395" s="10"/>
      <c r="IJ1395" s="10"/>
      <c r="IK1395" s="10"/>
      <c r="IL1395" s="10"/>
      <c r="IM1395" s="10"/>
      <c r="IN1395" s="10"/>
      <c r="IO1395" s="10"/>
      <c r="IP1395" s="10"/>
      <c r="IQ1395" s="10"/>
      <c r="IR1395" s="10"/>
      <c r="IS1395" s="10"/>
      <c r="IT1395" s="10"/>
      <c r="IU1395" s="10"/>
    </row>
    <row r="1396" spans="1:255" ht="42">
      <c r="F1396" s="105" t="s">
        <v>2105</v>
      </c>
      <c r="G1396"/>
    </row>
    <row r="1397" spans="1:255" ht="28">
      <c r="F1397" s="105" t="s">
        <v>2106</v>
      </c>
      <c r="G1397"/>
    </row>
    <row r="1398" spans="1:255" ht="28">
      <c r="F1398" s="105" t="s">
        <v>2107</v>
      </c>
      <c r="G1398"/>
    </row>
    <row r="1399" spans="1:255">
      <c r="F1399" s="105"/>
      <c r="G1399"/>
    </row>
    <row r="1400" spans="1:255" ht="28">
      <c r="F1400" s="107"/>
      <c r="G1400" s="102" t="s">
        <v>2108</v>
      </c>
    </row>
    <row r="1401" spans="1:255" ht="28">
      <c r="F1401" s="107" t="s">
        <v>2109</v>
      </c>
      <c r="G1401" s="102" t="s">
        <v>2110</v>
      </c>
    </row>
    <row r="1402" spans="1:255" s="88" customFormat="1">
      <c r="A1402" s="108"/>
      <c r="B1402" s="108"/>
      <c r="C1402" s="87"/>
      <c r="D1402" s="109"/>
      <c r="F1402" s="110" t="s">
        <v>2111</v>
      </c>
      <c r="G1402" s="111"/>
      <c r="H1402" s="87"/>
      <c r="I1402" s="92"/>
      <c r="J1402" s="87"/>
      <c r="K1402" s="84"/>
      <c r="L1402" s="73"/>
      <c r="M1402" s="73"/>
      <c r="N1402" s="73"/>
      <c r="O1402" s="8"/>
      <c r="P1402" s="9"/>
      <c r="Q1402" s="10"/>
      <c r="R1402" s="10"/>
      <c r="S1402" s="10"/>
      <c r="T1402" s="10"/>
      <c r="U1402" s="10"/>
      <c r="V1402" s="10"/>
      <c r="W1402" s="10"/>
      <c r="X1402" s="10"/>
      <c r="Y1402" s="10"/>
      <c r="Z1402" s="10"/>
      <c r="AA1402" s="10"/>
      <c r="AB1402" s="10"/>
      <c r="AC1402" s="10"/>
      <c r="AD1402" s="10"/>
      <c r="AE1402" s="10"/>
      <c r="AF1402" s="10"/>
      <c r="AG1402" s="10"/>
      <c r="AH1402" s="10"/>
      <c r="AI1402" s="10"/>
      <c r="AJ1402" s="10"/>
      <c r="AK1402" s="10"/>
      <c r="AL1402" s="10"/>
      <c r="AM1402" s="10"/>
      <c r="AN1402" s="10"/>
      <c r="AO1402" s="10"/>
      <c r="AP1402" s="10"/>
      <c r="AQ1402" s="10"/>
      <c r="AR1402" s="10"/>
      <c r="AS1402" s="10"/>
      <c r="AT1402" s="10"/>
      <c r="AU1402" s="10"/>
      <c r="AV1402" s="10"/>
      <c r="AW1402" s="10"/>
      <c r="AX1402" s="10"/>
      <c r="AY1402" s="10"/>
      <c r="AZ1402" s="10"/>
      <c r="BA1402" s="10"/>
      <c r="BB1402" s="10"/>
      <c r="BC1402" s="10"/>
      <c r="BD1402" s="10"/>
      <c r="BE1402" s="10"/>
      <c r="BF1402" s="10"/>
      <c r="BG1402" s="10"/>
      <c r="BH1402" s="10"/>
      <c r="BI1402" s="10"/>
      <c r="BJ1402" s="10"/>
      <c r="BK1402" s="10"/>
      <c r="BL1402" s="10"/>
      <c r="BM1402" s="10"/>
      <c r="BN1402" s="10"/>
      <c r="BO1402" s="10"/>
      <c r="BP1402" s="10"/>
      <c r="BQ1402" s="10"/>
      <c r="BR1402" s="10"/>
      <c r="BS1402" s="10"/>
      <c r="BT1402" s="10"/>
      <c r="BU1402" s="10"/>
      <c r="BV1402" s="10"/>
      <c r="BW1402" s="10"/>
      <c r="BX1402" s="10"/>
      <c r="BY1402" s="10"/>
      <c r="BZ1402" s="10"/>
      <c r="CA1402" s="10"/>
      <c r="CB1402" s="10"/>
      <c r="CC1402" s="10"/>
      <c r="CD1402" s="10"/>
      <c r="CE1402" s="10"/>
      <c r="CF1402" s="10"/>
      <c r="CG1402" s="10"/>
      <c r="CH1402" s="10"/>
      <c r="CI1402" s="10"/>
      <c r="CJ1402" s="10"/>
      <c r="CK1402" s="10"/>
      <c r="CL1402" s="10"/>
      <c r="CM1402" s="10"/>
      <c r="CN1402" s="10"/>
      <c r="CO1402" s="10"/>
      <c r="CP1402" s="10"/>
      <c r="CQ1402" s="10"/>
      <c r="CR1402" s="10"/>
      <c r="CS1402" s="10"/>
      <c r="CT1402" s="10"/>
      <c r="CU1402" s="10"/>
      <c r="CV1402" s="10"/>
      <c r="CW1402" s="10"/>
      <c r="CX1402" s="10"/>
      <c r="CY1402" s="10"/>
      <c r="CZ1402" s="10"/>
      <c r="DA1402" s="10"/>
      <c r="DB1402" s="10"/>
      <c r="DC1402" s="10"/>
      <c r="DD1402" s="10"/>
      <c r="DE1402" s="10"/>
      <c r="DF1402" s="10"/>
      <c r="DG1402" s="10"/>
      <c r="DH1402" s="10"/>
      <c r="DI1402" s="10"/>
      <c r="DJ1402" s="10"/>
      <c r="DK1402" s="10"/>
      <c r="DL1402" s="10"/>
      <c r="DM1402" s="10"/>
      <c r="DN1402" s="10"/>
      <c r="DO1402" s="10"/>
      <c r="DP1402" s="10"/>
      <c r="DQ1402" s="10"/>
      <c r="DR1402" s="10"/>
      <c r="DS1402" s="10"/>
      <c r="DT1402" s="10"/>
      <c r="DU1402" s="10"/>
      <c r="DV1402" s="10"/>
      <c r="DW1402" s="10"/>
      <c r="DX1402" s="10"/>
      <c r="DY1402" s="10"/>
      <c r="DZ1402" s="10"/>
      <c r="EA1402" s="10"/>
      <c r="EB1402" s="10"/>
      <c r="EC1402" s="10"/>
      <c r="ED1402" s="10"/>
      <c r="EE1402" s="10"/>
      <c r="EF1402" s="10"/>
      <c r="EG1402" s="10"/>
      <c r="EH1402" s="10"/>
      <c r="EI1402" s="10"/>
      <c r="EJ1402" s="10"/>
      <c r="EK1402" s="10"/>
      <c r="EL1402" s="10"/>
      <c r="EM1402" s="10"/>
      <c r="EN1402" s="10"/>
      <c r="EO1402" s="10"/>
      <c r="EP1402" s="10"/>
      <c r="EQ1402" s="10"/>
      <c r="ER1402" s="10"/>
      <c r="ES1402" s="10"/>
      <c r="ET1402" s="10"/>
      <c r="EU1402" s="10"/>
      <c r="EV1402" s="10"/>
      <c r="EW1402" s="10"/>
      <c r="EX1402" s="10"/>
      <c r="EY1402" s="10"/>
      <c r="EZ1402" s="10"/>
      <c r="FA1402" s="10"/>
      <c r="FB1402" s="10"/>
      <c r="FC1402" s="10"/>
      <c r="FD1402" s="10"/>
      <c r="FE1402" s="10"/>
      <c r="FF1402" s="10"/>
      <c r="FG1402" s="10"/>
      <c r="FH1402" s="10"/>
      <c r="FI1402" s="10"/>
      <c r="FJ1402" s="10"/>
      <c r="FK1402" s="10"/>
      <c r="FL1402" s="10"/>
      <c r="FM1402" s="10"/>
      <c r="FN1402" s="10"/>
      <c r="FO1402" s="10"/>
      <c r="FP1402" s="10"/>
      <c r="FQ1402" s="10"/>
      <c r="FR1402" s="10"/>
      <c r="FS1402" s="10"/>
      <c r="FT1402" s="10"/>
      <c r="FU1402" s="10"/>
      <c r="FV1402" s="10"/>
      <c r="FW1402" s="10"/>
      <c r="FX1402" s="10"/>
      <c r="FY1402" s="10"/>
      <c r="FZ1402" s="10"/>
      <c r="GA1402" s="10"/>
      <c r="GB1402" s="10"/>
      <c r="GC1402" s="10"/>
      <c r="GD1402" s="10"/>
      <c r="GE1402" s="10"/>
      <c r="GF1402" s="10"/>
      <c r="GG1402" s="10"/>
      <c r="GH1402" s="10"/>
      <c r="GI1402" s="10"/>
      <c r="GJ1402" s="10"/>
      <c r="GK1402" s="10"/>
      <c r="GL1402" s="10"/>
      <c r="GM1402" s="10"/>
      <c r="GN1402" s="10"/>
      <c r="GO1402" s="10"/>
      <c r="GP1402" s="10"/>
      <c r="GQ1402" s="10"/>
      <c r="GR1402" s="10"/>
      <c r="GS1402" s="10"/>
      <c r="GT1402" s="10"/>
      <c r="GU1402" s="10"/>
      <c r="GV1402" s="10"/>
      <c r="GW1402" s="10"/>
      <c r="GX1402" s="10"/>
      <c r="GY1402" s="10"/>
      <c r="GZ1402" s="10"/>
      <c r="HA1402" s="10"/>
      <c r="HB1402" s="10"/>
      <c r="HC1402" s="10"/>
      <c r="HD1402" s="10"/>
      <c r="HE1402" s="10"/>
      <c r="HF1402" s="10"/>
      <c r="HG1402" s="10"/>
      <c r="HH1402" s="10"/>
      <c r="HI1402" s="10"/>
      <c r="HJ1402" s="10"/>
      <c r="HK1402" s="10"/>
      <c r="HL1402" s="10"/>
      <c r="HM1402" s="10"/>
      <c r="HN1402" s="10"/>
      <c r="HO1402" s="10"/>
      <c r="HP1402" s="10"/>
      <c r="HQ1402" s="10"/>
      <c r="HR1402" s="10"/>
      <c r="HS1402" s="10"/>
      <c r="HT1402" s="10"/>
      <c r="HU1402" s="10"/>
      <c r="HV1402" s="10"/>
      <c r="HW1402" s="10"/>
      <c r="HX1402" s="10"/>
      <c r="HY1402" s="10"/>
      <c r="HZ1402" s="10"/>
      <c r="IA1402" s="10"/>
      <c r="IB1402" s="10"/>
      <c r="IC1402" s="10"/>
      <c r="ID1402" s="10"/>
      <c r="IE1402" s="10"/>
      <c r="IF1402" s="10"/>
      <c r="IG1402" s="10"/>
      <c r="IH1402" s="10"/>
      <c r="II1402" s="10"/>
      <c r="IJ1402" s="10"/>
      <c r="IK1402" s="10"/>
      <c r="IL1402" s="10"/>
      <c r="IM1402" s="10"/>
      <c r="IN1402" s="10"/>
      <c r="IO1402" s="10"/>
      <c r="IP1402" s="10"/>
      <c r="IQ1402" s="10"/>
      <c r="IR1402" s="10"/>
    </row>
    <row r="1403" spans="1:255" s="88" customFormat="1">
      <c r="A1403" s="108"/>
      <c r="B1403" s="108"/>
      <c r="C1403" s="87"/>
      <c r="D1403" s="109"/>
      <c r="F1403" s="110" t="s">
        <v>2112</v>
      </c>
      <c r="G1403" s="111"/>
      <c r="H1403" s="87"/>
      <c r="I1403" s="92"/>
      <c r="J1403" s="87"/>
      <c r="K1403" s="84"/>
      <c r="L1403" s="73"/>
      <c r="M1403" s="73"/>
      <c r="N1403" s="73"/>
      <c r="O1403" s="8"/>
      <c r="P1403" s="9"/>
      <c r="Q1403" s="10"/>
      <c r="R1403" s="10"/>
      <c r="S1403" s="10"/>
      <c r="T1403" s="10"/>
      <c r="U1403" s="10"/>
      <c r="V1403" s="10"/>
      <c r="W1403" s="10"/>
      <c r="X1403" s="10"/>
      <c r="Y1403" s="10"/>
      <c r="Z1403" s="10"/>
      <c r="AA1403" s="10"/>
      <c r="AB1403" s="10"/>
      <c r="AC1403" s="10"/>
      <c r="AD1403" s="10"/>
      <c r="AE1403" s="10"/>
      <c r="AF1403" s="10"/>
      <c r="AG1403" s="10"/>
      <c r="AH1403" s="10"/>
      <c r="AI1403" s="10"/>
      <c r="AJ1403" s="10"/>
      <c r="AK1403" s="10"/>
      <c r="AL1403" s="10"/>
      <c r="AM1403" s="10"/>
      <c r="AN1403" s="10"/>
      <c r="AO1403" s="10"/>
      <c r="AP1403" s="10"/>
      <c r="AQ1403" s="10"/>
      <c r="AR1403" s="10"/>
      <c r="AS1403" s="10"/>
      <c r="AT1403" s="10"/>
      <c r="AU1403" s="10"/>
      <c r="AV1403" s="10"/>
      <c r="AW1403" s="10"/>
      <c r="AX1403" s="10"/>
      <c r="AY1403" s="10"/>
      <c r="AZ1403" s="10"/>
      <c r="BA1403" s="10"/>
      <c r="BB1403" s="10"/>
      <c r="BC1403" s="10"/>
      <c r="BD1403" s="10"/>
      <c r="BE1403" s="10"/>
      <c r="BF1403" s="10"/>
      <c r="BG1403" s="10"/>
      <c r="BH1403" s="10"/>
      <c r="BI1403" s="10"/>
      <c r="BJ1403" s="10"/>
      <c r="BK1403" s="10"/>
      <c r="BL1403" s="10"/>
      <c r="BM1403" s="10"/>
      <c r="BN1403" s="10"/>
      <c r="BO1403" s="10"/>
      <c r="BP1403" s="10"/>
      <c r="BQ1403" s="10"/>
      <c r="BR1403" s="10"/>
      <c r="BS1403" s="10"/>
      <c r="BT1403" s="10"/>
      <c r="BU1403" s="10"/>
      <c r="BV1403" s="10"/>
      <c r="BW1403" s="10"/>
      <c r="BX1403" s="10"/>
      <c r="BY1403" s="10"/>
      <c r="BZ1403" s="10"/>
      <c r="CA1403" s="10"/>
      <c r="CB1403" s="10"/>
      <c r="CC1403" s="10"/>
      <c r="CD1403" s="10"/>
      <c r="CE1403" s="10"/>
      <c r="CF1403" s="10"/>
      <c r="CG1403" s="10"/>
      <c r="CH1403" s="10"/>
      <c r="CI1403" s="10"/>
      <c r="CJ1403" s="10"/>
      <c r="CK1403" s="10"/>
      <c r="CL1403" s="10"/>
      <c r="CM1403" s="10"/>
      <c r="CN1403" s="10"/>
      <c r="CO1403" s="10"/>
      <c r="CP1403" s="10"/>
      <c r="CQ1403" s="10"/>
      <c r="CR1403" s="10"/>
      <c r="CS1403" s="10"/>
      <c r="CT1403" s="10"/>
      <c r="CU1403" s="10"/>
      <c r="CV1403" s="10"/>
      <c r="CW1403" s="10"/>
      <c r="CX1403" s="10"/>
      <c r="CY1403" s="10"/>
      <c r="CZ1403" s="10"/>
      <c r="DA1403" s="10"/>
      <c r="DB1403" s="10"/>
      <c r="DC1403" s="10"/>
      <c r="DD1403" s="10"/>
      <c r="DE1403" s="10"/>
      <c r="DF1403" s="10"/>
      <c r="DG1403" s="10"/>
      <c r="DH1403" s="10"/>
      <c r="DI1403" s="10"/>
      <c r="DJ1403" s="10"/>
      <c r="DK1403" s="10"/>
      <c r="DL1403" s="10"/>
      <c r="DM1403" s="10"/>
      <c r="DN1403" s="10"/>
      <c r="DO1403" s="10"/>
      <c r="DP1403" s="10"/>
      <c r="DQ1403" s="10"/>
      <c r="DR1403" s="10"/>
      <c r="DS1403" s="10"/>
      <c r="DT1403" s="10"/>
      <c r="DU1403" s="10"/>
      <c r="DV1403" s="10"/>
      <c r="DW1403" s="10"/>
      <c r="DX1403" s="10"/>
      <c r="DY1403" s="10"/>
      <c r="DZ1403" s="10"/>
      <c r="EA1403" s="10"/>
      <c r="EB1403" s="10"/>
      <c r="EC1403" s="10"/>
      <c r="ED1403" s="10"/>
      <c r="EE1403" s="10"/>
      <c r="EF1403" s="10"/>
      <c r="EG1403" s="10"/>
      <c r="EH1403" s="10"/>
      <c r="EI1403" s="10"/>
      <c r="EJ1403" s="10"/>
      <c r="EK1403" s="10"/>
      <c r="EL1403" s="10"/>
      <c r="EM1403" s="10"/>
      <c r="EN1403" s="10"/>
      <c r="EO1403" s="10"/>
      <c r="EP1403" s="10"/>
      <c r="EQ1403" s="10"/>
      <c r="ER1403" s="10"/>
      <c r="ES1403" s="10"/>
      <c r="ET1403" s="10"/>
      <c r="EU1403" s="10"/>
      <c r="EV1403" s="10"/>
      <c r="EW1403" s="10"/>
      <c r="EX1403" s="10"/>
      <c r="EY1403" s="10"/>
      <c r="EZ1403" s="10"/>
      <c r="FA1403" s="10"/>
      <c r="FB1403" s="10"/>
      <c r="FC1403" s="10"/>
      <c r="FD1403" s="10"/>
      <c r="FE1403" s="10"/>
      <c r="FF1403" s="10"/>
      <c r="FG1403" s="10"/>
      <c r="FH1403" s="10"/>
      <c r="FI1403" s="10"/>
      <c r="FJ1403" s="10"/>
      <c r="FK1403" s="10"/>
      <c r="FL1403" s="10"/>
      <c r="FM1403" s="10"/>
      <c r="FN1403" s="10"/>
      <c r="FO1403" s="10"/>
      <c r="FP1403" s="10"/>
      <c r="FQ1403" s="10"/>
      <c r="FR1403" s="10"/>
      <c r="FS1403" s="10"/>
      <c r="FT1403" s="10"/>
      <c r="FU1403" s="10"/>
      <c r="FV1403" s="10"/>
      <c r="FW1403" s="10"/>
      <c r="FX1403" s="10"/>
      <c r="FY1403" s="10"/>
      <c r="FZ1403" s="10"/>
      <c r="GA1403" s="10"/>
      <c r="GB1403" s="10"/>
      <c r="GC1403" s="10"/>
      <c r="GD1403" s="10"/>
      <c r="GE1403" s="10"/>
      <c r="GF1403" s="10"/>
      <c r="GG1403" s="10"/>
      <c r="GH1403" s="10"/>
      <c r="GI1403" s="10"/>
      <c r="GJ1403" s="10"/>
      <c r="GK1403" s="10"/>
      <c r="GL1403" s="10"/>
      <c r="GM1403" s="10"/>
      <c r="GN1403" s="10"/>
      <c r="GO1403" s="10"/>
      <c r="GP1403" s="10"/>
      <c r="GQ1403" s="10"/>
      <c r="GR1403" s="10"/>
      <c r="GS1403" s="10"/>
      <c r="GT1403" s="10"/>
      <c r="GU1403" s="10"/>
      <c r="GV1403" s="10"/>
      <c r="GW1403" s="10"/>
      <c r="GX1403" s="10"/>
      <c r="GY1403" s="10"/>
      <c r="GZ1403" s="10"/>
      <c r="HA1403" s="10"/>
      <c r="HB1403" s="10"/>
      <c r="HC1403" s="10"/>
      <c r="HD1403" s="10"/>
      <c r="HE1403" s="10"/>
      <c r="HF1403" s="10"/>
      <c r="HG1403" s="10"/>
      <c r="HH1403" s="10"/>
      <c r="HI1403" s="10"/>
      <c r="HJ1403" s="10"/>
      <c r="HK1403" s="10"/>
      <c r="HL1403" s="10"/>
      <c r="HM1403" s="10"/>
      <c r="HN1403" s="10"/>
      <c r="HO1403" s="10"/>
      <c r="HP1403" s="10"/>
      <c r="HQ1403" s="10"/>
      <c r="HR1403" s="10"/>
      <c r="HS1403" s="10"/>
      <c r="HT1403" s="10"/>
      <c r="HU1403" s="10"/>
      <c r="HV1403" s="10"/>
      <c r="HW1403" s="10"/>
      <c r="HX1403" s="10"/>
      <c r="HY1403" s="10"/>
      <c r="HZ1403" s="10"/>
      <c r="IA1403" s="10"/>
      <c r="IB1403" s="10"/>
      <c r="IC1403" s="10"/>
      <c r="ID1403" s="10"/>
      <c r="IE1403" s="10"/>
      <c r="IF1403" s="10"/>
      <c r="IG1403" s="10"/>
      <c r="IH1403" s="10"/>
      <c r="II1403" s="10"/>
      <c r="IJ1403" s="10"/>
      <c r="IK1403" s="10"/>
      <c r="IL1403" s="10"/>
      <c r="IM1403" s="10"/>
      <c r="IN1403" s="10"/>
      <c r="IO1403" s="10"/>
      <c r="IP1403" s="10"/>
      <c r="IQ1403" s="10"/>
      <c r="IR1403" s="10"/>
    </row>
    <row r="1404" spans="1:255" s="88" customFormat="1">
      <c r="A1404" s="11"/>
      <c r="B1404" s="11"/>
      <c r="C1404" s="87"/>
      <c r="D1404" s="109"/>
      <c r="F1404" s="110" t="s">
        <v>2113</v>
      </c>
      <c r="G1404" s="111"/>
      <c r="H1404" s="87"/>
      <c r="I1404" s="92"/>
      <c r="J1404" s="87"/>
      <c r="K1404" s="84"/>
      <c r="L1404" s="73"/>
      <c r="M1404" s="73"/>
      <c r="N1404" s="73"/>
      <c r="O1404" s="8"/>
      <c r="P1404" s="9"/>
      <c r="Q1404" s="10"/>
      <c r="R1404" s="10"/>
      <c r="S1404" s="10"/>
      <c r="T1404" s="10"/>
      <c r="U1404" s="10"/>
      <c r="V1404" s="10"/>
      <c r="W1404" s="10"/>
      <c r="X1404" s="10"/>
      <c r="Y1404" s="10"/>
      <c r="Z1404" s="10"/>
      <c r="AA1404" s="10"/>
      <c r="AB1404" s="10"/>
      <c r="AC1404" s="10"/>
      <c r="AD1404" s="10"/>
      <c r="AE1404" s="10"/>
      <c r="AF1404" s="10"/>
      <c r="AG1404" s="10"/>
      <c r="AH1404" s="10"/>
      <c r="AI1404" s="10"/>
      <c r="AJ1404" s="10"/>
      <c r="AK1404" s="10"/>
      <c r="AL1404" s="10"/>
      <c r="AM1404" s="10"/>
      <c r="AN1404" s="10"/>
      <c r="AO1404" s="10"/>
      <c r="AP1404" s="10"/>
      <c r="AQ1404" s="10"/>
      <c r="AR1404" s="10"/>
      <c r="AS1404" s="10"/>
      <c r="AT1404" s="10"/>
      <c r="AU1404" s="10"/>
      <c r="AV1404" s="10"/>
      <c r="AW1404" s="10"/>
      <c r="AX1404" s="10"/>
      <c r="AY1404" s="10"/>
      <c r="AZ1404" s="10"/>
      <c r="BA1404" s="10"/>
      <c r="BB1404" s="10"/>
      <c r="BC1404" s="10"/>
      <c r="BD1404" s="10"/>
      <c r="BE1404" s="10"/>
      <c r="BF1404" s="10"/>
      <c r="BG1404" s="10"/>
      <c r="BH1404" s="10"/>
      <c r="BI1404" s="10"/>
      <c r="BJ1404" s="10"/>
      <c r="BK1404" s="10"/>
      <c r="BL1404" s="10"/>
      <c r="BM1404" s="10"/>
      <c r="BN1404" s="10"/>
      <c r="BO1404" s="10"/>
      <c r="BP1404" s="10"/>
      <c r="BQ1404" s="10"/>
      <c r="BR1404" s="10"/>
      <c r="BS1404" s="10"/>
      <c r="BT1404" s="10"/>
      <c r="BU1404" s="10"/>
      <c r="BV1404" s="10"/>
      <c r="BW1404" s="10"/>
      <c r="BX1404" s="10"/>
      <c r="BY1404" s="10"/>
      <c r="BZ1404" s="10"/>
      <c r="CA1404" s="10"/>
      <c r="CB1404" s="10"/>
      <c r="CC1404" s="10"/>
      <c r="CD1404" s="10"/>
      <c r="CE1404" s="10"/>
      <c r="CF1404" s="10"/>
      <c r="CG1404" s="10"/>
      <c r="CH1404" s="10"/>
      <c r="CI1404" s="10"/>
      <c r="CJ1404" s="10"/>
      <c r="CK1404" s="10"/>
      <c r="CL1404" s="10"/>
      <c r="CM1404" s="10"/>
      <c r="CN1404" s="10"/>
      <c r="CO1404" s="10"/>
      <c r="CP1404" s="10"/>
      <c r="CQ1404" s="10"/>
      <c r="CR1404" s="10"/>
      <c r="CS1404" s="10"/>
      <c r="CT1404" s="10"/>
      <c r="CU1404" s="10"/>
      <c r="CV1404" s="10"/>
      <c r="CW1404" s="10"/>
      <c r="CX1404" s="10"/>
      <c r="CY1404" s="10"/>
      <c r="CZ1404" s="10"/>
      <c r="DA1404" s="10"/>
      <c r="DB1404" s="10"/>
      <c r="DC1404" s="10"/>
      <c r="DD1404" s="10"/>
      <c r="DE1404" s="10"/>
      <c r="DF1404" s="10"/>
      <c r="DG1404" s="10"/>
      <c r="DH1404" s="10"/>
      <c r="DI1404" s="10"/>
      <c r="DJ1404" s="10"/>
      <c r="DK1404" s="10"/>
      <c r="DL1404" s="10"/>
      <c r="DM1404" s="10"/>
      <c r="DN1404" s="10"/>
      <c r="DO1404" s="10"/>
      <c r="DP1404" s="10"/>
      <c r="DQ1404" s="10"/>
      <c r="DR1404" s="10"/>
      <c r="DS1404" s="10"/>
      <c r="DT1404" s="10"/>
      <c r="DU1404" s="10"/>
      <c r="DV1404" s="10"/>
      <c r="DW1404" s="10"/>
      <c r="DX1404" s="10"/>
      <c r="DY1404" s="10"/>
      <c r="DZ1404" s="10"/>
      <c r="EA1404" s="10"/>
      <c r="EB1404" s="10"/>
      <c r="EC1404" s="10"/>
      <c r="ED1404" s="10"/>
      <c r="EE1404" s="10"/>
      <c r="EF1404" s="10"/>
      <c r="EG1404" s="10"/>
      <c r="EH1404" s="10"/>
      <c r="EI1404" s="10"/>
      <c r="EJ1404" s="10"/>
      <c r="EK1404" s="10"/>
      <c r="EL1404" s="10"/>
      <c r="EM1404" s="10"/>
      <c r="EN1404" s="10"/>
      <c r="EO1404" s="10"/>
      <c r="EP1404" s="10"/>
      <c r="EQ1404" s="10"/>
      <c r="ER1404" s="10"/>
      <c r="ES1404" s="10"/>
      <c r="ET1404" s="10"/>
      <c r="EU1404" s="10"/>
      <c r="EV1404" s="10"/>
      <c r="EW1404" s="10"/>
      <c r="EX1404" s="10"/>
      <c r="EY1404" s="10"/>
      <c r="EZ1404" s="10"/>
      <c r="FA1404" s="10"/>
      <c r="FB1404" s="10"/>
      <c r="FC1404" s="10"/>
      <c r="FD1404" s="10"/>
      <c r="FE1404" s="10"/>
      <c r="FF1404" s="10"/>
      <c r="FG1404" s="10"/>
      <c r="FH1404" s="10"/>
      <c r="FI1404" s="10"/>
      <c r="FJ1404" s="10"/>
      <c r="FK1404" s="10"/>
      <c r="FL1404" s="10"/>
      <c r="FM1404" s="10"/>
      <c r="FN1404" s="10"/>
      <c r="FO1404" s="10"/>
      <c r="FP1404" s="10"/>
      <c r="FQ1404" s="10"/>
      <c r="FR1404" s="10"/>
      <c r="FS1404" s="10"/>
      <c r="FT1404" s="10"/>
      <c r="FU1404" s="10"/>
      <c r="FV1404" s="10"/>
      <c r="FW1404" s="10"/>
      <c r="FX1404" s="10"/>
      <c r="FY1404" s="10"/>
      <c r="FZ1404" s="10"/>
      <c r="GA1404" s="10"/>
      <c r="GB1404" s="10"/>
      <c r="GC1404" s="10"/>
      <c r="GD1404" s="10"/>
      <c r="GE1404" s="10"/>
      <c r="GF1404" s="10"/>
      <c r="GG1404" s="10"/>
      <c r="GH1404" s="10"/>
      <c r="GI1404" s="10"/>
      <c r="GJ1404" s="10"/>
      <c r="GK1404" s="10"/>
      <c r="GL1404" s="10"/>
      <c r="GM1404" s="10"/>
      <c r="GN1404" s="10"/>
      <c r="GO1404" s="10"/>
      <c r="GP1404" s="10"/>
      <c r="GQ1404" s="10"/>
      <c r="GR1404" s="10"/>
      <c r="GS1404" s="10"/>
      <c r="GT1404" s="10"/>
      <c r="GU1404" s="10"/>
      <c r="GV1404" s="10"/>
      <c r="GW1404" s="10"/>
      <c r="GX1404" s="10"/>
      <c r="GY1404" s="10"/>
      <c r="GZ1404" s="10"/>
      <c r="HA1404" s="10"/>
      <c r="HB1404" s="10"/>
      <c r="HC1404" s="10"/>
      <c r="HD1404" s="10"/>
      <c r="HE1404" s="10"/>
      <c r="HF1404" s="10"/>
      <c r="HG1404" s="10"/>
      <c r="HH1404" s="10"/>
      <c r="HI1404" s="10"/>
      <c r="HJ1404" s="10"/>
      <c r="HK1404" s="10"/>
      <c r="HL1404" s="10"/>
      <c r="HM1404" s="10"/>
      <c r="HN1404" s="10"/>
      <c r="HO1404" s="10"/>
      <c r="HP1404" s="10"/>
      <c r="HQ1404" s="10"/>
      <c r="HR1404" s="10"/>
      <c r="HS1404" s="10"/>
      <c r="HT1404" s="10"/>
      <c r="HU1404" s="10"/>
      <c r="HV1404" s="10"/>
      <c r="HW1404" s="10"/>
      <c r="HX1404" s="10"/>
      <c r="HY1404" s="10"/>
      <c r="HZ1404" s="10"/>
      <c r="IA1404" s="10"/>
      <c r="IB1404" s="10"/>
      <c r="IC1404" s="10"/>
      <c r="ID1404" s="10"/>
      <c r="IE1404" s="10"/>
      <c r="IF1404" s="10"/>
      <c r="IG1404" s="10"/>
      <c r="IH1404" s="10"/>
      <c r="II1404" s="10"/>
      <c r="IJ1404" s="10"/>
      <c r="IK1404" s="10"/>
      <c r="IL1404" s="10"/>
      <c r="IM1404" s="10"/>
      <c r="IN1404" s="10"/>
      <c r="IO1404" s="10"/>
      <c r="IP1404" s="10"/>
      <c r="IQ1404" s="10"/>
      <c r="IR1404" s="10"/>
    </row>
    <row r="1405" spans="1:255" s="88" customFormat="1">
      <c r="A1405" s="11"/>
      <c r="B1405" s="11"/>
      <c r="C1405" s="87"/>
      <c r="D1405" s="109"/>
      <c r="F1405" s="110" t="s">
        <v>2114</v>
      </c>
      <c r="G1405" s="111"/>
      <c r="H1405" s="87"/>
      <c r="I1405" s="92"/>
      <c r="J1405" s="87"/>
      <c r="K1405" s="84"/>
      <c r="L1405" s="73"/>
      <c r="M1405" s="73"/>
      <c r="N1405" s="73"/>
      <c r="O1405" s="8"/>
      <c r="P1405" s="9"/>
      <c r="Q1405" s="10"/>
      <c r="R1405" s="10"/>
      <c r="S1405" s="10"/>
      <c r="T1405" s="10"/>
      <c r="U1405" s="10"/>
      <c r="V1405" s="10"/>
      <c r="W1405" s="10"/>
      <c r="X1405" s="10"/>
      <c r="Y1405" s="10"/>
      <c r="Z1405" s="10"/>
      <c r="AA1405" s="10"/>
      <c r="AB1405" s="10"/>
      <c r="AC1405" s="10"/>
      <c r="AD1405" s="10"/>
      <c r="AE1405" s="10"/>
      <c r="AF1405" s="10"/>
      <c r="AG1405" s="10"/>
      <c r="AH1405" s="10"/>
      <c r="AI1405" s="10"/>
      <c r="AJ1405" s="10"/>
      <c r="AK1405" s="10"/>
      <c r="AL1405" s="10"/>
      <c r="AM1405" s="10"/>
      <c r="AN1405" s="10"/>
      <c r="AO1405" s="10"/>
      <c r="AP1405" s="10"/>
      <c r="AQ1405" s="10"/>
      <c r="AR1405" s="10"/>
      <c r="AS1405" s="10"/>
      <c r="AT1405" s="10"/>
      <c r="AU1405" s="10"/>
      <c r="AV1405" s="10"/>
      <c r="AW1405" s="10"/>
      <c r="AX1405" s="10"/>
      <c r="AY1405" s="10"/>
      <c r="AZ1405" s="10"/>
      <c r="BA1405" s="10"/>
      <c r="BB1405" s="10"/>
      <c r="BC1405" s="10"/>
      <c r="BD1405" s="10"/>
      <c r="BE1405" s="10"/>
      <c r="BF1405" s="10"/>
      <c r="BG1405" s="10"/>
      <c r="BH1405" s="10"/>
      <c r="BI1405" s="10"/>
      <c r="BJ1405" s="10"/>
      <c r="BK1405" s="10"/>
      <c r="BL1405" s="10"/>
      <c r="BM1405" s="10"/>
      <c r="BN1405" s="10"/>
      <c r="BO1405" s="10"/>
      <c r="BP1405" s="10"/>
      <c r="BQ1405" s="10"/>
      <c r="BR1405" s="10"/>
      <c r="BS1405" s="10"/>
      <c r="BT1405" s="10"/>
      <c r="BU1405" s="10"/>
      <c r="BV1405" s="10"/>
      <c r="BW1405" s="10"/>
      <c r="BX1405" s="10"/>
      <c r="BY1405" s="10"/>
      <c r="BZ1405" s="10"/>
      <c r="CA1405" s="10"/>
      <c r="CB1405" s="10"/>
      <c r="CC1405" s="10"/>
      <c r="CD1405" s="10"/>
      <c r="CE1405" s="10"/>
      <c r="CF1405" s="10"/>
      <c r="CG1405" s="10"/>
      <c r="CH1405" s="10"/>
      <c r="CI1405" s="10"/>
      <c r="CJ1405" s="10"/>
      <c r="CK1405" s="10"/>
      <c r="CL1405" s="10"/>
      <c r="CM1405" s="10"/>
      <c r="CN1405" s="10"/>
      <c r="CO1405" s="10"/>
      <c r="CP1405" s="10"/>
      <c r="CQ1405" s="10"/>
      <c r="CR1405" s="10"/>
      <c r="CS1405" s="10"/>
      <c r="CT1405" s="10"/>
      <c r="CU1405" s="10"/>
      <c r="CV1405" s="10"/>
      <c r="CW1405" s="10"/>
      <c r="CX1405" s="10"/>
      <c r="CY1405" s="10"/>
      <c r="CZ1405" s="10"/>
      <c r="DA1405" s="10"/>
      <c r="DB1405" s="10"/>
      <c r="DC1405" s="10"/>
      <c r="DD1405" s="10"/>
      <c r="DE1405" s="10"/>
      <c r="DF1405" s="10"/>
      <c r="DG1405" s="10"/>
      <c r="DH1405" s="10"/>
      <c r="DI1405" s="10"/>
      <c r="DJ1405" s="10"/>
      <c r="DK1405" s="10"/>
      <c r="DL1405" s="10"/>
      <c r="DM1405" s="10"/>
      <c r="DN1405" s="10"/>
      <c r="DO1405" s="10"/>
      <c r="DP1405" s="10"/>
      <c r="DQ1405" s="10"/>
      <c r="DR1405" s="10"/>
      <c r="DS1405" s="10"/>
      <c r="DT1405" s="10"/>
      <c r="DU1405" s="10"/>
      <c r="DV1405" s="10"/>
      <c r="DW1405" s="10"/>
      <c r="DX1405" s="10"/>
      <c r="DY1405" s="10"/>
      <c r="DZ1405" s="10"/>
      <c r="EA1405" s="10"/>
      <c r="EB1405" s="10"/>
      <c r="EC1405" s="10"/>
      <c r="ED1405" s="10"/>
      <c r="EE1405" s="10"/>
      <c r="EF1405" s="10"/>
      <c r="EG1405" s="10"/>
      <c r="EH1405" s="10"/>
      <c r="EI1405" s="10"/>
      <c r="EJ1405" s="10"/>
      <c r="EK1405" s="10"/>
      <c r="EL1405" s="10"/>
      <c r="EM1405" s="10"/>
      <c r="EN1405" s="10"/>
      <c r="EO1405" s="10"/>
      <c r="EP1405" s="10"/>
      <c r="EQ1405" s="10"/>
      <c r="ER1405" s="10"/>
      <c r="ES1405" s="10"/>
      <c r="ET1405" s="10"/>
      <c r="EU1405" s="10"/>
      <c r="EV1405" s="10"/>
      <c r="EW1405" s="10"/>
      <c r="EX1405" s="10"/>
      <c r="EY1405" s="10"/>
      <c r="EZ1405" s="10"/>
      <c r="FA1405" s="10"/>
      <c r="FB1405" s="10"/>
      <c r="FC1405" s="10"/>
      <c r="FD1405" s="10"/>
      <c r="FE1405" s="10"/>
      <c r="FF1405" s="10"/>
      <c r="FG1405" s="10"/>
      <c r="FH1405" s="10"/>
      <c r="FI1405" s="10"/>
      <c r="FJ1405" s="10"/>
      <c r="FK1405" s="10"/>
      <c r="FL1405" s="10"/>
      <c r="FM1405" s="10"/>
      <c r="FN1405" s="10"/>
      <c r="FO1405" s="10"/>
      <c r="FP1405" s="10"/>
      <c r="FQ1405" s="10"/>
      <c r="FR1405" s="10"/>
      <c r="FS1405" s="10"/>
      <c r="FT1405" s="10"/>
      <c r="FU1405" s="10"/>
      <c r="FV1405" s="10"/>
      <c r="FW1405" s="10"/>
      <c r="FX1405" s="10"/>
      <c r="FY1405" s="10"/>
      <c r="FZ1405" s="10"/>
      <c r="GA1405" s="10"/>
      <c r="GB1405" s="10"/>
      <c r="GC1405" s="10"/>
      <c r="GD1405" s="10"/>
      <c r="GE1405" s="10"/>
      <c r="GF1405" s="10"/>
      <c r="GG1405" s="10"/>
      <c r="GH1405" s="10"/>
      <c r="GI1405" s="10"/>
      <c r="GJ1405" s="10"/>
      <c r="GK1405" s="10"/>
      <c r="GL1405" s="10"/>
      <c r="GM1405" s="10"/>
      <c r="GN1405" s="10"/>
      <c r="GO1405" s="10"/>
      <c r="GP1405" s="10"/>
      <c r="GQ1405" s="10"/>
      <c r="GR1405" s="10"/>
      <c r="GS1405" s="10"/>
      <c r="GT1405" s="10"/>
      <c r="GU1405" s="10"/>
      <c r="GV1405" s="10"/>
      <c r="GW1405" s="10"/>
      <c r="GX1405" s="10"/>
      <c r="GY1405" s="10"/>
      <c r="GZ1405" s="10"/>
      <c r="HA1405" s="10"/>
      <c r="HB1405" s="10"/>
      <c r="HC1405" s="10"/>
      <c r="HD1405" s="10"/>
      <c r="HE1405" s="10"/>
      <c r="HF1405" s="10"/>
      <c r="HG1405" s="10"/>
      <c r="HH1405" s="10"/>
      <c r="HI1405" s="10"/>
      <c r="HJ1405" s="10"/>
      <c r="HK1405" s="10"/>
      <c r="HL1405" s="10"/>
      <c r="HM1405" s="10"/>
      <c r="HN1405" s="10"/>
      <c r="HO1405" s="10"/>
      <c r="HP1405" s="10"/>
      <c r="HQ1405" s="10"/>
      <c r="HR1405" s="10"/>
      <c r="HS1405" s="10"/>
      <c r="HT1405" s="10"/>
      <c r="HU1405" s="10"/>
      <c r="HV1405" s="10"/>
      <c r="HW1405" s="10"/>
      <c r="HX1405" s="10"/>
      <c r="HY1405" s="10"/>
      <c r="HZ1405" s="10"/>
      <c r="IA1405" s="10"/>
      <c r="IB1405" s="10"/>
      <c r="IC1405" s="10"/>
      <c r="ID1405" s="10"/>
      <c r="IE1405" s="10"/>
      <c r="IF1405" s="10"/>
      <c r="IG1405" s="10"/>
      <c r="IH1405" s="10"/>
      <c r="II1405" s="10"/>
      <c r="IJ1405" s="10"/>
      <c r="IK1405" s="10"/>
      <c r="IL1405" s="10"/>
      <c r="IM1405" s="10"/>
      <c r="IN1405" s="10"/>
      <c r="IO1405" s="10"/>
      <c r="IP1405" s="10"/>
      <c r="IQ1405" s="10"/>
      <c r="IR1405" s="10"/>
    </row>
    <row r="1406" spans="1:255" s="88" customFormat="1" ht="14">
      <c r="A1406" s="11"/>
      <c r="B1406" s="11"/>
      <c r="C1406" s="87"/>
      <c r="D1406" s="109"/>
      <c r="F1406" s="112"/>
      <c r="G1406" s="102" t="s">
        <v>2115</v>
      </c>
      <c r="H1406" s="87"/>
      <c r="I1406" s="92"/>
      <c r="J1406" s="87"/>
      <c r="K1406" s="84"/>
      <c r="L1406" s="73"/>
      <c r="M1406" s="73"/>
      <c r="N1406" s="73"/>
      <c r="O1406" s="8"/>
      <c r="P1406" s="9"/>
      <c r="Q1406" s="10"/>
      <c r="R1406" s="10"/>
      <c r="S1406" s="10"/>
      <c r="T1406" s="10"/>
      <c r="U1406" s="10"/>
      <c r="V1406" s="10"/>
      <c r="W1406" s="10"/>
      <c r="X1406" s="10"/>
      <c r="Y1406" s="10"/>
      <c r="Z1406" s="10"/>
      <c r="AA1406" s="10"/>
      <c r="AB1406" s="10"/>
      <c r="AC1406" s="10"/>
      <c r="AD1406" s="10"/>
      <c r="AE1406" s="10"/>
      <c r="AF1406" s="10"/>
      <c r="AG1406" s="10"/>
      <c r="AH1406" s="10"/>
      <c r="AI1406" s="10"/>
      <c r="AJ1406" s="10"/>
      <c r="AK1406" s="10"/>
      <c r="AL1406" s="10"/>
      <c r="AM1406" s="10"/>
      <c r="AN1406" s="10"/>
      <c r="AO1406" s="10"/>
      <c r="AP1406" s="10"/>
      <c r="AQ1406" s="10"/>
      <c r="AR1406" s="10"/>
      <c r="AS1406" s="10"/>
      <c r="AT1406" s="10"/>
      <c r="AU1406" s="10"/>
      <c r="AV1406" s="10"/>
      <c r="AW1406" s="10"/>
      <c r="AX1406" s="10"/>
      <c r="AY1406" s="10"/>
      <c r="AZ1406" s="10"/>
      <c r="BA1406" s="10"/>
      <c r="BB1406" s="10"/>
      <c r="BC1406" s="10"/>
      <c r="BD1406" s="10"/>
      <c r="BE1406" s="10"/>
      <c r="BF1406" s="10"/>
      <c r="BG1406" s="10"/>
      <c r="BH1406" s="10"/>
      <c r="BI1406" s="10"/>
      <c r="BJ1406" s="10"/>
      <c r="BK1406" s="10"/>
      <c r="BL1406" s="10"/>
      <c r="BM1406" s="10"/>
      <c r="BN1406" s="10"/>
      <c r="BO1406" s="10"/>
      <c r="BP1406" s="10"/>
      <c r="BQ1406" s="10"/>
      <c r="BR1406" s="10"/>
      <c r="BS1406" s="10"/>
      <c r="BT1406" s="10"/>
      <c r="BU1406" s="10"/>
      <c r="BV1406" s="10"/>
      <c r="BW1406" s="10"/>
      <c r="BX1406" s="10"/>
      <c r="BY1406" s="10"/>
      <c r="BZ1406" s="10"/>
      <c r="CA1406" s="10"/>
      <c r="CB1406" s="10"/>
      <c r="CC1406" s="10"/>
      <c r="CD1406" s="10"/>
      <c r="CE1406" s="10"/>
      <c r="CF1406" s="10"/>
      <c r="CG1406" s="10"/>
      <c r="CH1406" s="10"/>
      <c r="CI1406" s="10"/>
      <c r="CJ1406" s="10"/>
      <c r="CK1406" s="10"/>
      <c r="CL1406" s="10"/>
      <c r="CM1406" s="10"/>
      <c r="CN1406" s="10"/>
      <c r="CO1406" s="10"/>
      <c r="CP1406" s="10"/>
      <c r="CQ1406" s="10"/>
      <c r="CR1406" s="10"/>
      <c r="CS1406" s="10"/>
      <c r="CT1406" s="10"/>
      <c r="CU1406" s="10"/>
      <c r="CV1406" s="10"/>
      <c r="CW1406" s="10"/>
      <c r="CX1406" s="10"/>
      <c r="CY1406" s="10"/>
      <c r="CZ1406" s="10"/>
      <c r="DA1406" s="10"/>
      <c r="DB1406" s="10"/>
      <c r="DC1406" s="10"/>
      <c r="DD1406" s="10"/>
      <c r="DE1406" s="10"/>
      <c r="DF1406" s="10"/>
      <c r="DG1406" s="10"/>
      <c r="DH1406" s="10"/>
      <c r="DI1406" s="10"/>
      <c r="DJ1406" s="10"/>
      <c r="DK1406" s="10"/>
      <c r="DL1406" s="10"/>
      <c r="DM1406" s="10"/>
      <c r="DN1406" s="10"/>
      <c r="DO1406" s="10"/>
      <c r="DP1406" s="10"/>
      <c r="DQ1406" s="10"/>
      <c r="DR1406" s="10"/>
      <c r="DS1406" s="10"/>
      <c r="DT1406" s="10"/>
      <c r="DU1406" s="10"/>
      <c r="DV1406" s="10"/>
      <c r="DW1406" s="10"/>
      <c r="DX1406" s="10"/>
      <c r="DY1406" s="10"/>
      <c r="DZ1406" s="10"/>
      <c r="EA1406" s="10"/>
      <c r="EB1406" s="10"/>
      <c r="EC1406" s="10"/>
      <c r="ED1406" s="10"/>
      <c r="EE1406" s="10"/>
      <c r="EF1406" s="10"/>
      <c r="EG1406" s="10"/>
      <c r="EH1406" s="10"/>
      <c r="EI1406" s="10"/>
      <c r="EJ1406" s="10"/>
      <c r="EK1406" s="10"/>
      <c r="EL1406" s="10"/>
      <c r="EM1406" s="10"/>
      <c r="EN1406" s="10"/>
      <c r="EO1406" s="10"/>
      <c r="EP1406" s="10"/>
      <c r="EQ1406" s="10"/>
      <c r="ER1406" s="10"/>
      <c r="ES1406" s="10"/>
      <c r="ET1406" s="10"/>
      <c r="EU1406" s="10"/>
      <c r="EV1406" s="10"/>
      <c r="EW1406" s="10"/>
      <c r="EX1406" s="10"/>
      <c r="EY1406" s="10"/>
      <c r="EZ1406" s="10"/>
      <c r="FA1406" s="10"/>
      <c r="FB1406" s="10"/>
      <c r="FC1406" s="10"/>
      <c r="FD1406" s="10"/>
      <c r="FE1406" s="10"/>
      <c r="FF1406" s="10"/>
      <c r="FG1406" s="10"/>
      <c r="FH1406" s="10"/>
      <c r="FI1406" s="10"/>
      <c r="FJ1406" s="10"/>
      <c r="FK1406" s="10"/>
      <c r="FL1406" s="10"/>
      <c r="FM1406" s="10"/>
      <c r="FN1406" s="10"/>
      <c r="FO1406" s="10"/>
      <c r="FP1406" s="10"/>
      <c r="FQ1406" s="10"/>
      <c r="FR1406" s="10"/>
      <c r="FS1406" s="10"/>
      <c r="FT1406" s="10"/>
      <c r="FU1406" s="10"/>
      <c r="FV1406" s="10"/>
      <c r="FW1406" s="10"/>
      <c r="FX1406" s="10"/>
      <c r="FY1406" s="10"/>
      <c r="FZ1406" s="10"/>
      <c r="GA1406" s="10"/>
      <c r="GB1406" s="10"/>
      <c r="GC1406" s="10"/>
      <c r="GD1406" s="10"/>
      <c r="GE1406" s="10"/>
      <c r="GF1406" s="10"/>
      <c r="GG1406" s="10"/>
      <c r="GH1406" s="10"/>
      <c r="GI1406" s="10"/>
      <c r="GJ1406" s="10"/>
      <c r="GK1406" s="10"/>
      <c r="GL1406" s="10"/>
      <c r="GM1406" s="10"/>
      <c r="GN1406" s="10"/>
      <c r="GO1406" s="10"/>
      <c r="GP1406" s="10"/>
      <c r="GQ1406" s="10"/>
      <c r="GR1406" s="10"/>
      <c r="GS1406" s="10"/>
      <c r="GT1406" s="10"/>
      <c r="GU1406" s="10"/>
      <c r="GV1406" s="10"/>
      <c r="GW1406" s="10"/>
      <c r="GX1406" s="10"/>
      <c r="GY1406" s="10"/>
      <c r="GZ1406" s="10"/>
      <c r="HA1406" s="10"/>
      <c r="HB1406" s="10"/>
      <c r="HC1406" s="10"/>
      <c r="HD1406" s="10"/>
      <c r="HE1406" s="10"/>
      <c r="HF1406" s="10"/>
      <c r="HG1406" s="10"/>
      <c r="HH1406" s="10"/>
      <c r="HI1406" s="10"/>
      <c r="HJ1406" s="10"/>
      <c r="HK1406" s="10"/>
      <c r="HL1406" s="10"/>
      <c r="HM1406" s="10"/>
      <c r="HN1406" s="10"/>
      <c r="HO1406" s="10"/>
      <c r="HP1406" s="10"/>
      <c r="HQ1406" s="10"/>
      <c r="HR1406" s="10"/>
      <c r="HS1406" s="10"/>
      <c r="HT1406" s="10"/>
      <c r="HU1406" s="10"/>
      <c r="HV1406" s="10"/>
      <c r="HW1406" s="10"/>
      <c r="HX1406" s="10"/>
      <c r="HY1406" s="10"/>
      <c r="HZ1406" s="10"/>
      <c r="IA1406" s="10"/>
      <c r="IB1406" s="10"/>
      <c r="IC1406" s="10"/>
      <c r="ID1406" s="10"/>
      <c r="IE1406" s="10"/>
      <c r="IF1406" s="10"/>
      <c r="IG1406" s="10"/>
      <c r="IH1406" s="10"/>
      <c r="II1406" s="10"/>
      <c r="IJ1406" s="10"/>
      <c r="IK1406" s="10"/>
      <c r="IL1406" s="10"/>
      <c r="IM1406" s="10"/>
      <c r="IN1406" s="10"/>
      <c r="IO1406" s="10"/>
      <c r="IP1406" s="10"/>
      <c r="IQ1406" s="10"/>
      <c r="IR1406" s="10"/>
    </row>
    <row r="1407" spans="1:255" s="88" customFormat="1">
      <c r="A1407" s="11"/>
      <c r="B1407" s="11"/>
      <c r="C1407" s="87"/>
      <c r="D1407" s="113"/>
      <c r="F1407" s="87"/>
      <c r="G1407" s="87"/>
      <c r="H1407" s="87"/>
      <c r="I1407" s="92"/>
      <c r="J1407" s="87"/>
      <c r="K1407" s="84"/>
      <c r="L1407" s="73"/>
      <c r="M1407" s="73"/>
      <c r="N1407" s="73"/>
      <c r="O1407" s="8"/>
      <c r="P1407" s="9"/>
      <c r="Q1407" s="10"/>
      <c r="R1407" s="10"/>
      <c r="S1407" s="10"/>
      <c r="T1407" s="10"/>
      <c r="U1407" s="10"/>
      <c r="V1407" s="10"/>
      <c r="W1407" s="10"/>
      <c r="X1407" s="10"/>
      <c r="Y1407" s="10"/>
      <c r="Z1407" s="10"/>
      <c r="AA1407" s="10"/>
      <c r="AB1407" s="10"/>
      <c r="AC1407" s="10"/>
      <c r="AD1407" s="10"/>
      <c r="AE1407" s="10"/>
      <c r="AF1407" s="10"/>
      <c r="AG1407" s="10"/>
      <c r="AH1407" s="10"/>
      <c r="AI1407" s="10"/>
      <c r="AJ1407" s="10"/>
      <c r="AK1407" s="10"/>
      <c r="AL1407" s="10"/>
      <c r="AM1407" s="10"/>
      <c r="AN1407" s="10"/>
      <c r="AO1407" s="10"/>
      <c r="AP1407" s="10"/>
      <c r="AQ1407" s="10"/>
      <c r="AR1407" s="10"/>
      <c r="AS1407" s="10"/>
      <c r="AT1407" s="10"/>
      <c r="AU1407" s="10"/>
      <c r="AV1407" s="10"/>
      <c r="AW1407" s="10"/>
      <c r="AX1407" s="10"/>
      <c r="AY1407" s="10"/>
      <c r="AZ1407" s="10"/>
      <c r="BA1407" s="10"/>
      <c r="BB1407" s="10"/>
      <c r="BC1407" s="10"/>
      <c r="BD1407" s="10"/>
      <c r="BE1407" s="10"/>
      <c r="BF1407" s="10"/>
      <c r="BG1407" s="10"/>
      <c r="BH1407" s="10"/>
      <c r="BI1407" s="10"/>
      <c r="BJ1407" s="10"/>
      <c r="BK1407" s="10"/>
      <c r="BL1407" s="10"/>
      <c r="BM1407" s="10"/>
      <c r="BN1407" s="10"/>
      <c r="BO1407" s="10"/>
      <c r="BP1407" s="10"/>
      <c r="BQ1407" s="10"/>
      <c r="BR1407" s="10"/>
      <c r="BS1407" s="10"/>
      <c r="BT1407" s="10"/>
      <c r="BU1407" s="10"/>
      <c r="BV1407" s="10"/>
      <c r="BW1407" s="10"/>
      <c r="BX1407" s="10"/>
      <c r="BY1407" s="10"/>
      <c r="BZ1407" s="10"/>
      <c r="CA1407" s="10"/>
      <c r="CB1407" s="10"/>
      <c r="CC1407" s="10"/>
      <c r="CD1407" s="10"/>
      <c r="CE1407" s="10"/>
      <c r="CF1407" s="10"/>
      <c r="CG1407" s="10"/>
      <c r="CH1407" s="10"/>
      <c r="CI1407" s="10"/>
      <c r="CJ1407" s="10"/>
      <c r="CK1407" s="10"/>
      <c r="CL1407" s="10"/>
      <c r="CM1407" s="10"/>
      <c r="CN1407" s="10"/>
      <c r="CO1407" s="10"/>
      <c r="CP1407" s="10"/>
      <c r="CQ1407" s="10"/>
      <c r="CR1407" s="10"/>
      <c r="CS1407" s="10"/>
      <c r="CT1407" s="10"/>
      <c r="CU1407" s="10"/>
      <c r="CV1407" s="10"/>
      <c r="CW1407" s="10"/>
      <c r="CX1407" s="10"/>
      <c r="CY1407" s="10"/>
      <c r="CZ1407" s="10"/>
      <c r="DA1407" s="10"/>
      <c r="DB1407" s="10"/>
      <c r="DC1407" s="10"/>
      <c r="DD1407" s="10"/>
      <c r="DE1407" s="10"/>
      <c r="DF1407" s="10"/>
      <c r="DG1407" s="10"/>
      <c r="DH1407" s="10"/>
      <c r="DI1407" s="10"/>
      <c r="DJ1407" s="10"/>
      <c r="DK1407" s="10"/>
      <c r="DL1407" s="10"/>
      <c r="DM1407" s="10"/>
      <c r="DN1407" s="10"/>
      <c r="DO1407" s="10"/>
      <c r="DP1407" s="10"/>
      <c r="DQ1407" s="10"/>
      <c r="DR1407" s="10"/>
      <c r="DS1407" s="10"/>
      <c r="DT1407" s="10"/>
      <c r="DU1407" s="10"/>
      <c r="DV1407" s="10"/>
      <c r="DW1407" s="10"/>
      <c r="DX1407" s="10"/>
      <c r="DY1407" s="10"/>
      <c r="DZ1407" s="10"/>
      <c r="EA1407" s="10"/>
      <c r="EB1407" s="10"/>
      <c r="EC1407" s="10"/>
      <c r="ED1407" s="10"/>
      <c r="EE1407" s="10"/>
      <c r="EF1407" s="10"/>
      <c r="EG1407" s="10"/>
      <c r="EH1407" s="10"/>
      <c r="EI1407" s="10"/>
      <c r="EJ1407" s="10"/>
      <c r="EK1407" s="10"/>
      <c r="EL1407" s="10"/>
      <c r="EM1407" s="10"/>
      <c r="EN1407" s="10"/>
      <c r="EO1407" s="10"/>
      <c r="EP1407" s="10"/>
      <c r="EQ1407" s="10"/>
      <c r="ER1407" s="10"/>
      <c r="ES1407" s="10"/>
      <c r="ET1407" s="10"/>
      <c r="EU1407" s="10"/>
      <c r="EV1407" s="10"/>
      <c r="EW1407" s="10"/>
      <c r="EX1407" s="10"/>
      <c r="EY1407" s="10"/>
      <c r="EZ1407" s="10"/>
      <c r="FA1407" s="10"/>
      <c r="FB1407" s="10"/>
      <c r="FC1407" s="10"/>
      <c r="FD1407" s="10"/>
      <c r="FE1407" s="10"/>
      <c r="FF1407" s="10"/>
      <c r="FG1407" s="10"/>
      <c r="FH1407" s="10"/>
      <c r="FI1407" s="10"/>
      <c r="FJ1407" s="10"/>
      <c r="FK1407" s="10"/>
      <c r="FL1407" s="10"/>
      <c r="FM1407" s="10"/>
      <c r="FN1407" s="10"/>
      <c r="FO1407" s="10"/>
      <c r="FP1407" s="10"/>
      <c r="FQ1407" s="10"/>
      <c r="FR1407" s="10"/>
      <c r="FS1407" s="10"/>
      <c r="FT1407" s="10"/>
      <c r="FU1407" s="10"/>
      <c r="FV1407" s="10"/>
      <c r="FW1407" s="10"/>
      <c r="FX1407" s="10"/>
      <c r="FY1407" s="10"/>
      <c r="FZ1407" s="10"/>
      <c r="GA1407" s="10"/>
      <c r="GB1407" s="10"/>
      <c r="GC1407" s="10"/>
      <c r="GD1407" s="10"/>
      <c r="GE1407" s="10"/>
      <c r="GF1407" s="10"/>
      <c r="GG1407" s="10"/>
      <c r="GH1407" s="10"/>
      <c r="GI1407" s="10"/>
      <c r="GJ1407" s="10"/>
      <c r="GK1407" s="10"/>
      <c r="GL1407" s="10"/>
      <c r="GM1407" s="10"/>
      <c r="GN1407" s="10"/>
      <c r="GO1407" s="10"/>
      <c r="GP1407" s="10"/>
      <c r="GQ1407" s="10"/>
      <c r="GR1407" s="10"/>
      <c r="GS1407" s="10"/>
      <c r="GT1407" s="10"/>
      <c r="GU1407" s="10"/>
      <c r="GV1407" s="10"/>
      <c r="GW1407" s="10"/>
      <c r="GX1407" s="10"/>
      <c r="GY1407" s="10"/>
      <c r="GZ1407" s="10"/>
      <c r="HA1407" s="10"/>
      <c r="HB1407" s="10"/>
      <c r="HC1407" s="10"/>
      <c r="HD1407" s="10"/>
      <c r="HE1407" s="10"/>
      <c r="HF1407" s="10"/>
      <c r="HG1407" s="10"/>
      <c r="HH1407" s="10"/>
      <c r="HI1407" s="10"/>
      <c r="HJ1407" s="10"/>
      <c r="HK1407" s="10"/>
      <c r="HL1407" s="10"/>
      <c r="HM1407" s="10"/>
      <c r="HN1407" s="10"/>
      <c r="HO1407" s="10"/>
      <c r="HP1407" s="10"/>
      <c r="HQ1407" s="10"/>
      <c r="HR1407" s="10"/>
      <c r="HS1407" s="10"/>
      <c r="HT1407" s="10"/>
      <c r="HU1407" s="10"/>
      <c r="HV1407" s="10"/>
      <c r="HW1407" s="10"/>
      <c r="HX1407" s="10"/>
      <c r="HY1407" s="10"/>
      <c r="HZ1407" s="10"/>
      <c r="IA1407" s="10"/>
      <c r="IB1407" s="10"/>
      <c r="IC1407" s="10"/>
      <c r="ID1407" s="10"/>
      <c r="IE1407" s="10"/>
      <c r="IF1407" s="10"/>
      <c r="IG1407" s="10"/>
      <c r="IH1407" s="10"/>
      <c r="II1407" s="10"/>
      <c r="IJ1407" s="10"/>
      <c r="IK1407" s="10"/>
      <c r="IL1407" s="10"/>
      <c r="IM1407" s="10"/>
      <c r="IN1407" s="10"/>
      <c r="IO1407" s="10"/>
      <c r="IP1407" s="10"/>
      <c r="IQ1407" s="10"/>
      <c r="IR1407" s="10"/>
    </row>
    <row r="1408" spans="1:255" s="88" customFormat="1">
      <c r="A1408" s="11"/>
      <c r="B1408" s="11"/>
      <c r="C1408" s="87"/>
      <c r="D1408" s="109"/>
      <c r="F1408" s="87"/>
      <c r="G1408" s="87"/>
      <c r="H1408" s="87"/>
      <c r="I1408" s="92"/>
      <c r="J1408" s="87"/>
      <c r="K1408" s="84"/>
      <c r="L1408" s="73"/>
      <c r="M1408" s="73"/>
      <c r="N1408" s="73"/>
      <c r="O1408" s="8"/>
      <c r="P1408" s="9"/>
      <c r="Q1408" s="10"/>
      <c r="R1408" s="10"/>
      <c r="S1408" s="10"/>
      <c r="T1408" s="10"/>
      <c r="U1408" s="10"/>
      <c r="V1408" s="10"/>
      <c r="W1408" s="10"/>
      <c r="X1408" s="10"/>
      <c r="Y1408" s="10"/>
      <c r="Z1408" s="10"/>
      <c r="AA1408" s="10"/>
      <c r="AB1408" s="10"/>
      <c r="AC1408" s="10"/>
      <c r="AD1408" s="10"/>
      <c r="AE1408" s="10"/>
      <c r="AF1408" s="10"/>
      <c r="AG1408" s="10"/>
      <c r="AH1408" s="10"/>
      <c r="AI1408" s="10"/>
      <c r="AJ1408" s="10"/>
      <c r="AK1408" s="10"/>
      <c r="AL1408" s="10"/>
      <c r="AM1408" s="10"/>
      <c r="AN1408" s="10"/>
      <c r="AO1408" s="10"/>
      <c r="AP1408" s="10"/>
      <c r="AQ1408" s="10"/>
      <c r="AR1408" s="10"/>
      <c r="AS1408" s="10"/>
      <c r="AT1408" s="10"/>
      <c r="AU1408" s="10"/>
      <c r="AV1408" s="10"/>
      <c r="AW1408" s="10"/>
      <c r="AX1408" s="10"/>
      <c r="AY1408" s="10"/>
      <c r="AZ1408" s="10"/>
      <c r="BA1408" s="10"/>
      <c r="BB1408" s="10"/>
      <c r="BC1408" s="10"/>
      <c r="BD1408" s="10"/>
      <c r="BE1408" s="10"/>
      <c r="BF1408" s="10"/>
      <c r="BG1408" s="10"/>
      <c r="BH1408" s="10"/>
      <c r="BI1408" s="10"/>
      <c r="BJ1408" s="10"/>
      <c r="BK1408" s="10"/>
      <c r="BL1408" s="10"/>
      <c r="BM1408" s="10"/>
      <c r="BN1408" s="10"/>
      <c r="BO1408" s="10"/>
      <c r="BP1408" s="10"/>
      <c r="BQ1408" s="10"/>
      <c r="BR1408" s="10"/>
      <c r="BS1408" s="10"/>
      <c r="BT1408" s="10"/>
      <c r="BU1408" s="10"/>
      <c r="BV1408" s="10"/>
      <c r="BW1408" s="10"/>
      <c r="BX1408" s="10"/>
      <c r="BY1408" s="10"/>
      <c r="BZ1408" s="10"/>
      <c r="CA1408" s="10"/>
      <c r="CB1408" s="10"/>
      <c r="CC1408" s="10"/>
      <c r="CD1408" s="10"/>
      <c r="CE1408" s="10"/>
      <c r="CF1408" s="10"/>
      <c r="CG1408" s="10"/>
      <c r="CH1408" s="10"/>
      <c r="CI1408" s="10"/>
      <c r="CJ1408" s="10"/>
      <c r="CK1408" s="10"/>
      <c r="CL1408" s="10"/>
      <c r="CM1408" s="10"/>
      <c r="CN1408" s="10"/>
      <c r="CO1408" s="10"/>
      <c r="CP1408" s="10"/>
      <c r="CQ1408" s="10"/>
      <c r="CR1408" s="10"/>
      <c r="CS1408" s="10"/>
      <c r="CT1408" s="10"/>
      <c r="CU1408" s="10"/>
      <c r="CV1408" s="10"/>
      <c r="CW1408" s="10"/>
      <c r="CX1408" s="10"/>
      <c r="CY1408" s="10"/>
      <c r="CZ1408" s="10"/>
      <c r="DA1408" s="10"/>
      <c r="DB1408" s="10"/>
      <c r="DC1408" s="10"/>
      <c r="DD1408" s="10"/>
      <c r="DE1408" s="10"/>
      <c r="DF1408" s="10"/>
      <c r="DG1408" s="10"/>
      <c r="DH1408" s="10"/>
      <c r="DI1408" s="10"/>
      <c r="DJ1408" s="10"/>
      <c r="DK1408" s="10"/>
      <c r="DL1408" s="10"/>
      <c r="DM1408" s="10"/>
      <c r="DN1408" s="10"/>
      <c r="DO1408" s="10"/>
      <c r="DP1408" s="10"/>
      <c r="DQ1408" s="10"/>
      <c r="DR1408" s="10"/>
      <c r="DS1408" s="10"/>
      <c r="DT1408" s="10"/>
      <c r="DU1408" s="10"/>
      <c r="DV1408" s="10"/>
      <c r="DW1408" s="10"/>
      <c r="DX1408" s="10"/>
      <c r="DY1408" s="10"/>
      <c r="DZ1408" s="10"/>
      <c r="EA1408" s="10"/>
      <c r="EB1408" s="10"/>
      <c r="EC1408" s="10"/>
      <c r="ED1408" s="10"/>
      <c r="EE1408" s="10"/>
      <c r="EF1408" s="10"/>
      <c r="EG1408" s="10"/>
      <c r="EH1408" s="10"/>
      <c r="EI1408" s="10"/>
      <c r="EJ1408" s="10"/>
      <c r="EK1408" s="10"/>
      <c r="EL1408" s="10"/>
      <c r="EM1408" s="10"/>
      <c r="EN1408" s="10"/>
      <c r="EO1408" s="10"/>
      <c r="EP1408" s="10"/>
      <c r="EQ1408" s="10"/>
      <c r="ER1408" s="10"/>
      <c r="ES1408" s="10"/>
      <c r="ET1408" s="10"/>
      <c r="EU1408" s="10"/>
      <c r="EV1408" s="10"/>
      <c r="EW1408" s="10"/>
      <c r="EX1408" s="10"/>
      <c r="EY1408" s="10"/>
      <c r="EZ1408" s="10"/>
      <c r="FA1408" s="10"/>
      <c r="FB1408" s="10"/>
      <c r="FC1408" s="10"/>
      <c r="FD1408" s="10"/>
      <c r="FE1408" s="10"/>
      <c r="FF1408" s="10"/>
      <c r="FG1408" s="10"/>
      <c r="FH1408" s="10"/>
      <c r="FI1408" s="10"/>
      <c r="FJ1408" s="10"/>
      <c r="FK1408" s="10"/>
      <c r="FL1408" s="10"/>
      <c r="FM1408" s="10"/>
      <c r="FN1408" s="10"/>
      <c r="FO1408" s="10"/>
      <c r="FP1408" s="10"/>
      <c r="FQ1408" s="10"/>
      <c r="FR1408" s="10"/>
      <c r="FS1408" s="10"/>
      <c r="FT1408" s="10"/>
      <c r="FU1408" s="10"/>
      <c r="FV1408" s="10"/>
      <c r="FW1408" s="10"/>
      <c r="FX1408" s="10"/>
      <c r="FY1408" s="10"/>
      <c r="FZ1408" s="10"/>
      <c r="GA1408" s="10"/>
      <c r="GB1408" s="10"/>
      <c r="GC1408" s="10"/>
      <c r="GD1408" s="10"/>
      <c r="GE1408" s="10"/>
      <c r="GF1408" s="10"/>
      <c r="GG1408" s="10"/>
      <c r="GH1408" s="10"/>
      <c r="GI1408" s="10"/>
      <c r="GJ1408" s="10"/>
      <c r="GK1408" s="10"/>
      <c r="GL1408" s="10"/>
      <c r="GM1408" s="10"/>
      <c r="GN1408" s="10"/>
      <c r="GO1408" s="10"/>
      <c r="GP1408" s="10"/>
      <c r="GQ1408" s="10"/>
      <c r="GR1408" s="10"/>
      <c r="GS1408" s="10"/>
      <c r="GT1408" s="10"/>
      <c r="GU1408" s="10"/>
      <c r="GV1408" s="10"/>
      <c r="GW1408" s="10"/>
      <c r="GX1408" s="10"/>
      <c r="GY1408" s="10"/>
      <c r="GZ1408" s="10"/>
      <c r="HA1408" s="10"/>
      <c r="HB1408" s="10"/>
      <c r="HC1408" s="10"/>
      <c r="HD1408" s="10"/>
      <c r="HE1408" s="10"/>
      <c r="HF1408" s="10"/>
      <c r="HG1408" s="10"/>
      <c r="HH1408" s="10"/>
      <c r="HI1408" s="10"/>
      <c r="HJ1408" s="10"/>
      <c r="HK1408" s="10"/>
      <c r="HL1408" s="10"/>
      <c r="HM1408" s="10"/>
      <c r="HN1408" s="10"/>
      <c r="HO1408" s="10"/>
      <c r="HP1408" s="10"/>
      <c r="HQ1408" s="10"/>
      <c r="HR1408" s="10"/>
      <c r="HS1408" s="10"/>
      <c r="HT1408" s="10"/>
      <c r="HU1408" s="10"/>
      <c r="HV1408" s="10"/>
      <c r="HW1408" s="10"/>
      <c r="HX1408" s="10"/>
      <c r="HY1408" s="10"/>
      <c r="HZ1408" s="10"/>
      <c r="IA1408" s="10"/>
      <c r="IB1408" s="10"/>
      <c r="IC1408" s="10"/>
      <c r="ID1408" s="10"/>
      <c r="IE1408" s="10"/>
      <c r="IF1408" s="10"/>
      <c r="IG1408" s="10"/>
      <c r="IH1408" s="10"/>
      <c r="II1408" s="10"/>
      <c r="IJ1408" s="10"/>
      <c r="IK1408" s="10"/>
      <c r="IL1408" s="10"/>
      <c r="IM1408" s="10"/>
      <c r="IN1408" s="10"/>
      <c r="IO1408" s="10"/>
      <c r="IP1408" s="10"/>
      <c r="IQ1408" s="10"/>
      <c r="IR1408" s="10"/>
    </row>
    <row r="1409" spans="1:252" s="88" customFormat="1">
      <c r="A1409" s="11"/>
      <c r="B1409" s="11"/>
      <c r="C1409" s="87"/>
      <c r="D1409" s="109"/>
      <c r="F1409" s="87"/>
      <c r="G1409" s="87"/>
      <c r="H1409" s="87"/>
      <c r="I1409" s="92"/>
      <c r="J1409" s="87"/>
      <c r="K1409" s="84"/>
      <c r="L1409" s="73"/>
      <c r="M1409" s="73"/>
      <c r="N1409" s="73"/>
      <c r="O1409" s="8"/>
      <c r="P1409" s="9"/>
      <c r="Q1409" s="10"/>
      <c r="R1409" s="10"/>
      <c r="S1409" s="10"/>
      <c r="T1409" s="10"/>
      <c r="U1409" s="10"/>
      <c r="V1409" s="10"/>
      <c r="W1409" s="10"/>
      <c r="X1409" s="10"/>
      <c r="Y1409" s="10"/>
      <c r="Z1409" s="10"/>
      <c r="AA1409" s="10"/>
      <c r="AB1409" s="10"/>
      <c r="AC1409" s="10"/>
      <c r="AD1409" s="10"/>
      <c r="AE1409" s="10"/>
      <c r="AF1409" s="10"/>
      <c r="AG1409" s="10"/>
      <c r="AH1409" s="10"/>
      <c r="AI1409" s="10"/>
      <c r="AJ1409" s="10"/>
      <c r="AK1409" s="10"/>
      <c r="AL1409" s="10"/>
      <c r="AM1409" s="10"/>
      <c r="AN1409" s="10"/>
      <c r="AO1409" s="10"/>
      <c r="AP1409" s="10"/>
      <c r="AQ1409" s="10"/>
      <c r="AR1409" s="10"/>
      <c r="AS1409" s="10"/>
      <c r="AT1409" s="10"/>
      <c r="AU1409" s="10"/>
      <c r="AV1409" s="10"/>
      <c r="AW1409" s="10"/>
      <c r="AX1409" s="10"/>
      <c r="AY1409" s="10"/>
      <c r="AZ1409" s="10"/>
      <c r="BA1409" s="10"/>
      <c r="BB1409" s="10"/>
      <c r="BC1409" s="10"/>
      <c r="BD1409" s="10"/>
      <c r="BE1409" s="10"/>
      <c r="BF1409" s="10"/>
      <c r="BG1409" s="10"/>
      <c r="BH1409" s="10"/>
      <c r="BI1409" s="10"/>
      <c r="BJ1409" s="10"/>
      <c r="BK1409" s="10"/>
      <c r="BL1409" s="10"/>
      <c r="BM1409" s="10"/>
      <c r="BN1409" s="10"/>
      <c r="BO1409" s="10"/>
      <c r="BP1409" s="10"/>
      <c r="BQ1409" s="10"/>
      <c r="BR1409" s="10"/>
      <c r="BS1409" s="10"/>
      <c r="BT1409" s="10"/>
      <c r="BU1409" s="10"/>
      <c r="BV1409" s="10"/>
      <c r="BW1409" s="10"/>
      <c r="BX1409" s="10"/>
      <c r="BY1409" s="10"/>
      <c r="BZ1409" s="10"/>
      <c r="CA1409" s="10"/>
      <c r="CB1409" s="10"/>
      <c r="CC1409" s="10"/>
      <c r="CD1409" s="10"/>
      <c r="CE1409" s="10"/>
      <c r="CF1409" s="10"/>
      <c r="CG1409" s="10"/>
      <c r="CH1409" s="10"/>
      <c r="CI1409" s="10"/>
      <c r="CJ1409" s="10"/>
      <c r="CK1409" s="10"/>
      <c r="CL1409" s="10"/>
      <c r="CM1409" s="10"/>
      <c r="CN1409" s="10"/>
      <c r="CO1409" s="10"/>
      <c r="CP1409" s="10"/>
      <c r="CQ1409" s="10"/>
      <c r="CR1409" s="10"/>
      <c r="CS1409" s="10"/>
      <c r="CT1409" s="10"/>
      <c r="CU1409" s="10"/>
      <c r="CV1409" s="10"/>
      <c r="CW1409" s="10"/>
      <c r="CX1409" s="10"/>
      <c r="CY1409" s="10"/>
      <c r="CZ1409" s="10"/>
      <c r="DA1409" s="10"/>
      <c r="DB1409" s="10"/>
      <c r="DC1409" s="10"/>
      <c r="DD1409" s="10"/>
      <c r="DE1409" s="10"/>
      <c r="DF1409" s="10"/>
      <c r="DG1409" s="10"/>
      <c r="DH1409" s="10"/>
      <c r="DI1409" s="10"/>
      <c r="DJ1409" s="10"/>
      <c r="DK1409" s="10"/>
      <c r="DL1409" s="10"/>
      <c r="DM1409" s="10"/>
      <c r="DN1409" s="10"/>
      <c r="DO1409" s="10"/>
      <c r="DP1409" s="10"/>
      <c r="DQ1409" s="10"/>
      <c r="DR1409" s="10"/>
      <c r="DS1409" s="10"/>
      <c r="DT1409" s="10"/>
      <c r="DU1409" s="10"/>
      <c r="DV1409" s="10"/>
      <c r="DW1409" s="10"/>
      <c r="DX1409" s="10"/>
      <c r="DY1409" s="10"/>
      <c r="DZ1409" s="10"/>
      <c r="EA1409" s="10"/>
      <c r="EB1409" s="10"/>
      <c r="EC1409" s="10"/>
      <c r="ED1409" s="10"/>
      <c r="EE1409" s="10"/>
      <c r="EF1409" s="10"/>
      <c r="EG1409" s="10"/>
      <c r="EH1409" s="10"/>
      <c r="EI1409" s="10"/>
      <c r="EJ1409" s="10"/>
      <c r="EK1409" s="10"/>
      <c r="EL1409" s="10"/>
      <c r="EM1409" s="10"/>
      <c r="EN1409" s="10"/>
      <c r="EO1409" s="10"/>
      <c r="EP1409" s="10"/>
      <c r="EQ1409" s="10"/>
      <c r="ER1409" s="10"/>
      <c r="ES1409" s="10"/>
      <c r="ET1409" s="10"/>
      <c r="EU1409" s="10"/>
      <c r="EV1409" s="10"/>
      <c r="EW1409" s="10"/>
      <c r="EX1409" s="10"/>
      <c r="EY1409" s="10"/>
      <c r="EZ1409" s="10"/>
      <c r="FA1409" s="10"/>
      <c r="FB1409" s="10"/>
      <c r="FC1409" s="10"/>
      <c r="FD1409" s="10"/>
      <c r="FE1409" s="10"/>
      <c r="FF1409" s="10"/>
      <c r="FG1409" s="10"/>
      <c r="FH1409" s="10"/>
      <c r="FI1409" s="10"/>
      <c r="FJ1409" s="10"/>
      <c r="FK1409" s="10"/>
      <c r="FL1409" s="10"/>
      <c r="FM1409" s="10"/>
      <c r="FN1409" s="10"/>
      <c r="FO1409" s="10"/>
      <c r="FP1409" s="10"/>
      <c r="FQ1409" s="10"/>
      <c r="FR1409" s="10"/>
      <c r="FS1409" s="10"/>
      <c r="FT1409" s="10"/>
      <c r="FU1409" s="10"/>
      <c r="FV1409" s="10"/>
      <c r="FW1409" s="10"/>
      <c r="FX1409" s="10"/>
      <c r="FY1409" s="10"/>
      <c r="FZ1409" s="10"/>
      <c r="GA1409" s="10"/>
      <c r="GB1409" s="10"/>
      <c r="GC1409" s="10"/>
      <c r="GD1409" s="10"/>
      <c r="GE1409" s="10"/>
      <c r="GF1409" s="10"/>
      <c r="GG1409" s="10"/>
      <c r="GH1409" s="10"/>
      <c r="GI1409" s="10"/>
      <c r="GJ1409" s="10"/>
      <c r="GK1409" s="10"/>
      <c r="GL1409" s="10"/>
      <c r="GM1409" s="10"/>
      <c r="GN1409" s="10"/>
      <c r="GO1409" s="10"/>
      <c r="GP1409" s="10"/>
      <c r="GQ1409" s="10"/>
      <c r="GR1409" s="10"/>
      <c r="GS1409" s="10"/>
      <c r="GT1409" s="10"/>
      <c r="GU1409" s="10"/>
      <c r="GV1409" s="10"/>
      <c r="GW1409" s="10"/>
      <c r="GX1409" s="10"/>
      <c r="GY1409" s="10"/>
      <c r="GZ1409" s="10"/>
      <c r="HA1409" s="10"/>
      <c r="HB1409" s="10"/>
      <c r="HC1409" s="10"/>
      <c r="HD1409" s="10"/>
      <c r="HE1409" s="10"/>
      <c r="HF1409" s="10"/>
      <c r="HG1409" s="10"/>
      <c r="HH1409" s="10"/>
      <c r="HI1409" s="10"/>
      <c r="HJ1409" s="10"/>
      <c r="HK1409" s="10"/>
      <c r="HL1409" s="10"/>
      <c r="HM1409" s="10"/>
      <c r="HN1409" s="10"/>
      <c r="HO1409" s="10"/>
      <c r="HP1409" s="10"/>
      <c r="HQ1409" s="10"/>
      <c r="HR1409" s="10"/>
      <c r="HS1409" s="10"/>
      <c r="HT1409" s="10"/>
      <c r="HU1409" s="10"/>
      <c r="HV1409" s="10"/>
      <c r="HW1409" s="10"/>
      <c r="HX1409" s="10"/>
      <c r="HY1409" s="10"/>
      <c r="HZ1409" s="10"/>
      <c r="IA1409" s="10"/>
      <c r="IB1409" s="10"/>
      <c r="IC1409" s="10"/>
      <c r="ID1409" s="10"/>
      <c r="IE1409" s="10"/>
      <c r="IF1409" s="10"/>
      <c r="IG1409" s="10"/>
      <c r="IH1409" s="10"/>
      <c r="II1409" s="10"/>
      <c r="IJ1409" s="10"/>
      <c r="IK1409" s="10"/>
      <c r="IL1409" s="10"/>
      <c r="IM1409" s="10"/>
      <c r="IN1409" s="10"/>
      <c r="IO1409" s="10"/>
      <c r="IP1409" s="10"/>
      <c r="IQ1409" s="10"/>
      <c r="IR1409" s="10"/>
    </row>
    <row r="1410" spans="1:252" s="88" customFormat="1">
      <c r="A1410" s="11"/>
      <c r="B1410" s="11"/>
      <c r="C1410" s="87"/>
      <c r="D1410" s="109"/>
      <c r="F1410" s="87"/>
      <c r="G1410" s="87"/>
      <c r="H1410" s="87"/>
      <c r="I1410" s="92"/>
      <c r="J1410" s="87"/>
      <c r="K1410" s="84"/>
      <c r="L1410" s="73"/>
      <c r="M1410" s="73"/>
      <c r="N1410" s="73"/>
      <c r="O1410" s="8"/>
      <c r="P1410" s="9"/>
      <c r="Q1410" s="10"/>
      <c r="R1410" s="10"/>
      <c r="S1410" s="10"/>
      <c r="T1410" s="10"/>
      <c r="U1410" s="10"/>
      <c r="V1410" s="10"/>
      <c r="W1410" s="10"/>
      <c r="X1410" s="10"/>
      <c r="Y1410" s="10"/>
      <c r="Z1410" s="10"/>
      <c r="AA1410" s="10"/>
      <c r="AB1410" s="10"/>
      <c r="AC1410" s="10"/>
      <c r="AD1410" s="10"/>
      <c r="AE1410" s="10"/>
      <c r="AF1410" s="10"/>
      <c r="AG1410" s="10"/>
      <c r="AH1410" s="10"/>
      <c r="AI1410" s="10"/>
      <c r="AJ1410" s="10"/>
      <c r="AK1410" s="10"/>
      <c r="AL1410" s="10"/>
      <c r="AM1410" s="10"/>
      <c r="AN1410" s="10"/>
      <c r="AO1410" s="10"/>
      <c r="AP1410" s="10"/>
      <c r="AQ1410" s="10"/>
      <c r="AR1410" s="10"/>
      <c r="AS1410" s="10"/>
      <c r="AT1410" s="10"/>
      <c r="AU1410" s="10"/>
      <c r="AV1410" s="10"/>
      <c r="AW1410" s="10"/>
      <c r="AX1410" s="10"/>
      <c r="AY1410" s="10"/>
      <c r="AZ1410" s="10"/>
      <c r="BA1410" s="10"/>
      <c r="BB1410" s="10"/>
      <c r="BC1410" s="10"/>
      <c r="BD1410" s="10"/>
      <c r="BE1410" s="10"/>
      <c r="BF1410" s="10"/>
      <c r="BG1410" s="10"/>
      <c r="BH1410" s="10"/>
      <c r="BI1410" s="10"/>
      <c r="BJ1410" s="10"/>
      <c r="BK1410" s="10"/>
      <c r="BL1410" s="10"/>
      <c r="BM1410" s="10"/>
      <c r="BN1410" s="10"/>
      <c r="BO1410" s="10"/>
      <c r="BP1410" s="10"/>
      <c r="BQ1410" s="10"/>
      <c r="BR1410" s="10"/>
      <c r="BS1410" s="10"/>
      <c r="BT1410" s="10"/>
      <c r="BU1410" s="10"/>
      <c r="BV1410" s="10"/>
      <c r="BW1410" s="10"/>
      <c r="BX1410" s="10"/>
      <c r="BY1410" s="10"/>
      <c r="BZ1410" s="10"/>
      <c r="CA1410" s="10"/>
      <c r="CB1410" s="10"/>
      <c r="CC1410" s="10"/>
      <c r="CD1410" s="10"/>
      <c r="CE1410" s="10"/>
      <c r="CF1410" s="10"/>
      <c r="CG1410" s="10"/>
      <c r="CH1410" s="10"/>
      <c r="CI1410" s="10"/>
      <c r="CJ1410" s="10"/>
      <c r="CK1410" s="10"/>
      <c r="CL1410" s="10"/>
      <c r="CM1410" s="10"/>
      <c r="CN1410" s="10"/>
      <c r="CO1410" s="10"/>
      <c r="CP1410" s="10"/>
      <c r="CQ1410" s="10"/>
      <c r="CR1410" s="10"/>
      <c r="CS1410" s="10"/>
      <c r="CT1410" s="10"/>
      <c r="CU1410" s="10"/>
      <c r="CV1410" s="10"/>
      <c r="CW1410" s="10"/>
      <c r="CX1410" s="10"/>
      <c r="CY1410" s="10"/>
      <c r="CZ1410" s="10"/>
      <c r="DA1410" s="10"/>
      <c r="DB1410" s="10"/>
      <c r="DC1410" s="10"/>
      <c r="DD1410" s="10"/>
      <c r="DE1410" s="10"/>
      <c r="DF1410" s="10"/>
      <c r="DG1410" s="10"/>
      <c r="DH1410" s="10"/>
      <c r="DI1410" s="10"/>
      <c r="DJ1410" s="10"/>
      <c r="DK1410" s="10"/>
      <c r="DL1410" s="10"/>
      <c r="DM1410" s="10"/>
      <c r="DN1410" s="10"/>
      <c r="DO1410" s="10"/>
      <c r="DP1410" s="10"/>
      <c r="DQ1410" s="10"/>
      <c r="DR1410" s="10"/>
      <c r="DS1410" s="10"/>
      <c r="DT1410" s="10"/>
      <c r="DU1410" s="10"/>
      <c r="DV1410" s="10"/>
      <c r="DW1410" s="10"/>
      <c r="DX1410" s="10"/>
      <c r="DY1410" s="10"/>
      <c r="DZ1410" s="10"/>
      <c r="EA1410" s="10"/>
      <c r="EB1410" s="10"/>
      <c r="EC1410" s="10"/>
      <c r="ED1410" s="10"/>
      <c r="EE1410" s="10"/>
      <c r="EF1410" s="10"/>
      <c r="EG1410" s="10"/>
      <c r="EH1410" s="10"/>
      <c r="EI1410" s="10"/>
      <c r="EJ1410" s="10"/>
      <c r="EK1410" s="10"/>
      <c r="EL1410" s="10"/>
      <c r="EM1410" s="10"/>
      <c r="EN1410" s="10"/>
      <c r="EO1410" s="10"/>
      <c r="EP1410" s="10"/>
      <c r="EQ1410" s="10"/>
      <c r="ER1410" s="10"/>
      <c r="ES1410" s="10"/>
      <c r="ET1410" s="10"/>
      <c r="EU1410" s="10"/>
      <c r="EV1410" s="10"/>
      <c r="EW1410" s="10"/>
      <c r="EX1410" s="10"/>
      <c r="EY1410" s="10"/>
      <c r="EZ1410" s="10"/>
      <c r="FA1410" s="10"/>
      <c r="FB1410" s="10"/>
      <c r="FC1410" s="10"/>
      <c r="FD1410" s="10"/>
      <c r="FE1410" s="10"/>
      <c r="FF1410" s="10"/>
      <c r="FG1410" s="10"/>
      <c r="FH1410" s="10"/>
      <c r="FI1410" s="10"/>
      <c r="FJ1410" s="10"/>
      <c r="FK1410" s="10"/>
      <c r="FL1410" s="10"/>
      <c r="FM1410" s="10"/>
      <c r="FN1410" s="10"/>
      <c r="FO1410" s="10"/>
      <c r="FP1410" s="10"/>
      <c r="FQ1410" s="10"/>
      <c r="FR1410" s="10"/>
      <c r="FS1410" s="10"/>
      <c r="FT1410" s="10"/>
      <c r="FU1410" s="10"/>
      <c r="FV1410" s="10"/>
      <c r="FW1410" s="10"/>
      <c r="FX1410" s="10"/>
      <c r="FY1410" s="10"/>
      <c r="FZ1410" s="10"/>
      <c r="GA1410" s="10"/>
      <c r="GB1410" s="10"/>
      <c r="GC1410" s="10"/>
      <c r="GD1410" s="10"/>
      <c r="GE1410" s="10"/>
      <c r="GF1410" s="10"/>
      <c r="GG1410" s="10"/>
      <c r="GH1410" s="10"/>
      <c r="GI1410" s="10"/>
      <c r="GJ1410" s="10"/>
      <c r="GK1410" s="10"/>
      <c r="GL1410" s="10"/>
      <c r="GM1410" s="10"/>
      <c r="GN1410" s="10"/>
      <c r="GO1410" s="10"/>
      <c r="GP1410" s="10"/>
      <c r="GQ1410" s="10"/>
      <c r="GR1410" s="10"/>
      <c r="GS1410" s="10"/>
      <c r="GT1410" s="10"/>
      <c r="GU1410" s="10"/>
      <c r="GV1410" s="10"/>
      <c r="GW1410" s="10"/>
      <c r="GX1410" s="10"/>
      <c r="GY1410" s="10"/>
      <c r="GZ1410" s="10"/>
      <c r="HA1410" s="10"/>
      <c r="HB1410" s="10"/>
      <c r="HC1410" s="10"/>
      <c r="HD1410" s="10"/>
      <c r="HE1410" s="10"/>
      <c r="HF1410" s="10"/>
      <c r="HG1410" s="10"/>
      <c r="HH1410" s="10"/>
      <c r="HI1410" s="10"/>
      <c r="HJ1410" s="10"/>
      <c r="HK1410" s="10"/>
      <c r="HL1410" s="10"/>
      <c r="HM1410" s="10"/>
      <c r="HN1410" s="10"/>
      <c r="HO1410" s="10"/>
      <c r="HP1410" s="10"/>
      <c r="HQ1410" s="10"/>
      <c r="HR1410" s="10"/>
      <c r="HS1410" s="10"/>
      <c r="HT1410" s="10"/>
      <c r="HU1410" s="10"/>
      <c r="HV1410" s="10"/>
      <c r="HW1410" s="10"/>
      <c r="HX1410" s="10"/>
      <c r="HY1410" s="10"/>
      <c r="HZ1410" s="10"/>
      <c r="IA1410" s="10"/>
      <c r="IB1410" s="10"/>
      <c r="IC1410" s="10"/>
      <c r="ID1410" s="10"/>
      <c r="IE1410" s="10"/>
      <c r="IF1410" s="10"/>
      <c r="IG1410" s="10"/>
      <c r="IH1410" s="10"/>
      <c r="II1410" s="10"/>
      <c r="IJ1410" s="10"/>
      <c r="IK1410" s="10"/>
      <c r="IL1410" s="10"/>
      <c r="IM1410" s="10"/>
      <c r="IN1410" s="10"/>
      <c r="IO1410" s="10"/>
      <c r="IP1410" s="10"/>
      <c r="IQ1410" s="10"/>
      <c r="IR1410" s="10"/>
    </row>
  </sheetData>
  <autoFilter ref="A13:IR1356" xr:uid="{00000000-0009-0000-0000-000001000000}"/>
  <mergeCells count="38">
    <mergeCell ref="B1372:D1372"/>
    <mergeCell ref="F1372:H1372"/>
    <mergeCell ref="I1372:K1372"/>
    <mergeCell ref="G1380:G1381"/>
    <mergeCell ref="A1353:H1353"/>
    <mergeCell ref="A1354:H1354"/>
    <mergeCell ref="I1363:K1363"/>
    <mergeCell ref="A1364:E1364"/>
    <mergeCell ref="F1364:H1364"/>
    <mergeCell ref="I1364:K1364"/>
    <mergeCell ref="A1257:H1257"/>
    <mergeCell ref="A193:H193"/>
    <mergeCell ref="A277:H277"/>
    <mergeCell ref="A378:H378"/>
    <mergeCell ref="A450:H450"/>
    <mergeCell ref="A573:H573"/>
    <mergeCell ref="A694:H694"/>
    <mergeCell ref="A796:H796"/>
    <mergeCell ref="A901:H901"/>
    <mergeCell ref="A1044:H1044"/>
    <mergeCell ref="A1106:H1106"/>
    <mergeCell ref="A1179:H1179"/>
    <mergeCell ref="A100:H100"/>
    <mergeCell ref="C1:L1"/>
    <mergeCell ref="C2:L2"/>
    <mergeCell ref="C3:L3"/>
    <mergeCell ref="A4:L4"/>
    <mergeCell ref="A9:L9"/>
    <mergeCell ref="A10:A12"/>
    <mergeCell ref="B10:E11"/>
    <mergeCell ref="F10:F12"/>
    <mergeCell ref="G10:G12"/>
    <mergeCell ref="H10:H12"/>
    <mergeCell ref="I10:I12"/>
    <mergeCell ref="J10:J12"/>
    <mergeCell ref="K10:K12"/>
    <mergeCell ref="L10:N11"/>
    <mergeCell ref="L13:N13"/>
  </mergeCells>
  <pageMargins left="0.25" right="0" top="0.55000000000000004" bottom="0.28999999999999998" header="0.25" footer="0.25"/>
  <pageSetup paperSize="9" scale="73" orientation="landscape"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11"/>
  <sheetViews>
    <sheetView zoomScaleNormal="100" workbookViewId="0">
      <selection activeCell="H17" sqref="H17"/>
    </sheetView>
  </sheetViews>
  <sheetFormatPr baseColWidth="10" defaultColWidth="8.83203125" defaultRowHeight="13"/>
  <cols>
    <col min="1" max="1" width="4.33203125" style="164" customWidth="1"/>
    <col min="2" max="2" width="12.6640625" style="164" customWidth="1"/>
    <col min="3" max="3" width="7.5" style="164" customWidth="1"/>
    <col min="4" max="4" width="4" style="164" customWidth="1"/>
    <col min="5" max="5" width="7.83203125" style="164" customWidth="1"/>
    <col min="6" max="6" width="22.6640625" style="164" customWidth="1"/>
    <col min="7" max="7" width="10.5" style="164" customWidth="1"/>
    <col min="8" max="8" width="61.83203125" style="164" customWidth="1"/>
    <col min="9" max="9" width="14.5" style="164" customWidth="1"/>
    <col min="10" max="10" width="4.33203125" style="164" customWidth="1"/>
    <col min="11" max="11" width="11.5" style="164" customWidth="1"/>
    <col min="12" max="12" width="5.1640625" style="165" customWidth="1"/>
    <col min="13" max="13" width="12.83203125" style="165" bestFit="1" customWidth="1"/>
    <col min="14" max="256" width="9.1640625" style="165"/>
    <col min="257" max="257" width="4.33203125" style="165" customWidth="1"/>
    <col min="258" max="258" width="12.6640625" style="165" customWidth="1"/>
    <col min="259" max="259" width="7.5" style="165" customWidth="1"/>
    <col min="260" max="260" width="4" style="165" customWidth="1"/>
    <col min="261" max="261" width="7.83203125" style="165" customWidth="1"/>
    <col min="262" max="262" width="22.6640625" style="165" customWidth="1"/>
    <col min="263" max="263" width="10.5" style="165" customWidth="1"/>
    <col min="264" max="264" width="61.83203125" style="165" customWidth="1"/>
    <col min="265" max="265" width="14.5" style="165" customWidth="1"/>
    <col min="266" max="266" width="4.33203125" style="165" customWidth="1"/>
    <col min="267" max="267" width="11.5" style="165" customWidth="1"/>
    <col min="268" max="268" width="5.1640625" style="165" customWidth="1"/>
    <col min="269" max="269" width="12.83203125" style="165" bestFit="1" customWidth="1"/>
    <col min="270" max="512" width="9.1640625" style="165"/>
    <col min="513" max="513" width="4.33203125" style="165" customWidth="1"/>
    <col min="514" max="514" width="12.6640625" style="165" customWidth="1"/>
    <col min="515" max="515" width="7.5" style="165" customWidth="1"/>
    <col min="516" max="516" width="4" style="165" customWidth="1"/>
    <col min="517" max="517" width="7.83203125" style="165" customWidth="1"/>
    <col min="518" max="518" width="22.6640625" style="165" customWidth="1"/>
    <col min="519" max="519" width="10.5" style="165" customWidth="1"/>
    <col min="520" max="520" width="61.83203125" style="165" customWidth="1"/>
    <col min="521" max="521" width="14.5" style="165" customWidth="1"/>
    <col min="522" max="522" width="4.33203125" style="165" customWidth="1"/>
    <col min="523" max="523" width="11.5" style="165" customWidth="1"/>
    <col min="524" max="524" width="5.1640625" style="165" customWidth="1"/>
    <col min="525" max="525" width="12.83203125" style="165" bestFit="1" customWidth="1"/>
    <col min="526" max="768" width="9.1640625" style="165"/>
    <col min="769" max="769" width="4.33203125" style="165" customWidth="1"/>
    <col min="770" max="770" width="12.6640625" style="165" customWidth="1"/>
    <col min="771" max="771" width="7.5" style="165" customWidth="1"/>
    <col min="772" max="772" width="4" style="165" customWidth="1"/>
    <col min="773" max="773" width="7.83203125" style="165" customWidth="1"/>
    <col min="774" max="774" width="22.6640625" style="165" customWidth="1"/>
    <col min="775" max="775" width="10.5" style="165" customWidth="1"/>
    <col min="776" max="776" width="61.83203125" style="165" customWidth="1"/>
    <col min="777" max="777" width="14.5" style="165" customWidth="1"/>
    <col min="778" max="778" width="4.33203125" style="165" customWidth="1"/>
    <col min="779" max="779" width="11.5" style="165" customWidth="1"/>
    <col min="780" max="780" width="5.1640625" style="165" customWidth="1"/>
    <col min="781" max="781" width="12.83203125" style="165" bestFit="1" customWidth="1"/>
    <col min="782" max="1024" width="9.1640625" style="165"/>
    <col min="1025" max="1025" width="4.33203125" style="165" customWidth="1"/>
    <col min="1026" max="1026" width="12.6640625" style="165" customWidth="1"/>
    <col min="1027" max="1027" width="7.5" style="165" customWidth="1"/>
    <col min="1028" max="1028" width="4" style="165" customWidth="1"/>
    <col min="1029" max="1029" width="7.83203125" style="165" customWidth="1"/>
    <col min="1030" max="1030" width="22.6640625" style="165" customWidth="1"/>
    <col min="1031" max="1031" width="10.5" style="165" customWidth="1"/>
    <col min="1032" max="1032" width="61.83203125" style="165" customWidth="1"/>
    <col min="1033" max="1033" width="14.5" style="165" customWidth="1"/>
    <col min="1034" max="1034" width="4.33203125" style="165" customWidth="1"/>
    <col min="1035" max="1035" width="11.5" style="165" customWidth="1"/>
    <col min="1036" max="1036" width="5.1640625" style="165" customWidth="1"/>
    <col min="1037" max="1037" width="12.83203125" style="165" bestFit="1" customWidth="1"/>
    <col min="1038" max="1280" width="9.1640625" style="165"/>
    <col min="1281" max="1281" width="4.33203125" style="165" customWidth="1"/>
    <col min="1282" max="1282" width="12.6640625" style="165" customWidth="1"/>
    <col min="1283" max="1283" width="7.5" style="165" customWidth="1"/>
    <col min="1284" max="1284" width="4" style="165" customWidth="1"/>
    <col min="1285" max="1285" width="7.83203125" style="165" customWidth="1"/>
    <col min="1286" max="1286" width="22.6640625" style="165" customWidth="1"/>
    <col min="1287" max="1287" width="10.5" style="165" customWidth="1"/>
    <col min="1288" max="1288" width="61.83203125" style="165" customWidth="1"/>
    <col min="1289" max="1289" width="14.5" style="165" customWidth="1"/>
    <col min="1290" max="1290" width="4.33203125" style="165" customWidth="1"/>
    <col min="1291" max="1291" width="11.5" style="165" customWidth="1"/>
    <col min="1292" max="1292" width="5.1640625" style="165" customWidth="1"/>
    <col min="1293" max="1293" width="12.83203125" style="165" bestFit="1" customWidth="1"/>
    <col min="1294" max="1536" width="9.1640625" style="165"/>
    <col min="1537" max="1537" width="4.33203125" style="165" customWidth="1"/>
    <col min="1538" max="1538" width="12.6640625" style="165" customWidth="1"/>
    <col min="1539" max="1539" width="7.5" style="165" customWidth="1"/>
    <col min="1540" max="1540" width="4" style="165" customWidth="1"/>
    <col min="1541" max="1541" width="7.83203125" style="165" customWidth="1"/>
    <col min="1542" max="1542" width="22.6640625" style="165" customWidth="1"/>
    <col min="1543" max="1543" width="10.5" style="165" customWidth="1"/>
    <col min="1544" max="1544" width="61.83203125" style="165" customWidth="1"/>
    <col min="1545" max="1545" width="14.5" style="165" customWidth="1"/>
    <col min="1546" max="1546" width="4.33203125" style="165" customWidth="1"/>
    <col min="1547" max="1547" width="11.5" style="165" customWidth="1"/>
    <col min="1548" max="1548" width="5.1640625" style="165" customWidth="1"/>
    <col min="1549" max="1549" width="12.83203125" style="165" bestFit="1" customWidth="1"/>
    <col min="1550" max="1792" width="9.1640625" style="165"/>
    <col min="1793" max="1793" width="4.33203125" style="165" customWidth="1"/>
    <col min="1794" max="1794" width="12.6640625" style="165" customWidth="1"/>
    <col min="1795" max="1795" width="7.5" style="165" customWidth="1"/>
    <col min="1796" max="1796" width="4" style="165" customWidth="1"/>
    <col min="1797" max="1797" width="7.83203125" style="165" customWidth="1"/>
    <col min="1798" max="1798" width="22.6640625" style="165" customWidth="1"/>
    <col min="1799" max="1799" width="10.5" style="165" customWidth="1"/>
    <col min="1800" max="1800" width="61.83203125" style="165" customWidth="1"/>
    <col min="1801" max="1801" width="14.5" style="165" customWidth="1"/>
    <col min="1802" max="1802" width="4.33203125" style="165" customWidth="1"/>
    <col min="1803" max="1803" width="11.5" style="165" customWidth="1"/>
    <col min="1804" max="1804" width="5.1640625" style="165" customWidth="1"/>
    <col min="1805" max="1805" width="12.83203125" style="165" bestFit="1" customWidth="1"/>
    <col min="1806" max="2048" width="9.1640625" style="165"/>
    <col min="2049" max="2049" width="4.33203125" style="165" customWidth="1"/>
    <col min="2050" max="2050" width="12.6640625" style="165" customWidth="1"/>
    <col min="2051" max="2051" width="7.5" style="165" customWidth="1"/>
    <col min="2052" max="2052" width="4" style="165" customWidth="1"/>
    <col min="2053" max="2053" width="7.83203125" style="165" customWidth="1"/>
    <col min="2054" max="2054" width="22.6640625" style="165" customWidth="1"/>
    <col min="2055" max="2055" width="10.5" style="165" customWidth="1"/>
    <col min="2056" max="2056" width="61.83203125" style="165" customWidth="1"/>
    <col min="2057" max="2057" width="14.5" style="165" customWidth="1"/>
    <col min="2058" max="2058" width="4.33203125" style="165" customWidth="1"/>
    <col min="2059" max="2059" width="11.5" style="165" customWidth="1"/>
    <col min="2060" max="2060" width="5.1640625" style="165" customWidth="1"/>
    <col min="2061" max="2061" width="12.83203125" style="165" bestFit="1" customWidth="1"/>
    <col min="2062" max="2304" width="9.1640625" style="165"/>
    <col min="2305" max="2305" width="4.33203125" style="165" customWidth="1"/>
    <col min="2306" max="2306" width="12.6640625" style="165" customWidth="1"/>
    <col min="2307" max="2307" width="7.5" style="165" customWidth="1"/>
    <col min="2308" max="2308" width="4" style="165" customWidth="1"/>
    <col min="2309" max="2309" width="7.83203125" style="165" customWidth="1"/>
    <col min="2310" max="2310" width="22.6640625" style="165" customWidth="1"/>
    <col min="2311" max="2311" width="10.5" style="165" customWidth="1"/>
    <col min="2312" max="2312" width="61.83203125" style="165" customWidth="1"/>
    <col min="2313" max="2313" width="14.5" style="165" customWidth="1"/>
    <col min="2314" max="2314" width="4.33203125" style="165" customWidth="1"/>
    <col min="2315" max="2315" width="11.5" style="165" customWidth="1"/>
    <col min="2316" max="2316" width="5.1640625" style="165" customWidth="1"/>
    <col min="2317" max="2317" width="12.83203125" style="165" bestFit="1" customWidth="1"/>
    <col min="2318" max="2560" width="9.1640625" style="165"/>
    <col min="2561" max="2561" width="4.33203125" style="165" customWidth="1"/>
    <col min="2562" max="2562" width="12.6640625" style="165" customWidth="1"/>
    <col min="2563" max="2563" width="7.5" style="165" customWidth="1"/>
    <col min="2564" max="2564" width="4" style="165" customWidth="1"/>
    <col min="2565" max="2565" width="7.83203125" style="165" customWidth="1"/>
    <col min="2566" max="2566" width="22.6640625" style="165" customWidth="1"/>
    <col min="2567" max="2567" width="10.5" style="165" customWidth="1"/>
    <col min="2568" max="2568" width="61.83203125" style="165" customWidth="1"/>
    <col min="2569" max="2569" width="14.5" style="165" customWidth="1"/>
    <col min="2570" max="2570" width="4.33203125" style="165" customWidth="1"/>
    <col min="2571" max="2571" width="11.5" style="165" customWidth="1"/>
    <col min="2572" max="2572" width="5.1640625" style="165" customWidth="1"/>
    <col min="2573" max="2573" width="12.83203125" style="165" bestFit="1" customWidth="1"/>
    <col min="2574" max="2816" width="9.1640625" style="165"/>
    <col min="2817" max="2817" width="4.33203125" style="165" customWidth="1"/>
    <col min="2818" max="2818" width="12.6640625" style="165" customWidth="1"/>
    <col min="2819" max="2819" width="7.5" style="165" customWidth="1"/>
    <col min="2820" max="2820" width="4" style="165" customWidth="1"/>
    <col min="2821" max="2821" width="7.83203125" style="165" customWidth="1"/>
    <col min="2822" max="2822" width="22.6640625" style="165" customWidth="1"/>
    <col min="2823" max="2823" width="10.5" style="165" customWidth="1"/>
    <col min="2824" max="2824" width="61.83203125" style="165" customWidth="1"/>
    <col min="2825" max="2825" width="14.5" style="165" customWidth="1"/>
    <col min="2826" max="2826" width="4.33203125" style="165" customWidth="1"/>
    <col min="2827" max="2827" width="11.5" style="165" customWidth="1"/>
    <col min="2828" max="2828" width="5.1640625" style="165" customWidth="1"/>
    <col min="2829" max="2829" width="12.83203125" style="165" bestFit="1" customWidth="1"/>
    <col min="2830" max="3072" width="9.1640625" style="165"/>
    <col min="3073" max="3073" width="4.33203125" style="165" customWidth="1"/>
    <col min="3074" max="3074" width="12.6640625" style="165" customWidth="1"/>
    <col min="3075" max="3075" width="7.5" style="165" customWidth="1"/>
    <col min="3076" max="3076" width="4" style="165" customWidth="1"/>
    <col min="3077" max="3077" width="7.83203125" style="165" customWidth="1"/>
    <col min="3078" max="3078" width="22.6640625" style="165" customWidth="1"/>
    <col min="3079" max="3079" width="10.5" style="165" customWidth="1"/>
    <col min="3080" max="3080" width="61.83203125" style="165" customWidth="1"/>
    <col min="3081" max="3081" width="14.5" style="165" customWidth="1"/>
    <col min="3082" max="3082" width="4.33203125" style="165" customWidth="1"/>
    <col min="3083" max="3083" width="11.5" style="165" customWidth="1"/>
    <col min="3084" max="3084" width="5.1640625" style="165" customWidth="1"/>
    <col min="3085" max="3085" width="12.83203125" style="165" bestFit="1" customWidth="1"/>
    <col min="3086" max="3328" width="9.1640625" style="165"/>
    <col min="3329" max="3329" width="4.33203125" style="165" customWidth="1"/>
    <col min="3330" max="3330" width="12.6640625" style="165" customWidth="1"/>
    <col min="3331" max="3331" width="7.5" style="165" customWidth="1"/>
    <col min="3332" max="3332" width="4" style="165" customWidth="1"/>
    <col min="3333" max="3333" width="7.83203125" style="165" customWidth="1"/>
    <col min="3334" max="3334" width="22.6640625" style="165" customWidth="1"/>
    <col min="3335" max="3335" width="10.5" style="165" customWidth="1"/>
    <col min="3336" max="3336" width="61.83203125" style="165" customWidth="1"/>
    <col min="3337" max="3337" width="14.5" style="165" customWidth="1"/>
    <col min="3338" max="3338" width="4.33203125" style="165" customWidth="1"/>
    <col min="3339" max="3339" width="11.5" style="165" customWidth="1"/>
    <col min="3340" max="3340" width="5.1640625" style="165" customWidth="1"/>
    <col min="3341" max="3341" width="12.83203125" style="165" bestFit="1" customWidth="1"/>
    <col min="3342" max="3584" width="9.1640625" style="165"/>
    <col min="3585" max="3585" width="4.33203125" style="165" customWidth="1"/>
    <col min="3586" max="3586" width="12.6640625" style="165" customWidth="1"/>
    <col min="3587" max="3587" width="7.5" style="165" customWidth="1"/>
    <col min="3588" max="3588" width="4" style="165" customWidth="1"/>
    <col min="3589" max="3589" width="7.83203125" style="165" customWidth="1"/>
    <col min="3590" max="3590" width="22.6640625" style="165" customWidth="1"/>
    <col min="3591" max="3591" width="10.5" style="165" customWidth="1"/>
    <col min="3592" max="3592" width="61.83203125" style="165" customWidth="1"/>
    <col min="3593" max="3593" width="14.5" style="165" customWidth="1"/>
    <col min="3594" max="3594" width="4.33203125" style="165" customWidth="1"/>
    <col min="3595" max="3595" width="11.5" style="165" customWidth="1"/>
    <col min="3596" max="3596" width="5.1640625" style="165" customWidth="1"/>
    <col min="3597" max="3597" width="12.83203125" style="165" bestFit="1" customWidth="1"/>
    <col min="3598" max="3840" width="9.1640625" style="165"/>
    <col min="3841" max="3841" width="4.33203125" style="165" customWidth="1"/>
    <col min="3842" max="3842" width="12.6640625" style="165" customWidth="1"/>
    <col min="3843" max="3843" width="7.5" style="165" customWidth="1"/>
    <col min="3844" max="3844" width="4" style="165" customWidth="1"/>
    <col min="3845" max="3845" width="7.83203125" style="165" customWidth="1"/>
    <col min="3846" max="3846" width="22.6640625" style="165" customWidth="1"/>
    <col min="3847" max="3847" width="10.5" style="165" customWidth="1"/>
    <col min="3848" max="3848" width="61.83203125" style="165" customWidth="1"/>
    <col min="3849" max="3849" width="14.5" style="165" customWidth="1"/>
    <col min="3850" max="3850" width="4.33203125" style="165" customWidth="1"/>
    <col min="3851" max="3851" width="11.5" style="165" customWidth="1"/>
    <col min="3852" max="3852" width="5.1640625" style="165" customWidth="1"/>
    <col min="3853" max="3853" width="12.83203125" style="165" bestFit="1" customWidth="1"/>
    <col min="3854" max="4096" width="9.1640625" style="165"/>
    <col min="4097" max="4097" width="4.33203125" style="165" customWidth="1"/>
    <col min="4098" max="4098" width="12.6640625" style="165" customWidth="1"/>
    <col min="4099" max="4099" width="7.5" style="165" customWidth="1"/>
    <col min="4100" max="4100" width="4" style="165" customWidth="1"/>
    <col min="4101" max="4101" width="7.83203125" style="165" customWidth="1"/>
    <col min="4102" max="4102" width="22.6640625" style="165" customWidth="1"/>
    <col min="4103" max="4103" width="10.5" style="165" customWidth="1"/>
    <col min="4104" max="4104" width="61.83203125" style="165" customWidth="1"/>
    <col min="4105" max="4105" width="14.5" style="165" customWidth="1"/>
    <col min="4106" max="4106" width="4.33203125" style="165" customWidth="1"/>
    <col min="4107" max="4107" width="11.5" style="165" customWidth="1"/>
    <col min="4108" max="4108" width="5.1640625" style="165" customWidth="1"/>
    <col min="4109" max="4109" width="12.83203125" style="165" bestFit="1" customWidth="1"/>
    <col min="4110" max="4352" width="9.1640625" style="165"/>
    <col min="4353" max="4353" width="4.33203125" style="165" customWidth="1"/>
    <col min="4354" max="4354" width="12.6640625" style="165" customWidth="1"/>
    <col min="4355" max="4355" width="7.5" style="165" customWidth="1"/>
    <col min="4356" max="4356" width="4" style="165" customWidth="1"/>
    <col min="4357" max="4357" width="7.83203125" style="165" customWidth="1"/>
    <col min="4358" max="4358" width="22.6640625" style="165" customWidth="1"/>
    <col min="4359" max="4359" width="10.5" style="165" customWidth="1"/>
    <col min="4360" max="4360" width="61.83203125" style="165" customWidth="1"/>
    <col min="4361" max="4361" width="14.5" style="165" customWidth="1"/>
    <col min="4362" max="4362" width="4.33203125" style="165" customWidth="1"/>
    <col min="4363" max="4363" width="11.5" style="165" customWidth="1"/>
    <col min="4364" max="4364" width="5.1640625" style="165" customWidth="1"/>
    <col min="4365" max="4365" width="12.83203125" style="165" bestFit="1" customWidth="1"/>
    <col min="4366" max="4608" width="9.1640625" style="165"/>
    <col min="4609" max="4609" width="4.33203125" style="165" customWidth="1"/>
    <col min="4610" max="4610" width="12.6640625" style="165" customWidth="1"/>
    <col min="4611" max="4611" width="7.5" style="165" customWidth="1"/>
    <col min="4612" max="4612" width="4" style="165" customWidth="1"/>
    <col min="4613" max="4613" width="7.83203125" style="165" customWidth="1"/>
    <col min="4614" max="4614" width="22.6640625" style="165" customWidth="1"/>
    <col min="4615" max="4615" width="10.5" style="165" customWidth="1"/>
    <col min="4616" max="4616" width="61.83203125" style="165" customWidth="1"/>
    <col min="4617" max="4617" width="14.5" style="165" customWidth="1"/>
    <col min="4618" max="4618" width="4.33203125" style="165" customWidth="1"/>
    <col min="4619" max="4619" width="11.5" style="165" customWidth="1"/>
    <col min="4620" max="4620" width="5.1640625" style="165" customWidth="1"/>
    <col min="4621" max="4621" width="12.83203125" style="165" bestFit="1" customWidth="1"/>
    <col min="4622" max="4864" width="9.1640625" style="165"/>
    <col min="4865" max="4865" width="4.33203125" style="165" customWidth="1"/>
    <col min="4866" max="4866" width="12.6640625" style="165" customWidth="1"/>
    <col min="4867" max="4867" width="7.5" style="165" customWidth="1"/>
    <col min="4868" max="4868" width="4" style="165" customWidth="1"/>
    <col min="4869" max="4869" width="7.83203125" style="165" customWidth="1"/>
    <col min="4870" max="4870" width="22.6640625" style="165" customWidth="1"/>
    <col min="4871" max="4871" width="10.5" style="165" customWidth="1"/>
    <col min="4872" max="4872" width="61.83203125" style="165" customWidth="1"/>
    <col min="4873" max="4873" width="14.5" style="165" customWidth="1"/>
    <col min="4874" max="4874" width="4.33203125" style="165" customWidth="1"/>
    <col min="4875" max="4875" width="11.5" style="165" customWidth="1"/>
    <col min="4876" max="4876" width="5.1640625" style="165" customWidth="1"/>
    <col min="4877" max="4877" width="12.83203125" style="165" bestFit="1" customWidth="1"/>
    <col min="4878" max="5120" width="9.1640625" style="165"/>
    <col min="5121" max="5121" width="4.33203125" style="165" customWidth="1"/>
    <col min="5122" max="5122" width="12.6640625" style="165" customWidth="1"/>
    <col min="5123" max="5123" width="7.5" style="165" customWidth="1"/>
    <col min="5124" max="5124" width="4" style="165" customWidth="1"/>
    <col min="5125" max="5125" width="7.83203125" style="165" customWidth="1"/>
    <col min="5126" max="5126" width="22.6640625" style="165" customWidth="1"/>
    <col min="5127" max="5127" width="10.5" style="165" customWidth="1"/>
    <col min="5128" max="5128" width="61.83203125" style="165" customWidth="1"/>
    <col min="5129" max="5129" width="14.5" style="165" customWidth="1"/>
    <col min="5130" max="5130" width="4.33203125" style="165" customWidth="1"/>
    <col min="5131" max="5131" width="11.5" style="165" customWidth="1"/>
    <col min="5132" max="5132" width="5.1640625" style="165" customWidth="1"/>
    <col min="5133" max="5133" width="12.83203125" style="165" bestFit="1" customWidth="1"/>
    <col min="5134" max="5376" width="9.1640625" style="165"/>
    <col min="5377" max="5377" width="4.33203125" style="165" customWidth="1"/>
    <col min="5378" max="5378" width="12.6640625" style="165" customWidth="1"/>
    <col min="5379" max="5379" width="7.5" style="165" customWidth="1"/>
    <col min="5380" max="5380" width="4" style="165" customWidth="1"/>
    <col min="5381" max="5381" width="7.83203125" style="165" customWidth="1"/>
    <col min="5382" max="5382" width="22.6640625" style="165" customWidth="1"/>
    <col min="5383" max="5383" width="10.5" style="165" customWidth="1"/>
    <col min="5384" max="5384" width="61.83203125" style="165" customWidth="1"/>
    <col min="5385" max="5385" width="14.5" style="165" customWidth="1"/>
    <col min="5386" max="5386" width="4.33203125" style="165" customWidth="1"/>
    <col min="5387" max="5387" width="11.5" style="165" customWidth="1"/>
    <col min="5388" max="5388" width="5.1640625" style="165" customWidth="1"/>
    <col min="5389" max="5389" width="12.83203125" style="165" bestFit="1" customWidth="1"/>
    <col min="5390" max="5632" width="9.1640625" style="165"/>
    <col min="5633" max="5633" width="4.33203125" style="165" customWidth="1"/>
    <col min="5634" max="5634" width="12.6640625" style="165" customWidth="1"/>
    <col min="5635" max="5635" width="7.5" style="165" customWidth="1"/>
    <col min="5636" max="5636" width="4" style="165" customWidth="1"/>
    <col min="5637" max="5637" width="7.83203125" style="165" customWidth="1"/>
    <col min="5638" max="5638" width="22.6640625" style="165" customWidth="1"/>
    <col min="5639" max="5639" width="10.5" style="165" customWidth="1"/>
    <col min="5640" max="5640" width="61.83203125" style="165" customWidth="1"/>
    <col min="5641" max="5641" width="14.5" style="165" customWidth="1"/>
    <col min="5642" max="5642" width="4.33203125" style="165" customWidth="1"/>
    <col min="5643" max="5643" width="11.5" style="165" customWidth="1"/>
    <col min="5644" max="5644" width="5.1640625" style="165" customWidth="1"/>
    <col min="5645" max="5645" width="12.83203125" style="165" bestFit="1" customWidth="1"/>
    <col min="5646" max="5888" width="9.1640625" style="165"/>
    <col min="5889" max="5889" width="4.33203125" style="165" customWidth="1"/>
    <col min="5890" max="5890" width="12.6640625" style="165" customWidth="1"/>
    <col min="5891" max="5891" width="7.5" style="165" customWidth="1"/>
    <col min="5892" max="5892" width="4" style="165" customWidth="1"/>
    <col min="5893" max="5893" width="7.83203125" style="165" customWidth="1"/>
    <col min="5894" max="5894" width="22.6640625" style="165" customWidth="1"/>
    <col min="5895" max="5895" width="10.5" style="165" customWidth="1"/>
    <col min="5896" max="5896" width="61.83203125" style="165" customWidth="1"/>
    <col min="5897" max="5897" width="14.5" style="165" customWidth="1"/>
    <col min="5898" max="5898" width="4.33203125" style="165" customWidth="1"/>
    <col min="5899" max="5899" width="11.5" style="165" customWidth="1"/>
    <col min="5900" max="5900" width="5.1640625" style="165" customWidth="1"/>
    <col min="5901" max="5901" width="12.83203125" style="165" bestFit="1" customWidth="1"/>
    <col min="5902" max="6144" width="9.1640625" style="165"/>
    <col min="6145" max="6145" width="4.33203125" style="165" customWidth="1"/>
    <col min="6146" max="6146" width="12.6640625" style="165" customWidth="1"/>
    <col min="6147" max="6147" width="7.5" style="165" customWidth="1"/>
    <col min="6148" max="6148" width="4" style="165" customWidth="1"/>
    <col min="6149" max="6149" width="7.83203125" style="165" customWidth="1"/>
    <col min="6150" max="6150" width="22.6640625" style="165" customWidth="1"/>
    <col min="6151" max="6151" width="10.5" style="165" customWidth="1"/>
    <col min="6152" max="6152" width="61.83203125" style="165" customWidth="1"/>
    <col min="6153" max="6153" width="14.5" style="165" customWidth="1"/>
    <col min="6154" max="6154" width="4.33203125" style="165" customWidth="1"/>
    <col min="6155" max="6155" width="11.5" style="165" customWidth="1"/>
    <col min="6156" max="6156" width="5.1640625" style="165" customWidth="1"/>
    <col min="6157" max="6157" width="12.83203125" style="165" bestFit="1" customWidth="1"/>
    <col min="6158" max="6400" width="9.1640625" style="165"/>
    <col min="6401" max="6401" width="4.33203125" style="165" customWidth="1"/>
    <col min="6402" max="6402" width="12.6640625" style="165" customWidth="1"/>
    <col min="6403" max="6403" width="7.5" style="165" customWidth="1"/>
    <col min="6404" max="6404" width="4" style="165" customWidth="1"/>
    <col min="6405" max="6405" width="7.83203125" style="165" customWidth="1"/>
    <col min="6406" max="6406" width="22.6640625" style="165" customWidth="1"/>
    <col min="6407" max="6407" width="10.5" style="165" customWidth="1"/>
    <col min="6408" max="6408" width="61.83203125" style="165" customWidth="1"/>
    <col min="6409" max="6409" width="14.5" style="165" customWidth="1"/>
    <col min="6410" max="6410" width="4.33203125" style="165" customWidth="1"/>
    <col min="6411" max="6411" width="11.5" style="165" customWidth="1"/>
    <col min="6412" max="6412" width="5.1640625" style="165" customWidth="1"/>
    <col min="6413" max="6413" width="12.83203125" style="165" bestFit="1" customWidth="1"/>
    <col min="6414" max="6656" width="9.1640625" style="165"/>
    <col min="6657" max="6657" width="4.33203125" style="165" customWidth="1"/>
    <col min="6658" max="6658" width="12.6640625" style="165" customWidth="1"/>
    <col min="6659" max="6659" width="7.5" style="165" customWidth="1"/>
    <col min="6660" max="6660" width="4" style="165" customWidth="1"/>
    <col min="6661" max="6661" width="7.83203125" style="165" customWidth="1"/>
    <col min="6662" max="6662" width="22.6640625" style="165" customWidth="1"/>
    <col min="6663" max="6663" width="10.5" style="165" customWidth="1"/>
    <col min="6664" max="6664" width="61.83203125" style="165" customWidth="1"/>
    <col min="6665" max="6665" width="14.5" style="165" customWidth="1"/>
    <col min="6666" max="6666" width="4.33203125" style="165" customWidth="1"/>
    <col min="6667" max="6667" width="11.5" style="165" customWidth="1"/>
    <col min="6668" max="6668" width="5.1640625" style="165" customWidth="1"/>
    <col min="6669" max="6669" width="12.83203125" style="165" bestFit="1" customWidth="1"/>
    <col min="6670" max="6912" width="9.1640625" style="165"/>
    <col min="6913" max="6913" width="4.33203125" style="165" customWidth="1"/>
    <col min="6914" max="6914" width="12.6640625" style="165" customWidth="1"/>
    <col min="6915" max="6915" width="7.5" style="165" customWidth="1"/>
    <col min="6916" max="6916" width="4" style="165" customWidth="1"/>
    <col min="6917" max="6917" width="7.83203125" style="165" customWidth="1"/>
    <col min="6918" max="6918" width="22.6640625" style="165" customWidth="1"/>
    <col min="6919" max="6919" width="10.5" style="165" customWidth="1"/>
    <col min="6920" max="6920" width="61.83203125" style="165" customWidth="1"/>
    <col min="6921" max="6921" width="14.5" style="165" customWidth="1"/>
    <col min="6922" max="6922" width="4.33203125" style="165" customWidth="1"/>
    <col min="6923" max="6923" width="11.5" style="165" customWidth="1"/>
    <col min="6924" max="6924" width="5.1640625" style="165" customWidth="1"/>
    <col min="6925" max="6925" width="12.83203125" style="165" bestFit="1" customWidth="1"/>
    <col min="6926" max="7168" width="9.1640625" style="165"/>
    <col min="7169" max="7169" width="4.33203125" style="165" customWidth="1"/>
    <col min="7170" max="7170" width="12.6640625" style="165" customWidth="1"/>
    <col min="7171" max="7171" width="7.5" style="165" customWidth="1"/>
    <col min="7172" max="7172" width="4" style="165" customWidth="1"/>
    <col min="7173" max="7173" width="7.83203125" style="165" customWidth="1"/>
    <col min="7174" max="7174" width="22.6640625" style="165" customWidth="1"/>
    <col min="7175" max="7175" width="10.5" style="165" customWidth="1"/>
    <col min="7176" max="7176" width="61.83203125" style="165" customWidth="1"/>
    <col min="7177" max="7177" width="14.5" style="165" customWidth="1"/>
    <col min="7178" max="7178" width="4.33203125" style="165" customWidth="1"/>
    <col min="7179" max="7179" width="11.5" style="165" customWidth="1"/>
    <col min="7180" max="7180" width="5.1640625" style="165" customWidth="1"/>
    <col min="7181" max="7181" width="12.83203125" style="165" bestFit="1" customWidth="1"/>
    <col min="7182" max="7424" width="9.1640625" style="165"/>
    <col min="7425" max="7425" width="4.33203125" style="165" customWidth="1"/>
    <col min="7426" max="7426" width="12.6640625" style="165" customWidth="1"/>
    <col min="7427" max="7427" width="7.5" style="165" customWidth="1"/>
    <col min="7428" max="7428" width="4" style="165" customWidth="1"/>
    <col min="7429" max="7429" width="7.83203125" style="165" customWidth="1"/>
    <col min="7430" max="7430" width="22.6640625" style="165" customWidth="1"/>
    <col min="7431" max="7431" width="10.5" style="165" customWidth="1"/>
    <col min="7432" max="7432" width="61.83203125" style="165" customWidth="1"/>
    <col min="7433" max="7433" width="14.5" style="165" customWidth="1"/>
    <col min="7434" max="7434" width="4.33203125" style="165" customWidth="1"/>
    <col min="7435" max="7435" width="11.5" style="165" customWidth="1"/>
    <col min="7436" max="7436" width="5.1640625" style="165" customWidth="1"/>
    <col min="7437" max="7437" width="12.83203125" style="165" bestFit="1" customWidth="1"/>
    <col min="7438" max="7680" width="9.1640625" style="165"/>
    <col min="7681" max="7681" width="4.33203125" style="165" customWidth="1"/>
    <col min="7682" max="7682" width="12.6640625" style="165" customWidth="1"/>
    <col min="7683" max="7683" width="7.5" style="165" customWidth="1"/>
    <col min="7684" max="7684" width="4" style="165" customWidth="1"/>
    <col min="7685" max="7685" width="7.83203125" style="165" customWidth="1"/>
    <col min="7686" max="7686" width="22.6640625" style="165" customWidth="1"/>
    <col min="7687" max="7687" width="10.5" style="165" customWidth="1"/>
    <col min="7688" max="7688" width="61.83203125" style="165" customWidth="1"/>
    <col min="7689" max="7689" width="14.5" style="165" customWidth="1"/>
    <col min="7690" max="7690" width="4.33203125" style="165" customWidth="1"/>
    <col min="7691" max="7691" width="11.5" style="165" customWidth="1"/>
    <col min="7692" max="7692" width="5.1640625" style="165" customWidth="1"/>
    <col min="7693" max="7693" width="12.83203125" style="165" bestFit="1" customWidth="1"/>
    <col min="7694" max="7936" width="9.1640625" style="165"/>
    <col min="7937" max="7937" width="4.33203125" style="165" customWidth="1"/>
    <col min="7938" max="7938" width="12.6640625" style="165" customWidth="1"/>
    <col min="7939" max="7939" width="7.5" style="165" customWidth="1"/>
    <col min="7940" max="7940" width="4" style="165" customWidth="1"/>
    <col min="7941" max="7941" width="7.83203125" style="165" customWidth="1"/>
    <col min="7942" max="7942" width="22.6640625" style="165" customWidth="1"/>
    <col min="7943" max="7943" width="10.5" style="165" customWidth="1"/>
    <col min="7944" max="7944" width="61.83203125" style="165" customWidth="1"/>
    <col min="7945" max="7945" width="14.5" style="165" customWidth="1"/>
    <col min="7946" max="7946" width="4.33203125" style="165" customWidth="1"/>
    <col min="7947" max="7947" width="11.5" style="165" customWidth="1"/>
    <col min="7948" max="7948" width="5.1640625" style="165" customWidth="1"/>
    <col min="7949" max="7949" width="12.83203125" style="165" bestFit="1" customWidth="1"/>
    <col min="7950" max="8192" width="9.1640625" style="165"/>
    <col min="8193" max="8193" width="4.33203125" style="165" customWidth="1"/>
    <col min="8194" max="8194" width="12.6640625" style="165" customWidth="1"/>
    <col min="8195" max="8195" width="7.5" style="165" customWidth="1"/>
    <col min="8196" max="8196" width="4" style="165" customWidth="1"/>
    <col min="8197" max="8197" width="7.83203125" style="165" customWidth="1"/>
    <col min="8198" max="8198" width="22.6640625" style="165" customWidth="1"/>
    <col min="8199" max="8199" width="10.5" style="165" customWidth="1"/>
    <col min="8200" max="8200" width="61.83203125" style="165" customWidth="1"/>
    <col min="8201" max="8201" width="14.5" style="165" customWidth="1"/>
    <col min="8202" max="8202" width="4.33203125" style="165" customWidth="1"/>
    <col min="8203" max="8203" width="11.5" style="165" customWidth="1"/>
    <col min="8204" max="8204" width="5.1640625" style="165" customWidth="1"/>
    <col min="8205" max="8205" width="12.83203125" style="165" bestFit="1" customWidth="1"/>
    <col min="8206" max="8448" width="9.1640625" style="165"/>
    <col min="8449" max="8449" width="4.33203125" style="165" customWidth="1"/>
    <col min="8450" max="8450" width="12.6640625" style="165" customWidth="1"/>
    <col min="8451" max="8451" width="7.5" style="165" customWidth="1"/>
    <col min="8452" max="8452" width="4" style="165" customWidth="1"/>
    <col min="8453" max="8453" width="7.83203125" style="165" customWidth="1"/>
    <col min="8454" max="8454" width="22.6640625" style="165" customWidth="1"/>
    <col min="8455" max="8455" width="10.5" style="165" customWidth="1"/>
    <col min="8456" max="8456" width="61.83203125" style="165" customWidth="1"/>
    <col min="8457" max="8457" width="14.5" style="165" customWidth="1"/>
    <col min="8458" max="8458" width="4.33203125" style="165" customWidth="1"/>
    <col min="8459" max="8459" width="11.5" style="165" customWidth="1"/>
    <col min="8460" max="8460" width="5.1640625" style="165" customWidth="1"/>
    <col min="8461" max="8461" width="12.83203125" style="165" bestFit="1" customWidth="1"/>
    <col min="8462" max="8704" width="9.1640625" style="165"/>
    <col min="8705" max="8705" width="4.33203125" style="165" customWidth="1"/>
    <col min="8706" max="8706" width="12.6640625" style="165" customWidth="1"/>
    <col min="8707" max="8707" width="7.5" style="165" customWidth="1"/>
    <col min="8708" max="8708" width="4" style="165" customWidth="1"/>
    <col min="8709" max="8709" width="7.83203125" style="165" customWidth="1"/>
    <col min="8710" max="8710" width="22.6640625" style="165" customWidth="1"/>
    <col min="8711" max="8711" width="10.5" style="165" customWidth="1"/>
    <col min="8712" max="8712" width="61.83203125" style="165" customWidth="1"/>
    <col min="8713" max="8713" width="14.5" style="165" customWidth="1"/>
    <col min="8714" max="8714" width="4.33203125" style="165" customWidth="1"/>
    <col min="8715" max="8715" width="11.5" style="165" customWidth="1"/>
    <col min="8716" max="8716" width="5.1640625" style="165" customWidth="1"/>
    <col min="8717" max="8717" width="12.83203125" style="165" bestFit="1" customWidth="1"/>
    <col min="8718" max="8960" width="9.1640625" style="165"/>
    <col min="8961" max="8961" width="4.33203125" style="165" customWidth="1"/>
    <col min="8962" max="8962" width="12.6640625" style="165" customWidth="1"/>
    <col min="8963" max="8963" width="7.5" style="165" customWidth="1"/>
    <col min="8964" max="8964" width="4" style="165" customWidth="1"/>
    <col min="8965" max="8965" width="7.83203125" style="165" customWidth="1"/>
    <col min="8966" max="8966" width="22.6640625" style="165" customWidth="1"/>
    <col min="8967" max="8967" width="10.5" style="165" customWidth="1"/>
    <col min="8968" max="8968" width="61.83203125" style="165" customWidth="1"/>
    <col min="8969" max="8969" width="14.5" style="165" customWidth="1"/>
    <col min="8970" max="8970" width="4.33203125" style="165" customWidth="1"/>
    <col min="8971" max="8971" width="11.5" style="165" customWidth="1"/>
    <col min="8972" max="8972" width="5.1640625" style="165" customWidth="1"/>
    <col min="8973" max="8973" width="12.83203125" style="165" bestFit="1" customWidth="1"/>
    <col min="8974" max="9216" width="9.1640625" style="165"/>
    <col min="9217" max="9217" width="4.33203125" style="165" customWidth="1"/>
    <col min="9218" max="9218" width="12.6640625" style="165" customWidth="1"/>
    <col min="9219" max="9219" width="7.5" style="165" customWidth="1"/>
    <col min="9220" max="9220" width="4" style="165" customWidth="1"/>
    <col min="9221" max="9221" width="7.83203125" style="165" customWidth="1"/>
    <col min="9222" max="9222" width="22.6640625" style="165" customWidth="1"/>
    <col min="9223" max="9223" width="10.5" style="165" customWidth="1"/>
    <col min="9224" max="9224" width="61.83203125" style="165" customWidth="1"/>
    <col min="9225" max="9225" width="14.5" style="165" customWidth="1"/>
    <col min="9226" max="9226" width="4.33203125" style="165" customWidth="1"/>
    <col min="9227" max="9227" width="11.5" style="165" customWidth="1"/>
    <col min="9228" max="9228" width="5.1640625" style="165" customWidth="1"/>
    <col min="9229" max="9229" width="12.83203125" style="165" bestFit="1" customWidth="1"/>
    <col min="9230" max="9472" width="9.1640625" style="165"/>
    <col min="9473" max="9473" width="4.33203125" style="165" customWidth="1"/>
    <col min="9474" max="9474" width="12.6640625" style="165" customWidth="1"/>
    <col min="9475" max="9475" width="7.5" style="165" customWidth="1"/>
    <col min="9476" max="9476" width="4" style="165" customWidth="1"/>
    <col min="9477" max="9477" width="7.83203125" style="165" customWidth="1"/>
    <col min="9478" max="9478" width="22.6640625" style="165" customWidth="1"/>
    <col min="9479" max="9479" width="10.5" style="165" customWidth="1"/>
    <col min="9480" max="9480" width="61.83203125" style="165" customWidth="1"/>
    <col min="9481" max="9481" width="14.5" style="165" customWidth="1"/>
    <col min="9482" max="9482" width="4.33203125" style="165" customWidth="1"/>
    <col min="9483" max="9483" width="11.5" style="165" customWidth="1"/>
    <col min="9484" max="9484" width="5.1640625" style="165" customWidth="1"/>
    <col min="9485" max="9485" width="12.83203125" style="165" bestFit="1" customWidth="1"/>
    <col min="9486" max="9728" width="9.1640625" style="165"/>
    <col min="9729" max="9729" width="4.33203125" style="165" customWidth="1"/>
    <col min="9730" max="9730" width="12.6640625" style="165" customWidth="1"/>
    <col min="9731" max="9731" width="7.5" style="165" customWidth="1"/>
    <col min="9732" max="9732" width="4" style="165" customWidth="1"/>
    <col min="9733" max="9733" width="7.83203125" style="165" customWidth="1"/>
    <col min="9734" max="9734" width="22.6640625" style="165" customWidth="1"/>
    <col min="9735" max="9735" width="10.5" style="165" customWidth="1"/>
    <col min="9736" max="9736" width="61.83203125" style="165" customWidth="1"/>
    <col min="9737" max="9737" width="14.5" style="165" customWidth="1"/>
    <col min="9738" max="9738" width="4.33203125" style="165" customWidth="1"/>
    <col min="9739" max="9739" width="11.5" style="165" customWidth="1"/>
    <col min="9740" max="9740" width="5.1640625" style="165" customWidth="1"/>
    <col min="9741" max="9741" width="12.83203125" style="165" bestFit="1" customWidth="1"/>
    <col min="9742" max="9984" width="9.1640625" style="165"/>
    <col min="9985" max="9985" width="4.33203125" style="165" customWidth="1"/>
    <col min="9986" max="9986" width="12.6640625" style="165" customWidth="1"/>
    <col min="9987" max="9987" width="7.5" style="165" customWidth="1"/>
    <col min="9988" max="9988" width="4" style="165" customWidth="1"/>
    <col min="9989" max="9989" width="7.83203125" style="165" customWidth="1"/>
    <col min="9990" max="9990" width="22.6640625" style="165" customWidth="1"/>
    <col min="9991" max="9991" width="10.5" style="165" customWidth="1"/>
    <col min="9992" max="9992" width="61.83203125" style="165" customWidth="1"/>
    <col min="9993" max="9993" width="14.5" style="165" customWidth="1"/>
    <col min="9994" max="9994" width="4.33203125" style="165" customWidth="1"/>
    <col min="9995" max="9995" width="11.5" style="165" customWidth="1"/>
    <col min="9996" max="9996" width="5.1640625" style="165" customWidth="1"/>
    <col min="9997" max="9997" width="12.83203125" style="165" bestFit="1" customWidth="1"/>
    <col min="9998" max="10240" width="9.1640625" style="165"/>
    <col min="10241" max="10241" width="4.33203125" style="165" customWidth="1"/>
    <col min="10242" max="10242" width="12.6640625" style="165" customWidth="1"/>
    <col min="10243" max="10243" width="7.5" style="165" customWidth="1"/>
    <col min="10244" max="10244" width="4" style="165" customWidth="1"/>
    <col min="10245" max="10245" width="7.83203125" style="165" customWidth="1"/>
    <col min="10246" max="10246" width="22.6640625" style="165" customWidth="1"/>
    <col min="10247" max="10247" width="10.5" style="165" customWidth="1"/>
    <col min="10248" max="10248" width="61.83203125" style="165" customWidth="1"/>
    <col min="10249" max="10249" width="14.5" style="165" customWidth="1"/>
    <col min="10250" max="10250" width="4.33203125" style="165" customWidth="1"/>
    <col min="10251" max="10251" width="11.5" style="165" customWidth="1"/>
    <col min="10252" max="10252" width="5.1640625" style="165" customWidth="1"/>
    <col min="10253" max="10253" width="12.83203125" style="165" bestFit="1" customWidth="1"/>
    <col min="10254" max="10496" width="9.1640625" style="165"/>
    <col min="10497" max="10497" width="4.33203125" style="165" customWidth="1"/>
    <col min="10498" max="10498" width="12.6640625" style="165" customWidth="1"/>
    <col min="10499" max="10499" width="7.5" style="165" customWidth="1"/>
    <col min="10500" max="10500" width="4" style="165" customWidth="1"/>
    <col min="10501" max="10501" width="7.83203125" style="165" customWidth="1"/>
    <col min="10502" max="10502" width="22.6640625" style="165" customWidth="1"/>
    <col min="10503" max="10503" width="10.5" style="165" customWidth="1"/>
    <col min="10504" max="10504" width="61.83203125" style="165" customWidth="1"/>
    <col min="10505" max="10505" width="14.5" style="165" customWidth="1"/>
    <col min="10506" max="10506" width="4.33203125" style="165" customWidth="1"/>
    <col min="10507" max="10507" width="11.5" style="165" customWidth="1"/>
    <col min="10508" max="10508" width="5.1640625" style="165" customWidth="1"/>
    <col min="10509" max="10509" width="12.83203125" style="165" bestFit="1" customWidth="1"/>
    <col min="10510" max="10752" width="9.1640625" style="165"/>
    <col min="10753" max="10753" width="4.33203125" style="165" customWidth="1"/>
    <col min="10754" max="10754" width="12.6640625" style="165" customWidth="1"/>
    <col min="10755" max="10755" width="7.5" style="165" customWidth="1"/>
    <col min="10756" max="10756" width="4" style="165" customWidth="1"/>
    <col min="10757" max="10757" width="7.83203125" style="165" customWidth="1"/>
    <col min="10758" max="10758" width="22.6640625" style="165" customWidth="1"/>
    <col min="10759" max="10759" width="10.5" style="165" customWidth="1"/>
    <col min="10760" max="10760" width="61.83203125" style="165" customWidth="1"/>
    <col min="10761" max="10761" width="14.5" style="165" customWidth="1"/>
    <col min="10762" max="10762" width="4.33203125" style="165" customWidth="1"/>
    <col min="10763" max="10763" width="11.5" style="165" customWidth="1"/>
    <col min="10764" max="10764" width="5.1640625" style="165" customWidth="1"/>
    <col min="10765" max="10765" width="12.83203125" style="165" bestFit="1" customWidth="1"/>
    <col min="10766" max="11008" width="9.1640625" style="165"/>
    <col min="11009" max="11009" width="4.33203125" style="165" customWidth="1"/>
    <col min="11010" max="11010" width="12.6640625" style="165" customWidth="1"/>
    <col min="11011" max="11011" width="7.5" style="165" customWidth="1"/>
    <col min="11012" max="11012" width="4" style="165" customWidth="1"/>
    <col min="11013" max="11013" width="7.83203125" style="165" customWidth="1"/>
    <col min="11014" max="11014" width="22.6640625" style="165" customWidth="1"/>
    <col min="11015" max="11015" width="10.5" style="165" customWidth="1"/>
    <col min="11016" max="11016" width="61.83203125" style="165" customWidth="1"/>
    <col min="11017" max="11017" width="14.5" style="165" customWidth="1"/>
    <col min="11018" max="11018" width="4.33203125" style="165" customWidth="1"/>
    <col min="11019" max="11019" width="11.5" style="165" customWidth="1"/>
    <col min="11020" max="11020" width="5.1640625" style="165" customWidth="1"/>
    <col min="11021" max="11021" width="12.83203125" style="165" bestFit="1" customWidth="1"/>
    <col min="11022" max="11264" width="9.1640625" style="165"/>
    <col min="11265" max="11265" width="4.33203125" style="165" customWidth="1"/>
    <col min="11266" max="11266" width="12.6640625" style="165" customWidth="1"/>
    <col min="11267" max="11267" width="7.5" style="165" customWidth="1"/>
    <col min="11268" max="11268" width="4" style="165" customWidth="1"/>
    <col min="11269" max="11269" width="7.83203125" style="165" customWidth="1"/>
    <col min="11270" max="11270" width="22.6640625" style="165" customWidth="1"/>
    <col min="11271" max="11271" width="10.5" style="165" customWidth="1"/>
    <col min="11272" max="11272" width="61.83203125" style="165" customWidth="1"/>
    <col min="11273" max="11273" width="14.5" style="165" customWidth="1"/>
    <col min="11274" max="11274" width="4.33203125" style="165" customWidth="1"/>
    <col min="11275" max="11275" width="11.5" style="165" customWidth="1"/>
    <col min="11276" max="11276" width="5.1640625" style="165" customWidth="1"/>
    <col min="11277" max="11277" width="12.83203125" style="165" bestFit="1" customWidth="1"/>
    <col min="11278" max="11520" width="9.1640625" style="165"/>
    <col min="11521" max="11521" width="4.33203125" style="165" customWidth="1"/>
    <col min="11522" max="11522" width="12.6640625" style="165" customWidth="1"/>
    <col min="11523" max="11523" width="7.5" style="165" customWidth="1"/>
    <col min="11524" max="11524" width="4" style="165" customWidth="1"/>
    <col min="11525" max="11525" width="7.83203125" style="165" customWidth="1"/>
    <col min="11526" max="11526" width="22.6640625" style="165" customWidth="1"/>
    <col min="11527" max="11527" width="10.5" style="165" customWidth="1"/>
    <col min="11528" max="11528" width="61.83203125" style="165" customWidth="1"/>
    <col min="11529" max="11529" width="14.5" style="165" customWidth="1"/>
    <col min="11530" max="11530" width="4.33203125" style="165" customWidth="1"/>
    <col min="11531" max="11531" width="11.5" style="165" customWidth="1"/>
    <col min="11532" max="11532" width="5.1640625" style="165" customWidth="1"/>
    <col min="11533" max="11533" width="12.83203125" style="165" bestFit="1" customWidth="1"/>
    <col min="11534" max="11776" width="9.1640625" style="165"/>
    <col min="11777" max="11777" width="4.33203125" style="165" customWidth="1"/>
    <col min="11778" max="11778" width="12.6640625" style="165" customWidth="1"/>
    <col min="11779" max="11779" width="7.5" style="165" customWidth="1"/>
    <col min="11780" max="11780" width="4" style="165" customWidth="1"/>
    <col min="11781" max="11781" width="7.83203125" style="165" customWidth="1"/>
    <col min="11782" max="11782" width="22.6640625" style="165" customWidth="1"/>
    <col min="11783" max="11783" width="10.5" style="165" customWidth="1"/>
    <col min="11784" max="11784" width="61.83203125" style="165" customWidth="1"/>
    <col min="11785" max="11785" width="14.5" style="165" customWidth="1"/>
    <col min="11786" max="11786" width="4.33203125" style="165" customWidth="1"/>
    <col min="11787" max="11787" width="11.5" style="165" customWidth="1"/>
    <col min="11788" max="11788" width="5.1640625" style="165" customWidth="1"/>
    <col min="11789" max="11789" width="12.83203125" style="165" bestFit="1" customWidth="1"/>
    <col min="11790" max="12032" width="9.1640625" style="165"/>
    <col min="12033" max="12033" width="4.33203125" style="165" customWidth="1"/>
    <col min="12034" max="12034" width="12.6640625" style="165" customWidth="1"/>
    <col min="12035" max="12035" width="7.5" style="165" customWidth="1"/>
    <col min="12036" max="12036" width="4" style="165" customWidth="1"/>
    <col min="12037" max="12037" width="7.83203125" style="165" customWidth="1"/>
    <col min="12038" max="12038" width="22.6640625" style="165" customWidth="1"/>
    <col min="12039" max="12039" width="10.5" style="165" customWidth="1"/>
    <col min="12040" max="12040" width="61.83203125" style="165" customWidth="1"/>
    <col min="12041" max="12041" width="14.5" style="165" customWidth="1"/>
    <col min="12042" max="12042" width="4.33203125" style="165" customWidth="1"/>
    <col min="12043" max="12043" width="11.5" style="165" customWidth="1"/>
    <col min="12044" max="12044" width="5.1640625" style="165" customWidth="1"/>
    <col min="12045" max="12045" width="12.83203125" style="165" bestFit="1" customWidth="1"/>
    <col min="12046" max="12288" width="9.1640625" style="165"/>
    <col min="12289" max="12289" width="4.33203125" style="165" customWidth="1"/>
    <col min="12290" max="12290" width="12.6640625" style="165" customWidth="1"/>
    <col min="12291" max="12291" width="7.5" style="165" customWidth="1"/>
    <col min="12292" max="12292" width="4" style="165" customWidth="1"/>
    <col min="12293" max="12293" width="7.83203125" style="165" customWidth="1"/>
    <col min="12294" max="12294" width="22.6640625" style="165" customWidth="1"/>
    <col min="12295" max="12295" width="10.5" style="165" customWidth="1"/>
    <col min="12296" max="12296" width="61.83203125" style="165" customWidth="1"/>
    <col min="12297" max="12297" width="14.5" style="165" customWidth="1"/>
    <col min="12298" max="12298" width="4.33203125" style="165" customWidth="1"/>
    <col min="12299" max="12299" width="11.5" style="165" customWidth="1"/>
    <col min="12300" max="12300" width="5.1640625" style="165" customWidth="1"/>
    <col min="12301" max="12301" width="12.83203125" style="165" bestFit="1" customWidth="1"/>
    <col min="12302" max="12544" width="9.1640625" style="165"/>
    <col min="12545" max="12545" width="4.33203125" style="165" customWidth="1"/>
    <col min="12546" max="12546" width="12.6640625" style="165" customWidth="1"/>
    <col min="12547" max="12547" width="7.5" style="165" customWidth="1"/>
    <col min="12548" max="12548" width="4" style="165" customWidth="1"/>
    <col min="12549" max="12549" width="7.83203125" style="165" customWidth="1"/>
    <col min="12550" max="12550" width="22.6640625" style="165" customWidth="1"/>
    <col min="12551" max="12551" width="10.5" style="165" customWidth="1"/>
    <col min="12552" max="12552" width="61.83203125" style="165" customWidth="1"/>
    <col min="12553" max="12553" width="14.5" style="165" customWidth="1"/>
    <col min="12554" max="12554" width="4.33203125" style="165" customWidth="1"/>
    <col min="12555" max="12555" width="11.5" style="165" customWidth="1"/>
    <col min="12556" max="12556" width="5.1640625" style="165" customWidth="1"/>
    <col min="12557" max="12557" width="12.83203125" style="165" bestFit="1" customWidth="1"/>
    <col min="12558" max="12800" width="9.1640625" style="165"/>
    <col min="12801" max="12801" width="4.33203125" style="165" customWidth="1"/>
    <col min="12802" max="12802" width="12.6640625" style="165" customWidth="1"/>
    <col min="12803" max="12803" width="7.5" style="165" customWidth="1"/>
    <col min="12804" max="12804" width="4" style="165" customWidth="1"/>
    <col min="12805" max="12805" width="7.83203125" style="165" customWidth="1"/>
    <col min="12806" max="12806" width="22.6640625" style="165" customWidth="1"/>
    <col min="12807" max="12807" width="10.5" style="165" customWidth="1"/>
    <col min="12808" max="12808" width="61.83203125" style="165" customWidth="1"/>
    <col min="12809" max="12809" width="14.5" style="165" customWidth="1"/>
    <col min="12810" max="12810" width="4.33203125" style="165" customWidth="1"/>
    <col min="12811" max="12811" width="11.5" style="165" customWidth="1"/>
    <col min="12812" max="12812" width="5.1640625" style="165" customWidth="1"/>
    <col min="12813" max="12813" width="12.83203125" style="165" bestFit="1" customWidth="1"/>
    <col min="12814" max="13056" width="9.1640625" style="165"/>
    <col min="13057" max="13057" width="4.33203125" style="165" customWidth="1"/>
    <col min="13058" max="13058" width="12.6640625" style="165" customWidth="1"/>
    <col min="13059" max="13059" width="7.5" style="165" customWidth="1"/>
    <col min="13060" max="13060" width="4" style="165" customWidth="1"/>
    <col min="13061" max="13061" width="7.83203125" style="165" customWidth="1"/>
    <col min="13062" max="13062" width="22.6640625" style="165" customWidth="1"/>
    <col min="13063" max="13063" width="10.5" style="165" customWidth="1"/>
    <col min="13064" max="13064" width="61.83203125" style="165" customWidth="1"/>
    <col min="13065" max="13065" width="14.5" style="165" customWidth="1"/>
    <col min="13066" max="13066" width="4.33203125" style="165" customWidth="1"/>
    <col min="13067" max="13067" width="11.5" style="165" customWidth="1"/>
    <col min="13068" max="13068" width="5.1640625" style="165" customWidth="1"/>
    <col min="13069" max="13069" width="12.83203125" style="165" bestFit="1" customWidth="1"/>
    <col min="13070" max="13312" width="9.1640625" style="165"/>
    <col min="13313" max="13313" width="4.33203125" style="165" customWidth="1"/>
    <col min="13314" max="13314" width="12.6640625" style="165" customWidth="1"/>
    <col min="13315" max="13315" width="7.5" style="165" customWidth="1"/>
    <col min="13316" max="13316" width="4" style="165" customWidth="1"/>
    <col min="13317" max="13317" width="7.83203125" style="165" customWidth="1"/>
    <col min="13318" max="13318" width="22.6640625" style="165" customWidth="1"/>
    <col min="13319" max="13319" width="10.5" style="165" customWidth="1"/>
    <col min="13320" max="13320" width="61.83203125" style="165" customWidth="1"/>
    <col min="13321" max="13321" width="14.5" style="165" customWidth="1"/>
    <col min="13322" max="13322" width="4.33203125" style="165" customWidth="1"/>
    <col min="13323" max="13323" width="11.5" style="165" customWidth="1"/>
    <col min="13324" max="13324" width="5.1640625" style="165" customWidth="1"/>
    <col min="13325" max="13325" width="12.83203125" style="165" bestFit="1" customWidth="1"/>
    <col min="13326" max="13568" width="9.1640625" style="165"/>
    <col min="13569" max="13569" width="4.33203125" style="165" customWidth="1"/>
    <col min="13570" max="13570" width="12.6640625" style="165" customWidth="1"/>
    <col min="13571" max="13571" width="7.5" style="165" customWidth="1"/>
    <col min="13572" max="13572" width="4" style="165" customWidth="1"/>
    <col min="13573" max="13573" width="7.83203125" style="165" customWidth="1"/>
    <col min="13574" max="13574" width="22.6640625" style="165" customWidth="1"/>
    <col min="13575" max="13575" width="10.5" style="165" customWidth="1"/>
    <col min="13576" max="13576" width="61.83203125" style="165" customWidth="1"/>
    <col min="13577" max="13577" width="14.5" style="165" customWidth="1"/>
    <col min="13578" max="13578" width="4.33203125" style="165" customWidth="1"/>
    <col min="13579" max="13579" width="11.5" style="165" customWidth="1"/>
    <col min="13580" max="13580" width="5.1640625" style="165" customWidth="1"/>
    <col min="13581" max="13581" width="12.83203125" style="165" bestFit="1" customWidth="1"/>
    <col min="13582" max="13824" width="9.1640625" style="165"/>
    <col min="13825" max="13825" width="4.33203125" style="165" customWidth="1"/>
    <col min="13826" max="13826" width="12.6640625" style="165" customWidth="1"/>
    <col min="13827" max="13827" width="7.5" style="165" customWidth="1"/>
    <col min="13828" max="13828" width="4" style="165" customWidth="1"/>
    <col min="13829" max="13829" width="7.83203125" style="165" customWidth="1"/>
    <col min="13830" max="13830" width="22.6640625" style="165" customWidth="1"/>
    <col min="13831" max="13831" width="10.5" style="165" customWidth="1"/>
    <col min="13832" max="13832" width="61.83203125" style="165" customWidth="1"/>
    <col min="13833" max="13833" width="14.5" style="165" customWidth="1"/>
    <col min="13834" max="13834" width="4.33203125" style="165" customWidth="1"/>
    <col min="13835" max="13835" width="11.5" style="165" customWidth="1"/>
    <col min="13836" max="13836" width="5.1640625" style="165" customWidth="1"/>
    <col min="13837" max="13837" width="12.83203125" style="165" bestFit="1" customWidth="1"/>
    <col min="13838" max="14080" width="9.1640625" style="165"/>
    <col min="14081" max="14081" width="4.33203125" style="165" customWidth="1"/>
    <col min="14082" max="14082" width="12.6640625" style="165" customWidth="1"/>
    <col min="14083" max="14083" width="7.5" style="165" customWidth="1"/>
    <col min="14084" max="14084" width="4" style="165" customWidth="1"/>
    <col min="14085" max="14085" width="7.83203125" style="165" customWidth="1"/>
    <col min="14086" max="14086" width="22.6640625" style="165" customWidth="1"/>
    <col min="14087" max="14087" width="10.5" style="165" customWidth="1"/>
    <col min="14088" max="14088" width="61.83203125" style="165" customWidth="1"/>
    <col min="14089" max="14089" width="14.5" style="165" customWidth="1"/>
    <col min="14090" max="14090" width="4.33203125" style="165" customWidth="1"/>
    <col min="14091" max="14091" width="11.5" style="165" customWidth="1"/>
    <col min="14092" max="14092" width="5.1640625" style="165" customWidth="1"/>
    <col min="14093" max="14093" width="12.83203125" style="165" bestFit="1" customWidth="1"/>
    <col min="14094" max="14336" width="9.1640625" style="165"/>
    <col min="14337" max="14337" width="4.33203125" style="165" customWidth="1"/>
    <col min="14338" max="14338" width="12.6640625" style="165" customWidth="1"/>
    <col min="14339" max="14339" width="7.5" style="165" customWidth="1"/>
    <col min="14340" max="14340" width="4" style="165" customWidth="1"/>
    <col min="14341" max="14341" width="7.83203125" style="165" customWidth="1"/>
    <col min="14342" max="14342" width="22.6640625" style="165" customWidth="1"/>
    <col min="14343" max="14343" width="10.5" style="165" customWidth="1"/>
    <col min="14344" max="14344" width="61.83203125" style="165" customWidth="1"/>
    <col min="14345" max="14345" width="14.5" style="165" customWidth="1"/>
    <col min="14346" max="14346" width="4.33203125" style="165" customWidth="1"/>
    <col min="14347" max="14347" width="11.5" style="165" customWidth="1"/>
    <col min="14348" max="14348" width="5.1640625" style="165" customWidth="1"/>
    <col min="14349" max="14349" width="12.83203125" style="165" bestFit="1" customWidth="1"/>
    <col min="14350" max="14592" width="9.1640625" style="165"/>
    <col min="14593" max="14593" width="4.33203125" style="165" customWidth="1"/>
    <col min="14594" max="14594" width="12.6640625" style="165" customWidth="1"/>
    <col min="14595" max="14595" width="7.5" style="165" customWidth="1"/>
    <col min="14596" max="14596" width="4" style="165" customWidth="1"/>
    <col min="14597" max="14597" width="7.83203125" style="165" customWidth="1"/>
    <col min="14598" max="14598" width="22.6640625" style="165" customWidth="1"/>
    <col min="14599" max="14599" width="10.5" style="165" customWidth="1"/>
    <col min="14600" max="14600" width="61.83203125" style="165" customWidth="1"/>
    <col min="14601" max="14601" width="14.5" style="165" customWidth="1"/>
    <col min="14602" max="14602" width="4.33203125" style="165" customWidth="1"/>
    <col min="14603" max="14603" width="11.5" style="165" customWidth="1"/>
    <col min="14604" max="14604" width="5.1640625" style="165" customWidth="1"/>
    <col min="14605" max="14605" width="12.83203125" style="165" bestFit="1" customWidth="1"/>
    <col min="14606" max="14848" width="9.1640625" style="165"/>
    <col min="14849" max="14849" width="4.33203125" style="165" customWidth="1"/>
    <col min="14850" max="14850" width="12.6640625" style="165" customWidth="1"/>
    <col min="14851" max="14851" width="7.5" style="165" customWidth="1"/>
    <col min="14852" max="14852" width="4" style="165" customWidth="1"/>
    <col min="14853" max="14853" width="7.83203125" style="165" customWidth="1"/>
    <col min="14854" max="14854" width="22.6640625" style="165" customWidth="1"/>
    <col min="14855" max="14855" width="10.5" style="165" customWidth="1"/>
    <col min="14856" max="14856" width="61.83203125" style="165" customWidth="1"/>
    <col min="14857" max="14857" width="14.5" style="165" customWidth="1"/>
    <col min="14858" max="14858" width="4.33203125" style="165" customWidth="1"/>
    <col min="14859" max="14859" width="11.5" style="165" customWidth="1"/>
    <col min="14860" max="14860" width="5.1640625" style="165" customWidth="1"/>
    <col min="14861" max="14861" width="12.83203125" style="165" bestFit="1" customWidth="1"/>
    <col min="14862" max="15104" width="9.1640625" style="165"/>
    <col min="15105" max="15105" width="4.33203125" style="165" customWidth="1"/>
    <col min="15106" max="15106" width="12.6640625" style="165" customWidth="1"/>
    <col min="15107" max="15107" width="7.5" style="165" customWidth="1"/>
    <col min="15108" max="15108" width="4" style="165" customWidth="1"/>
    <col min="15109" max="15109" width="7.83203125" style="165" customWidth="1"/>
    <col min="15110" max="15110" width="22.6640625" style="165" customWidth="1"/>
    <col min="15111" max="15111" width="10.5" style="165" customWidth="1"/>
    <col min="15112" max="15112" width="61.83203125" style="165" customWidth="1"/>
    <col min="15113" max="15113" width="14.5" style="165" customWidth="1"/>
    <col min="15114" max="15114" width="4.33203125" style="165" customWidth="1"/>
    <col min="15115" max="15115" width="11.5" style="165" customWidth="1"/>
    <col min="15116" max="15116" width="5.1640625" style="165" customWidth="1"/>
    <col min="15117" max="15117" width="12.83203125" style="165" bestFit="1" customWidth="1"/>
    <col min="15118" max="15360" width="9.1640625" style="165"/>
    <col min="15361" max="15361" width="4.33203125" style="165" customWidth="1"/>
    <col min="15362" max="15362" width="12.6640625" style="165" customWidth="1"/>
    <col min="15363" max="15363" width="7.5" style="165" customWidth="1"/>
    <col min="15364" max="15364" width="4" style="165" customWidth="1"/>
    <col min="15365" max="15365" width="7.83203125" style="165" customWidth="1"/>
    <col min="15366" max="15366" width="22.6640625" style="165" customWidth="1"/>
    <col min="15367" max="15367" width="10.5" style="165" customWidth="1"/>
    <col min="15368" max="15368" width="61.83203125" style="165" customWidth="1"/>
    <col min="15369" max="15369" width="14.5" style="165" customWidth="1"/>
    <col min="15370" max="15370" width="4.33203125" style="165" customWidth="1"/>
    <col min="15371" max="15371" width="11.5" style="165" customWidth="1"/>
    <col min="15372" max="15372" width="5.1640625" style="165" customWidth="1"/>
    <col min="15373" max="15373" width="12.83203125" style="165" bestFit="1" customWidth="1"/>
    <col min="15374" max="15616" width="9.1640625" style="165"/>
    <col min="15617" max="15617" width="4.33203125" style="165" customWidth="1"/>
    <col min="15618" max="15618" width="12.6640625" style="165" customWidth="1"/>
    <col min="15619" max="15619" width="7.5" style="165" customWidth="1"/>
    <col min="15620" max="15620" width="4" style="165" customWidth="1"/>
    <col min="15621" max="15621" width="7.83203125" style="165" customWidth="1"/>
    <col min="15622" max="15622" width="22.6640625" style="165" customWidth="1"/>
    <col min="15623" max="15623" width="10.5" style="165" customWidth="1"/>
    <col min="15624" max="15624" width="61.83203125" style="165" customWidth="1"/>
    <col min="15625" max="15625" width="14.5" style="165" customWidth="1"/>
    <col min="15626" max="15626" width="4.33203125" style="165" customWidth="1"/>
    <col min="15627" max="15627" width="11.5" style="165" customWidth="1"/>
    <col min="15628" max="15628" width="5.1640625" style="165" customWidth="1"/>
    <col min="15629" max="15629" width="12.83203125" style="165" bestFit="1" customWidth="1"/>
    <col min="15630" max="15872" width="9.1640625" style="165"/>
    <col min="15873" max="15873" width="4.33203125" style="165" customWidth="1"/>
    <col min="15874" max="15874" width="12.6640625" style="165" customWidth="1"/>
    <col min="15875" max="15875" width="7.5" style="165" customWidth="1"/>
    <col min="15876" max="15876" width="4" style="165" customWidth="1"/>
    <col min="15877" max="15877" width="7.83203125" style="165" customWidth="1"/>
    <col min="15878" max="15878" width="22.6640625" style="165" customWidth="1"/>
    <col min="15879" max="15879" width="10.5" style="165" customWidth="1"/>
    <col min="15880" max="15880" width="61.83203125" style="165" customWidth="1"/>
    <col min="15881" max="15881" width="14.5" style="165" customWidth="1"/>
    <col min="15882" max="15882" width="4.33203125" style="165" customWidth="1"/>
    <col min="15883" max="15883" width="11.5" style="165" customWidth="1"/>
    <col min="15884" max="15884" width="5.1640625" style="165" customWidth="1"/>
    <col min="15885" max="15885" width="12.83203125" style="165" bestFit="1" customWidth="1"/>
    <col min="15886" max="16128" width="9.1640625" style="165"/>
    <col min="16129" max="16129" width="4.33203125" style="165" customWidth="1"/>
    <col min="16130" max="16130" width="12.6640625" style="165" customWidth="1"/>
    <col min="16131" max="16131" width="7.5" style="165" customWidth="1"/>
    <col min="16132" max="16132" width="4" style="165" customWidth="1"/>
    <col min="16133" max="16133" width="7.83203125" style="165" customWidth="1"/>
    <col min="16134" max="16134" width="22.6640625" style="165" customWidth="1"/>
    <col min="16135" max="16135" width="10.5" style="165" customWidth="1"/>
    <col min="16136" max="16136" width="61.83203125" style="165" customWidth="1"/>
    <col min="16137" max="16137" width="14.5" style="165" customWidth="1"/>
    <col min="16138" max="16138" width="4.33203125" style="165" customWidth="1"/>
    <col min="16139" max="16139" width="11.5" style="165" customWidth="1"/>
    <col min="16140" max="16140" width="5.1640625" style="165" customWidth="1"/>
    <col min="16141" max="16141" width="12.83203125" style="165" bestFit="1" customWidth="1"/>
    <col min="16142" max="16384" width="9.1640625" style="165"/>
  </cols>
  <sheetData>
    <row r="1" spans="1:18" s="5" customFormat="1" ht="18">
      <c r="A1" s="206" t="s">
        <v>2116</v>
      </c>
      <c r="B1" s="206"/>
      <c r="C1" s="206"/>
      <c r="D1" s="206"/>
      <c r="E1" s="206"/>
      <c r="F1" s="206"/>
      <c r="G1" s="206"/>
      <c r="H1" s="206"/>
      <c r="I1" s="206"/>
      <c r="J1" s="206"/>
      <c r="K1" s="206"/>
      <c r="L1" s="206"/>
    </row>
    <row r="2" spans="1:18" s="5" customFormat="1" ht="14">
      <c r="A2" s="1"/>
      <c r="B2" s="1"/>
      <c r="C2" s="208" t="s">
        <v>1</v>
      </c>
      <c r="D2" s="208"/>
      <c r="E2" s="208"/>
      <c r="F2" s="208"/>
      <c r="G2" s="208"/>
      <c r="H2" s="208"/>
      <c r="I2" s="208"/>
      <c r="J2" s="208"/>
      <c r="K2" s="208"/>
      <c r="L2" s="208"/>
    </row>
    <row r="3" spans="1:18" s="5" customFormat="1" ht="14">
      <c r="A3" s="1"/>
      <c r="B3" s="1"/>
      <c r="C3" s="208" t="s">
        <v>2</v>
      </c>
      <c r="D3" s="208"/>
      <c r="E3" s="208"/>
      <c r="F3" s="208"/>
      <c r="G3" s="208"/>
      <c r="H3" s="208"/>
      <c r="I3" s="208"/>
      <c r="J3" s="208"/>
      <c r="K3" s="208"/>
      <c r="L3" s="208"/>
    </row>
    <row r="4" spans="1:18" s="10" customFormat="1" ht="18" customHeight="1">
      <c r="A4" s="210" t="s">
        <v>3</v>
      </c>
      <c r="B4" s="210"/>
      <c r="C4" s="210"/>
      <c r="D4" s="210"/>
      <c r="E4" s="210"/>
      <c r="F4" s="210"/>
      <c r="G4" s="210"/>
      <c r="H4" s="210"/>
      <c r="I4" s="210"/>
      <c r="J4" s="210"/>
      <c r="K4" s="210"/>
      <c r="L4" s="210"/>
    </row>
    <row r="5" spans="1:18" s="10" customFormat="1" ht="15.75" customHeight="1">
      <c r="A5" s="11"/>
      <c r="B5" s="11"/>
      <c r="C5" s="12" t="s">
        <v>4</v>
      </c>
      <c r="D5" s="12"/>
      <c r="E5" s="12"/>
      <c r="F5" s="12" t="s">
        <v>5</v>
      </c>
      <c r="H5" s="14"/>
      <c r="I5" s="14"/>
      <c r="J5" s="14"/>
      <c r="K5" s="14"/>
      <c r="L5" s="15"/>
    </row>
    <row r="6" spans="1:18" s="10" customFormat="1" ht="15.75" customHeight="1">
      <c r="A6" s="11"/>
      <c r="B6" s="11"/>
      <c r="C6" s="12" t="s">
        <v>6</v>
      </c>
      <c r="D6" s="12"/>
      <c r="E6" s="12"/>
      <c r="F6" s="12" t="s">
        <v>7</v>
      </c>
      <c r="G6" s="14"/>
      <c r="H6" s="14"/>
      <c r="I6" s="14"/>
      <c r="J6" s="14"/>
      <c r="K6" s="14"/>
      <c r="L6" s="15"/>
    </row>
    <row r="7" spans="1:18" s="10" customFormat="1" ht="15.75" customHeight="1">
      <c r="A7" s="11"/>
      <c r="B7" s="11"/>
      <c r="C7" s="12" t="s">
        <v>8</v>
      </c>
      <c r="D7" s="12"/>
      <c r="E7" s="12"/>
      <c r="F7" s="14"/>
      <c r="G7" s="14"/>
      <c r="H7" s="14"/>
      <c r="I7" s="14"/>
      <c r="J7" s="14"/>
      <c r="K7" s="14"/>
      <c r="L7" s="15"/>
    </row>
    <row r="8" spans="1:18" s="10" customFormat="1" ht="15.75" customHeight="1">
      <c r="A8" s="11"/>
      <c r="B8" s="11"/>
      <c r="C8" s="12" t="s">
        <v>9</v>
      </c>
      <c r="D8" s="12"/>
      <c r="E8" s="12"/>
      <c r="F8" s="14"/>
      <c r="G8" s="14"/>
      <c r="H8" s="14"/>
      <c r="I8" s="14"/>
      <c r="J8" s="14"/>
      <c r="K8" s="14"/>
      <c r="L8" s="15"/>
    </row>
    <row r="9" spans="1:18" s="10" customFormat="1" ht="17.25" customHeight="1">
      <c r="A9" s="211" t="s">
        <v>10</v>
      </c>
      <c r="B9" s="211"/>
      <c r="C9" s="211"/>
      <c r="D9" s="211"/>
      <c r="E9" s="211"/>
      <c r="F9" s="211"/>
      <c r="G9" s="211"/>
      <c r="H9" s="211"/>
      <c r="I9" s="211"/>
      <c r="J9" s="211"/>
      <c r="K9" s="211"/>
    </row>
    <row r="10" spans="1:18" s="10" customFormat="1" ht="13.5" customHeight="1">
      <c r="A10" s="248" t="s">
        <v>11</v>
      </c>
      <c r="B10" s="249" t="s">
        <v>2117</v>
      </c>
      <c r="C10" s="250"/>
      <c r="D10" s="250"/>
      <c r="E10" s="251"/>
      <c r="F10" s="248" t="s">
        <v>2118</v>
      </c>
      <c r="G10" s="248" t="s">
        <v>2119</v>
      </c>
      <c r="H10" s="248" t="s">
        <v>15</v>
      </c>
      <c r="I10" s="248" t="s">
        <v>2120</v>
      </c>
      <c r="J10" s="248" t="s">
        <v>2121</v>
      </c>
      <c r="K10" s="248" t="s">
        <v>18</v>
      </c>
      <c r="L10" s="248" t="s">
        <v>19</v>
      </c>
    </row>
    <row r="11" spans="1:18" s="10" customFormat="1" ht="3.75" customHeight="1">
      <c r="A11" s="248"/>
      <c r="B11" s="252"/>
      <c r="C11" s="253"/>
      <c r="D11" s="253"/>
      <c r="E11" s="254"/>
      <c r="F11" s="248"/>
      <c r="G11" s="248"/>
      <c r="H11" s="248"/>
      <c r="I11" s="248"/>
      <c r="J11" s="248"/>
      <c r="K11" s="248"/>
      <c r="L11" s="248"/>
    </row>
    <row r="12" spans="1:18" s="10" customFormat="1" ht="48" customHeight="1">
      <c r="A12" s="248"/>
      <c r="B12" s="17" t="s">
        <v>20</v>
      </c>
      <c r="C12" s="124" t="s">
        <v>2122</v>
      </c>
      <c r="D12" s="124" t="s">
        <v>2123</v>
      </c>
      <c r="E12" s="124" t="s">
        <v>23</v>
      </c>
      <c r="F12" s="248"/>
      <c r="G12" s="248"/>
      <c r="H12" s="248"/>
      <c r="I12" s="248"/>
      <c r="J12" s="248"/>
      <c r="K12" s="248"/>
      <c r="L12" s="248"/>
    </row>
    <row r="13" spans="1:18" s="10" customFormat="1" ht="13.5" customHeight="1">
      <c r="A13" s="24" t="s">
        <v>26</v>
      </c>
      <c r="B13" s="24"/>
      <c r="C13" s="24" t="s">
        <v>27</v>
      </c>
      <c r="D13" s="24" t="s">
        <v>28</v>
      </c>
      <c r="E13" s="24" t="s">
        <v>29</v>
      </c>
      <c r="F13" s="24" t="s">
        <v>30</v>
      </c>
      <c r="G13" s="24" t="s">
        <v>31</v>
      </c>
      <c r="H13" s="24" t="s">
        <v>32</v>
      </c>
      <c r="I13" s="26" t="s">
        <v>33</v>
      </c>
      <c r="J13" s="24" t="s">
        <v>34</v>
      </c>
      <c r="K13" s="28" t="s">
        <v>35</v>
      </c>
      <c r="L13" s="125" t="s">
        <v>2124</v>
      </c>
    </row>
    <row r="14" spans="1:18" s="140" customFormat="1" ht="13.5" customHeight="1">
      <c r="A14" s="126" t="s">
        <v>2125</v>
      </c>
      <c r="B14" s="127" t="s">
        <v>2126</v>
      </c>
      <c r="C14" s="128" t="s">
        <v>2127</v>
      </c>
      <c r="D14" s="128" t="s">
        <v>2128</v>
      </c>
      <c r="E14" s="129">
        <v>42802</v>
      </c>
      <c r="F14" s="128" t="s">
        <v>2129</v>
      </c>
      <c r="G14" s="130"/>
      <c r="H14" s="131" t="s">
        <v>2130</v>
      </c>
      <c r="I14" s="132">
        <f>45546.9*22760</f>
        <v>1036647444</v>
      </c>
      <c r="J14" s="133">
        <v>0</v>
      </c>
      <c r="K14" s="134">
        <f>+I14*J14</f>
        <v>0</v>
      </c>
      <c r="L14" s="135"/>
      <c r="M14" s="136"/>
      <c r="N14" s="137"/>
      <c r="O14" s="138"/>
      <c r="P14" s="139"/>
      <c r="Q14" s="139"/>
      <c r="R14" s="139"/>
    </row>
    <row r="15" spans="1:18" s="140" customFormat="1" ht="13.5" customHeight="1">
      <c r="A15" s="126" t="s">
        <v>2131</v>
      </c>
      <c r="B15" s="127" t="s">
        <v>2126</v>
      </c>
      <c r="C15" s="128" t="s">
        <v>2127</v>
      </c>
      <c r="D15" s="128" t="s">
        <v>2132</v>
      </c>
      <c r="E15" s="129">
        <v>42803</v>
      </c>
      <c r="F15" s="128" t="s">
        <v>2129</v>
      </c>
      <c r="G15" s="130"/>
      <c r="H15" s="131" t="s">
        <v>2133</v>
      </c>
      <c r="I15" s="132">
        <f>32786*22760</f>
        <v>746209360</v>
      </c>
      <c r="J15" s="133">
        <v>0</v>
      </c>
      <c r="K15" s="134">
        <f t="shared" ref="K15:K24" si="0">+I15*J15</f>
        <v>0</v>
      </c>
      <c r="L15" s="135"/>
      <c r="M15" s="136"/>
      <c r="N15" s="137"/>
      <c r="O15" s="138"/>
      <c r="P15" s="139"/>
      <c r="Q15" s="139"/>
      <c r="R15" s="139"/>
    </row>
    <row r="16" spans="1:18" s="140" customFormat="1" ht="13.5" customHeight="1">
      <c r="A16" s="126" t="s">
        <v>2134</v>
      </c>
      <c r="B16" s="127" t="s">
        <v>2126</v>
      </c>
      <c r="C16" s="128" t="s">
        <v>2127</v>
      </c>
      <c r="D16" s="128" t="s">
        <v>2135</v>
      </c>
      <c r="E16" s="129">
        <v>42804</v>
      </c>
      <c r="F16" s="128" t="s">
        <v>2136</v>
      </c>
      <c r="G16" s="130"/>
      <c r="H16" s="131"/>
      <c r="I16" s="132"/>
      <c r="J16" s="133"/>
      <c r="K16" s="134"/>
      <c r="L16" s="135"/>
      <c r="M16" s="136"/>
      <c r="N16" s="137"/>
      <c r="O16" s="138"/>
      <c r="P16" s="139"/>
      <c r="Q16" s="139"/>
      <c r="R16" s="139"/>
    </row>
    <row r="17" spans="1:20" s="140" customFormat="1" ht="13.5" customHeight="1">
      <c r="A17" s="126" t="s">
        <v>2137</v>
      </c>
      <c r="B17" s="127" t="s">
        <v>2126</v>
      </c>
      <c r="C17" s="128" t="s">
        <v>2127</v>
      </c>
      <c r="D17" s="128" t="s">
        <v>2138</v>
      </c>
      <c r="E17" s="129">
        <v>42804</v>
      </c>
      <c r="F17" s="128" t="s">
        <v>2139</v>
      </c>
      <c r="G17" s="130"/>
      <c r="H17" s="131"/>
      <c r="I17" s="132"/>
      <c r="J17" s="133"/>
      <c r="K17" s="134"/>
      <c r="L17" s="135"/>
      <c r="M17" s="136"/>
      <c r="N17" s="137"/>
      <c r="O17" s="138"/>
      <c r="P17" s="139"/>
      <c r="Q17" s="139"/>
      <c r="R17" s="139"/>
    </row>
    <row r="18" spans="1:20" s="140" customFormat="1" ht="13.5" customHeight="1">
      <c r="A18" s="126" t="s">
        <v>2140</v>
      </c>
      <c r="B18" s="127" t="s">
        <v>2126</v>
      </c>
      <c r="C18" s="128" t="s">
        <v>2127</v>
      </c>
      <c r="D18" s="128" t="s">
        <v>2141</v>
      </c>
      <c r="E18" s="129">
        <v>42804</v>
      </c>
      <c r="F18" s="128" t="s">
        <v>2129</v>
      </c>
      <c r="G18" s="130"/>
      <c r="H18" s="131" t="s">
        <v>2142</v>
      </c>
      <c r="I18" s="132">
        <f>21216*22760</f>
        <v>482876160</v>
      </c>
      <c r="J18" s="133">
        <v>0</v>
      </c>
      <c r="K18" s="134">
        <f t="shared" si="0"/>
        <v>0</v>
      </c>
      <c r="L18" s="135"/>
      <c r="M18" s="136"/>
      <c r="N18" s="137"/>
      <c r="O18" s="138"/>
      <c r="P18" s="139"/>
      <c r="Q18" s="139"/>
      <c r="R18" s="139"/>
    </row>
    <row r="19" spans="1:20" s="140" customFormat="1" ht="13.5" customHeight="1">
      <c r="A19" s="126" t="s">
        <v>2143</v>
      </c>
      <c r="B19" s="127" t="s">
        <v>2126</v>
      </c>
      <c r="C19" s="128" t="s">
        <v>2127</v>
      </c>
      <c r="D19" s="128" t="s">
        <v>437</v>
      </c>
      <c r="E19" s="129">
        <v>42809</v>
      </c>
      <c r="F19" s="128" t="s">
        <v>2129</v>
      </c>
      <c r="G19" s="130"/>
      <c r="H19" s="131" t="s">
        <v>2144</v>
      </c>
      <c r="I19" s="132">
        <f>40858.2*22790</f>
        <v>931158377.99999988</v>
      </c>
      <c r="J19" s="133">
        <v>0</v>
      </c>
      <c r="K19" s="134">
        <f t="shared" si="0"/>
        <v>0</v>
      </c>
      <c r="L19" s="135"/>
      <c r="M19" s="136"/>
      <c r="N19" s="137"/>
      <c r="O19" s="138"/>
      <c r="P19" s="139"/>
      <c r="Q19" s="139"/>
      <c r="R19" s="139"/>
    </row>
    <row r="20" spans="1:20" s="140" customFormat="1" ht="13.5" customHeight="1">
      <c r="A20" s="126" t="s">
        <v>2145</v>
      </c>
      <c r="B20" s="127" t="s">
        <v>2126</v>
      </c>
      <c r="C20" s="128" t="s">
        <v>2127</v>
      </c>
      <c r="D20" s="128" t="s">
        <v>2146</v>
      </c>
      <c r="E20" s="129">
        <v>42811</v>
      </c>
      <c r="F20" s="128" t="s">
        <v>2129</v>
      </c>
      <c r="G20" s="130"/>
      <c r="H20" s="131" t="s">
        <v>2147</v>
      </c>
      <c r="I20" s="132">
        <f>31186*22730</f>
        <v>708857780</v>
      </c>
      <c r="J20" s="133">
        <v>0</v>
      </c>
      <c r="K20" s="134">
        <f t="shared" si="0"/>
        <v>0</v>
      </c>
      <c r="L20" s="135"/>
      <c r="M20" s="136"/>
      <c r="N20" s="137"/>
      <c r="O20" s="138"/>
      <c r="P20" s="139"/>
      <c r="Q20" s="139"/>
      <c r="R20" s="139"/>
    </row>
    <row r="21" spans="1:20" s="140" customFormat="1" ht="13.5" customHeight="1">
      <c r="A21" s="126" t="s">
        <v>2148</v>
      </c>
      <c r="B21" s="127" t="s">
        <v>2126</v>
      </c>
      <c r="C21" s="128" t="s">
        <v>2127</v>
      </c>
      <c r="D21" s="128" t="s">
        <v>2149</v>
      </c>
      <c r="E21" s="129">
        <v>42818</v>
      </c>
      <c r="F21" s="128" t="s">
        <v>2129</v>
      </c>
      <c r="G21" s="130"/>
      <c r="H21" s="131" t="s">
        <v>2150</v>
      </c>
      <c r="I21" s="132">
        <f>28688*22750</f>
        <v>652652000</v>
      </c>
      <c r="J21" s="133">
        <v>0</v>
      </c>
      <c r="K21" s="134">
        <f t="shared" si="0"/>
        <v>0</v>
      </c>
      <c r="L21" s="135"/>
      <c r="M21" s="136"/>
      <c r="N21" s="137"/>
      <c r="O21" s="138"/>
      <c r="P21" s="139"/>
      <c r="Q21" s="139"/>
      <c r="R21" s="139"/>
    </row>
    <row r="22" spans="1:20" s="140" customFormat="1" ht="13.5" customHeight="1">
      <c r="A22" s="126" t="s">
        <v>2151</v>
      </c>
      <c r="B22" s="127" t="s">
        <v>2126</v>
      </c>
      <c r="C22" s="128" t="s">
        <v>2127</v>
      </c>
      <c r="D22" s="128" t="s">
        <v>2152</v>
      </c>
      <c r="E22" s="129">
        <v>42825</v>
      </c>
      <c r="F22" s="128" t="s">
        <v>2139</v>
      </c>
      <c r="G22" s="130"/>
      <c r="H22" s="131"/>
      <c r="I22" s="132"/>
      <c r="J22" s="133"/>
      <c r="K22" s="134"/>
      <c r="L22" s="135"/>
      <c r="M22" s="136"/>
      <c r="N22" s="137"/>
      <c r="O22" s="138"/>
      <c r="P22" s="139"/>
      <c r="Q22" s="139"/>
      <c r="R22" s="139"/>
    </row>
    <row r="23" spans="1:20" s="140" customFormat="1" ht="13.5" customHeight="1">
      <c r="A23" s="126" t="s">
        <v>1070</v>
      </c>
      <c r="B23" s="127" t="s">
        <v>2126</v>
      </c>
      <c r="C23" s="128" t="s">
        <v>2127</v>
      </c>
      <c r="D23" s="128" t="s">
        <v>2153</v>
      </c>
      <c r="E23" s="129">
        <v>42825</v>
      </c>
      <c r="F23" s="128" t="s">
        <v>2129</v>
      </c>
      <c r="G23" s="130"/>
      <c r="H23" s="131" t="s">
        <v>2154</v>
      </c>
      <c r="I23" s="132">
        <f>27573.8*22720</f>
        <v>626476736</v>
      </c>
      <c r="J23" s="133">
        <v>0</v>
      </c>
      <c r="K23" s="134">
        <f t="shared" si="0"/>
        <v>0</v>
      </c>
      <c r="L23" s="135"/>
      <c r="M23" s="136"/>
      <c r="N23" s="137"/>
      <c r="O23" s="138"/>
      <c r="P23" s="139"/>
      <c r="Q23" s="139"/>
      <c r="R23" s="139"/>
    </row>
    <row r="24" spans="1:20" s="140" customFormat="1" ht="13.5" customHeight="1">
      <c r="A24" s="126" t="s">
        <v>195</v>
      </c>
      <c r="B24" s="127" t="s">
        <v>2126</v>
      </c>
      <c r="C24" s="128" t="s">
        <v>2127</v>
      </c>
      <c r="D24" s="128" t="s">
        <v>2155</v>
      </c>
      <c r="E24" s="129">
        <v>42825</v>
      </c>
      <c r="F24" s="128" t="s">
        <v>2129</v>
      </c>
      <c r="G24" s="130"/>
      <c r="H24" s="131" t="s">
        <v>2156</v>
      </c>
      <c r="I24" s="132">
        <f>36776.8*22720</f>
        <v>835568896.00000012</v>
      </c>
      <c r="J24" s="133">
        <v>0</v>
      </c>
      <c r="K24" s="134">
        <f t="shared" si="0"/>
        <v>0</v>
      </c>
      <c r="L24" s="135"/>
      <c r="M24" s="136"/>
      <c r="N24" s="137"/>
      <c r="O24" s="138"/>
      <c r="P24" s="139"/>
      <c r="Q24" s="139"/>
      <c r="R24" s="139"/>
    </row>
    <row r="25" spans="1:20" s="146" customFormat="1" ht="13.5" customHeight="1">
      <c r="A25" s="247" t="s">
        <v>264</v>
      </c>
      <c r="B25" s="247"/>
      <c r="C25" s="247"/>
      <c r="D25" s="247"/>
      <c r="E25" s="247"/>
      <c r="F25" s="247"/>
      <c r="G25" s="247"/>
      <c r="H25" s="247"/>
      <c r="I25" s="141">
        <f>SUM(I14:I24)</f>
        <v>6020446754</v>
      </c>
      <c r="J25" s="142"/>
      <c r="K25" s="141">
        <f>SUM(K14:K24)</f>
        <v>0</v>
      </c>
      <c r="L25" s="143"/>
      <c r="M25" s="144"/>
      <c r="N25" s="145"/>
      <c r="O25" s="144"/>
      <c r="P25" s="145"/>
      <c r="Q25" s="145"/>
      <c r="R25" s="145"/>
      <c r="S25" s="145"/>
      <c r="T25" s="145"/>
    </row>
    <row r="26" spans="1:20" s="140" customFormat="1" ht="13.5" customHeight="1">
      <c r="A26" s="126">
        <f>A24+1</f>
        <v>12</v>
      </c>
      <c r="B26" s="127" t="s">
        <v>2126</v>
      </c>
      <c r="C26" s="128" t="s">
        <v>2127</v>
      </c>
      <c r="D26" s="128" t="s">
        <v>2157</v>
      </c>
      <c r="E26" s="129">
        <v>42835</v>
      </c>
      <c r="F26" s="128" t="s">
        <v>2129</v>
      </c>
      <c r="G26" s="130"/>
      <c r="H26" s="131" t="s">
        <v>2158</v>
      </c>
      <c r="I26" s="132">
        <f>64508.1*22640</f>
        <v>1460463384</v>
      </c>
      <c r="J26" s="133">
        <v>0</v>
      </c>
      <c r="K26" s="134">
        <f>+I26*J26</f>
        <v>0</v>
      </c>
      <c r="L26" s="135"/>
      <c r="M26" s="136"/>
      <c r="N26" s="137"/>
      <c r="O26" s="138"/>
      <c r="P26" s="139"/>
      <c r="Q26" s="139"/>
      <c r="R26" s="139"/>
    </row>
    <row r="27" spans="1:20" s="140" customFormat="1" ht="13.5" customHeight="1">
      <c r="A27" s="126">
        <f>+A26+1</f>
        <v>13</v>
      </c>
      <c r="B27" s="127" t="s">
        <v>2126</v>
      </c>
      <c r="C27" s="128" t="s">
        <v>2127</v>
      </c>
      <c r="D27" s="128" t="s">
        <v>2159</v>
      </c>
      <c r="E27" s="129">
        <v>42846</v>
      </c>
      <c r="F27" s="128" t="s">
        <v>2129</v>
      </c>
      <c r="G27" s="130"/>
      <c r="H27" s="131" t="s">
        <v>2160</v>
      </c>
      <c r="I27" s="132">
        <f>30022*22670</f>
        <v>680598740</v>
      </c>
      <c r="J27" s="133">
        <v>0</v>
      </c>
      <c r="K27" s="134">
        <f>+I27*J27</f>
        <v>0</v>
      </c>
      <c r="L27" s="135"/>
      <c r="M27" s="136"/>
      <c r="N27" s="137"/>
      <c r="O27" s="138"/>
      <c r="P27" s="139"/>
      <c r="Q27" s="139"/>
      <c r="R27" s="139"/>
    </row>
    <row r="28" spans="1:20" s="140" customFormat="1" ht="13.5" customHeight="1">
      <c r="A28" s="126">
        <f>+A27+1</f>
        <v>14</v>
      </c>
      <c r="B28" s="127" t="s">
        <v>2126</v>
      </c>
      <c r="C28" s="128" t="s">
        <v>2127</v>
      </c>
      <c r="D28" s="128" t="s">
        <v>118</v>
      </c>
      <c r="E28" s="129">
        <v>42853</v>
      </c>
      <c r="F28" s="128" t="s">
        <v>2129</v>
      </c>
      <c r="G28" s="130"/>
      <c r="H28" s="131" t="s">
        <v>2161</v>
      </c>
      <c r="I28" s="132">
        <f>38292*22690</f>
        <v>868845480</v>
      </c>
      <c r="J28" s="133">
        <v>0</v>
      </c>
      <c r="K28" s="134">
        <f>+I28*J28</f>
        <v>0</v>
      </c>
      <c r="L28" s="135"/>
      <c r="M28" s="136"/>
      <c r="N28" s="137"/>
      <c r="O28" s="138"/>
      <c r="P28" s="139"/>
      <c r="Q28" s="139"/>
      <c r="R28" s="139"/>
    </row>
    <row r="29" spans="1:20" s="140" customFormat="1" ht="13.5" customHeight="1">
      <c r="A29" s="126">
        <f>+A28+1</f>
        <v>15</v>
      </c>
      <c r="B29" s="127" t="s">
        <v>2126</v>
      </c>
      <c r="C29" s="128" t="s">
        <v>2127</v>
      </c>
      <c r="D29" s="128" t="s">
        <v>2162</v>
      </c>
      <c r="E29" s="129">
        <v>42853</v>
      </c>
      <c r="F29" s="128" t="s">
        <v>2129</v>
      </c>
      <c r="G29" s="130"/>
      <c r="H29" s="131" t="s">
        <v>2163</v>
      </c>
      <c r="I29" s="132">
        <f>34840.8*22690</f>
        <v>790537752.00000012</v>
      </c>
      <c r="J29" s="133">
        <v>0</v>
      </c>
      <c r="K29" s="134">
        <f>+I29*J29</f>
        <v>0</v>
      </c>
      <c r="L29" s="135"/>
      <c r="M29" s="136"/>
      <c r="N29" s="137"/>
      <c r="O29" s="138"/>
      <c r="P29" s="139"/>
      <c r="Q29" s="139"/>
      <c r="R29" s="139"/>
    </row>
    <row r="30" spans="1:20" s="146" customFormat="1" ht="13.5" customHeight="1">
      <c r="A30" s="247" t="s">
        <v>264</v>
      </c>
      <c r="B30" s="247"/>
      <c r="C30" s="247"/>
      <c r="D30" s="247"/>
      <c r="E30" s="247"/>
      <c r="F30" s="247"/>
      <c r="G30" s="247"/>
      <c r="H30" s="247"/>
      <c r="I30" s="141">
        <f>SUM(I26:I29)</f>
        <v>3800445356</v>
      </c>
      <c r="J30" s="142"/>
      <c r="K30" s="141">
        <f>SUM(K26:K29)</f>
        <v>0</v>
      </c>
      <c r="L30" s="143"/>
      <c r="M30" s="144"/>
      <c r="N30" s="145"/>
      <c r="O30" s="144"/>
      <c r="P30" s="145"/>
      <c r="Q30" s="145"/>
      <c r="R30" s="145"/>
      <c r="S30" s="145"/>
      <c r="T30" s="145"/>
    </row>
    <row r="31" spans="1:20" s="140" customFormat="1" ht="13.5" customHeight="1">
      <c r="A31" s="126" t="s">
        <v>653</v>
      </c>
      <c r="B31" s="127" t="s">
        <v>2126</v>
      </c>
      <c r="C31" s="128" t="s">
        <v>2127</v>
      </c>
      <c r="D31" s="128" t="s">
        <v>2164</v>
      </c>
      <c r="E31" s="129">
        <v>42866</v>
      </c>
      <c r="F31" s="128" t="s">
        <v>2129</v>
      </c>
      <c r="G31" s="130"/>
      <c r="H31" s="131" t="s">
        <v>2165</v>
      </c>
      <c r="I31" s="132">
        <f>28068.6*22670</f>
        <v>636315162</v>
      </c>
      <c r="J31" s="133">
        <v>0</v>
      </c>
      <c r="K31" s="134">
        <f>+I31*J31</f>
        <v>0</v>
      </c>
      <c r="L31" s="135"/>
      <c r="M31" s="136"/>
      <c r="N31" s="137"/>
      <c r="O31" s="138"/>
      <c r="P31" s="139"/>
      <c r="Q31" s="139"/>
      <c r="R31" s="139"/>
    </row>
    <row r="32" spans="1:20" s="140" customFormat="1" ht="13.5" customHeight="1">
      <c r="A32" s="126" t="s">
        <v>2166</v>
      </c>
      <c r="B32" s="127" t="s">
        <v>2126</v>
      </c>
      <c r="C32" s="128" t="s">
        <v>2127</v>
      </c>
      <c r="D32" s="128" t="s">
        <v>2167</v>
      </c>
      <c r="E32" s="129">
        <v>42867</v>
      </c>
      <c r="F32" s="128" t="s">
        <v>2129</v>
      </c>
      <c r="G32" s="130"/>
      <c r="H32" s="131" t="s">
        <v>2168</v>
      </c>
      <c r="I32" s="132">
        <f>39599.2*22650</f>
        <v>896921879.99999988</v>
      </c>
      <c r="J32" s="133">
        <v>0</v>
      </c>
      <c r="K32" s="134">
        <f>+I32*J32</f>
        <v>0</v>
      </c>
      <c r="L32" s="135"/>
      <c r="M32" s="136"/>
      <c r="N32" s="137"/>
      <c r="O32" s="138"/>
      <c r="P32" s="139"/>
      <c r="Q32" s="139"/>
      <c r="R32" s="139"/>
    </row>
    <row r="33" spans="1:20" s="140" customFormat="1" ht="13.5" customHeight="1">
      <c r="A33" s="126" t="s">
        <v>783</v>
      </c>
      <c r="B33" s="127" t="s">
        <v>2126</v>
      </c>
      <c r="C33" s="128" t="s">
        <v>2127</v>
      </c>
      <c r="D33" s="128" t="s">
        <v>2169</v>
      </c>
      <c r="E33" s="129">
        <v>42878</v>
      </c>
      <c r="F33" s="128" t="s">
        <v>2129</v>
      </c>
      <c r="G33" s="130"/>
      <c r="H33" s="131" t="s">
        <v>2170</v>
      </c>
      <c r="I33" s="132">
        <f>38986.5*22650</f>
        <v>883044225</v>
      </c>
      <c r="J33" s="133">
        <v>0</v>
      </c>
      <c r="K33" s="134">
        <f>+I33*J33</f>
        <v>0</v>
      </c>
      <c r="L33" s="135"/>
      <c r="M33" s="136"/>
      <c r="N33" s="137"/>
      <c r="O33" s="138"/>
      <c r="P33" s="139"/>
      <c r="Q33" s="139"/>
      <c r="R33" s="139"/>
    </row>
    <row r="34" spans="1:20" s="140" customFormat="1" ht="13.5" customHeight="1">
      <c r="A34" s="126" t="s">
        <v>2031</v>
      </c>
      <c r="B34" s="127" t="s">
        <v>2126</v>
      </c>
      <c r="C34" s="128" t="s">
        <v>2127</v>
      </c>
      <c r="D34" s="128" t="s">
        <v>2171</v>
      </c>
      <c r="E34" s="129">
        <v>42881</v>
      </c>
      <c r="F34" s="128" t="s">
        <v>2129</v>
      </c>
      <c r="G34" s="130"/>
      <c r="H34" s="131" t="s">
        <v>2172</v>
      </c>
      <c r="I34" s="132">
        <f>44172.2*22650</f>
        <v>1000500329.9999999</v>
      </c>
      <c r="J34" s="133">
        <v>0</v>
      </c>
      <c r="K34" s="134">
        <f>+I34*J34</f>
        <v>0</v>
      </c>
      <c r="L34" s="135"/>
      <c r="M34" s="136"/>
      <c r="N34" s="137"/>
      <c r="O34" s="138"/>
      <c r="P34" s="139"/>
      <c r="Q34" s="139"/>
      <c r="R34" s="139"/>
    </row>
    <row r="35" spans="1:20" s="140" customFormat="1" ht="13.5" customHeight="1">
      <c r="A35" s="126" t="s">
        <v>1122</v>
      </c>
      <c r="B35" s="127" t="s">
        <v>2126</v>
      </c>
      <c r="C35" s="128" t="s">
        <v>2127</v>
      </c>
      <c r="D35" s="128" t="s">
        <v>2173</v>
      </c>
      <c r="E35" s="129">
        <v>42886</v>
      </c>
      <c r="F35" s="128" t="s">
        <v>2129</v>
      </c>
      <c r="G35" s="130"/>
      <c r="H35" s="131" t="s">
        <v>2174</v>
      </c>
      <c r="I35" s="132">
        <f>34461.5*22650</f>
        <v>780552975</v>
      </c>
      <c r="J35" s="133">
        <v>0</v>
      </c>
      <c r="K35" s="134">
        <f>+I35*J35</f>
        <v>0</v>
      </c>
      <c r="L35" s="135"/>
      <c r="M35" s="136"/>
      <c r="N35" s="137"/>
      <c r="O35" s="138"/>
      <c r="P35" s="139"/>
      <c r="Q35" s="139"/>
      <c r="R35" s="139"/>
    </row>
    <row r="36" spans="1:20" s="146" customFormat="1" ht="13.5" customHeight="1">
      <c r="A36" s="247" t="s">
        <v>264</v>
      </c>
      <c r="B36" s="247"/>
      <c r="C36" s="247"/>
      <c r="D36" s="247"/>
      <c r="E36" s="247"/>
      <c r="F36" s="247"/>
      <c r="G36" s="247"/>
      <c r="H36" s="247"/>
      <c r="I36" s="141">
        <f>SUM(I31:I35)</f>
        <v>4197334572</v>
      </c>
      <c r="J36" s="142"/>
      <c r="K36" s="141">
        <f>SUM(K32:K35)</f>
        <v>0</v>
      </c>
      <c r="L36" s="143"/>
      <c r="M36" s="144"/>
      <c r="N36" s="145"/>
      <c r="O36" s="144"/>
      <c r="P36" s="145"/>
      <c r="Q36" s="145"/>
      <c r="R36" s="145"/>
      <c r="S36" s="145"/>
      <c r="T36" s="145"/>
    </row>
    <row r="37" spans="1:20" s="140" customFormat="1" ht="13.5" customHeight="1">
      <c r="A37" s="126" t="s">
        <v>2175</v>
      </c>
      <c r="B37" s="127" t="s">
        <v>2126</v>
      </c>
      <c r="C37" s="128" t="s">
        <v>2127</v>
      </c>
      <c r="D37" s="128" t="s">
        <v>2176</v>
      </c>
      <c r="E37" s="129">
        <v>42889</v>
      </c>
      <c r="F37" s="128" t="s">
        <v>2129</v>
      </c>
      <c r="G37" s="130"/>
      <c r="H37" s="131" t="s">
        <v>2177</v>
      </c>
      <c r="I37" s="132">
        <f>42221*22680</f>
        <v>957572280</v>
      </c>
      <c r="J37" s="133">
        <v>0</v>
      </c>
      <c r="K37" s="134">
        <f>+I37*J37</f>
        <v>0</v>
      </c>
      <c r="L37" s="135"/>
      <c r="M37" s="136"/>
      <c r="N37" s="137"/>
      <c r="O37" s="138"/>
      <c r="P37" s="139"/>
      <c r="Q37" s="139"/>
      <c r="R37" s="139"/>
    </row>
    <row r="38" spans="1:20" s="140" customFormat="1" ht="13.5" customHeight="1">
      <c r="A38" s="126" t="s">
        <v>2063</v>
      </c>
      <c r="B38" s="127" t="s">
        <v>2126</v>
      </c>
      <c r="C38" s="128" t="s">
        <v>2127</v>
      </c>
      <c r="D38" s="128" t="s">
        <v>713</v>
      </c>
      <c r="E38" s="129">
        <v>42895</v>
      </c>
      <c r="F38" s="128" t="s">
        <v>2129</v>
      </c>
      <c r="G38" s="130"/>
      <c r="H38" s="131" t="s">
        <v>2177</v>
      </c>
      <c r="I38" s="132">
        <f>42221*22650</f>
        <v>956305650</v>
      </c>
      <c r="J38" s="133">
        <v>0</v>
      </c>
      <c r="K38" s="134">
        <f>I38*J38</f>
        <v>0</v>
      </c>
      <c r="L38" s="135"/>
      <c r="M38" s="136"/>
      <c r="N38" s="137"/>
      <c r="O38" s="138"/>
      <c r="P38" s="139"/>
      <c r="Q38" s="139"/>
      <c r="R38" s="139"/>
    </row>
    <row r="39" spans="1:20" s="140" customFormat="1" ht="13.5" customHeight="1">
      <c r="A39" s="126" t="s">
        <v>474</v>
      </c>
      <c r="B39" s="127" t="s">
        <v>2126</v>
      </c>
      <c r="C39" s="128" t="s">
        <v>2127</v>
      </c>
      <c r="D39" s="128" t="s">
        <v>227</v>
      </c>
      <c r="E39" s="129">
        <v>42907</v>
      </c>
      <c r="F39" s="128" t="s">
        <v>2178</v>
      </c>
      <c r="G39" s="130"/>
      <c r="H39" s="131" t="s">
        <v>2179</v>
      </c>
      <c r="I39" s="132">
        <f>56118.4*22690</f>
        <v>1273326496</v>
      </c>
      <c r="J39" s="133">
        <v>0</v>
      </c>
      <c r="K39" s="134">
        <f t="shared" ref="K39:K48" si="1">I39*J39</f>
        <v>0</v>
      </c>
      <c r="L39" s="135"/>
      <c r="M39" s="136"/>
      <c r="N39" s="137"/>
      <c r="O39" s="138"/>
      <c r="P39" s="139"/>
      <c r="Q39" s="139"/>
      <c r="R39" s="139"/>
    </row>
    <row r="40" spans="1:20" s="140" customFormat="1" ht="13.5" customHeight="1">
      <c r="A40" s="126" t="s">
        <v>2180</v>
      </c>
      <c r="B40" s="127" t="s">
        <v>2126</v>
      </c>
      <c r="C40" s="128" t="s">
        <v>2127</v>
      </c>
      <c r="D40" s="128" t="s">
        <v>2181</v>
      </c>
      <c r="E40" s="129">
        <v>42908</v>
      </c>
      <c r="F40" s="128" t="s">
        <v>2129</v>
      </c>
      <c r="G40" s="130"/>
      <c r="H40" s="131" t="s">
        <v>2182</v>
      </c>
      <c r="I40" s="132">
        <f>30367.8*22690</f>
        <v>689045382</v>
      </c>
      <c r="J40" s="133">
        <v>0</v>
      </c>
      <c r="K40" s="134">
        <f t="shared" si="1"/>
        <v>0</v>
      </c>
      <c r="L40" s="135"/>
      <c r="M40" s="136"/>
      <c r="N40" s="137"/>
      <c r="O40" s="138"/>
      <c r="P40" s="139"/>
      <c r="Q40" s="139"/>
      <c r="R40" s="139"/>
    </row>
    <row r="41" spans="1:20" s="140" customFormat="1" ht="13.5" customHeight="1">
      <c r="A41" s="126" t="s">
        <v>1905</v>
      </c>
      <c r="B41" s="127" t="s">
        <v>2126</v>
      </c>
      <c r="C41" s="128" t="s">
        <v>2127</v>
      </c>
      <c r="D41" s="128" t="s">
        <v>2183</v>
      </c>
      <c r="E41" s="129">
        <v>42914</v>
      </c>
      <c r="F41" s="128" t="s">
        <v>2129</v>
      </c>
      <c r="G41" s="130"/>
      <c r="H41" s="131" t="s">
        <v>2184</v>
      </c>
      <c r="I41" s="132">
        <f>44996.2*22710</f>
        <v>1021863701.9999999</v>
      </c>
      <c r="J41" s="133">
        <v>0</v>
      </c>
      <c r="K41" s="134">
        <f t="shared" si="1"/>
        <v>0</v>
      </c>
      <c r="L41" s="135"/>
      <c r="M41" s="136"/>
      <c r="N41" s="137"/>
      <c r="O41" s="138"/>
      <c r="P41" s="139"/>
      <c r="Q41" s="139"/>
      <c r="R41" s="139"/>
    </row>
    <row r="42" spans="1:20" s="140" customFormat="1" ht="13.5" customHeight="1">
      <c r="A42" s="126" t="s">
        <v>408</v>
      </c>
      <c r="B42" s="127" t="s">
        <v>2126</v>
      </c>
      <c r="C42" s="128" t="s">
        <v>2127</v>
      </c>
      <c r="D42" s="128" t="s">
        <v>2185</v>
      </c>
      <c r="E42" s="129">
        <v>42916</v>
      </c>
      <c r="F42" s="131" t="s">
        <v>2139</v>
      </c>
      <c r="G42" s="130"/>
      <c r="H42" s="131"/>
      <c r="I42" s="132"/>
      <c r="J42" s="133"/>
      <c r="K42" s="134"/>
      <c r="L42" s="135"/>
      <c r="M42" s="136"/>
      <c r="N42" s="137"/>
      <c r="O42" s="138"/>
      <c r="P42" s="139"/>
      <c r="Q42" s="139"/>
      <c r="R42" s="139"/>
    </row>
    <row r="43" spans="1:20" s="140" customFormat="1" ht="13.5" customHeight="1">
      <c r="A43" s="126" t="s">
        <v>2186</v>
      </c>
      <c r="B43" s="127" t="s">
        <v>2126</v>
      </c>
      <c r="C43" s="128" t="s">
        <v>2127</v>
      </c>
      <c r="D43" s="128" t="s">
        <v>2187</v>
      </c>
      <c r="E43" s="129">
        <v>42916</v>
      </c>
      <c r="F43" s="128" t="s">
        <v>2129</v>
      </c>
      <c r="G43" s="130"/>
      <c r="H43" s="131" t="s">
        <v>2188</v>
      </c>
      <c r="I43" s="132">
        <f>26021*22700</f>
        <v>590676700</v>
      </c>
      <c r="J43" s="133">
        <v>0</v>
      </c>
      <c r="K43" s="134">
        <f t="shared" si="1"/>
        <v>0</v>
      </c>
      <c r="L43" s="135"/>
      <c r="M43" s="136"/>
      <c r="N43" s="137"/>
      <c r="O43" s="138"/>
      <c r="P43" s="139"/>
      <c r="Q43" s="139"/>
      <c r="R43" s="139"/>
    </row>
    <row r="44" spans="1:20" s="140" customFormat="1" ht="13.5" customHeight="1">
      <c r="A44" s="126" t="s">
        <v>2189</v>
      </c>
      <c r="B44" s="127" t="s">
        <v>2190</v>
      </c>
      <c r="C44" s="128" t="s">
        <v>2191</v>
      </c>
      <c r="D44" s="128" t="s">
        <v>2192</v>
      </c>
      <c r="E44" s="129">
        <v>42889</v>
      </c>
      <c r="F44" s="131" t="s">
        <v>2139</v>
      </c>
      <c r="G44" s="130"/>
      <c r="H44" s="131"/>
      <c r="I44" s="132"/>
      <c r="J44" s="133"/>
      <c r="K44" s="134"/>
      <c r="L44" s="135"/>
      <c r="M44" s="136"/>
      <c r="N44" s="137"/>
      <c r="O44" s="138"/>
      <c r="P44" s="139"/>
      <c r="Q44" s="139"/>
      <c r="R44" s="139"/>
    </row>
    <row r="45" spans="1:20" s="140" customFormat="1" ht="13.5" customHeight="1">
      <c r="A45" s="126" t="s">
        <v>1336</v>
      </c>
      <c r="B45" s="127" t="s">
        <v>2190</v>
      </c>
      <c r="C45" s="128" t="s">
        <v>2191</v>
      </c>
      <c r="D45" s="128" t="s">
        <v>2193</v>
      </c>
      <c r="E45" s="129">
        <v>42889</v>
      </c>
      <c r="F45" s="131" t="s">
        <v>2139</v>
      </c>
      <c r="G45" s="130"/>
      <c r="H45" s="131"/>
      <c r="I45" s="132"/>
      <c r="J45" s="133"/>
      <c r="K45" s="134"/>
      <c r="L45" s="135"/>
      <c r="M45" s="136"/>
      <c r="N45" s="137"/>
      <c r="O45" s="138"/>
      <c r="P45" s="139"/>
      <c r="Q45" s="139"/>
      <c r="R45" s="139"/>
    </row>
    <row r="46" spans="1:20" s="140" customFormat="1" ht="13.5" customHeight="1">
      <c r="A46" s="126" t="s">
        <v>2194</v>
      </c>
      <c r="B46" s="127" t="s">
        <v>2190</v>
      </c>
      <c r="C46" s="128" t="s">
        <v>2191</v>
      </c>
      <c r="D46" s="128" t="s">
        <v>2195</v>
      </c>
      <c r="E46" s="129">
        <v>42889</v>
      </c>
      <c r="F46" s="131" t="s">
        <v>2139</v>
      </c>
      <c r="G46" s="130"/>
      <c r="H46" s="131"/>
      <c r="I46" s="132"/>
      <c r="J46" s="133"/>
      <c r="K46" s="134"/>
      <c r="L46" s="135"/>
      <c r="M46" s="136"/>
      <c r="N46" s="137"/>
      <c r="O46" s="138"/>
      <c r="P46" s="139"/>
      <c r="Q46" s="139"/>
      <c r="R46" s="139"/>
    </row>
    <row r="47" spans="1:20" s="140" customFormat="1" ht="13.5" customHeight="1">
      <c r="A47" s="126" t="s">
        <v>2196</v>
      </c>
      <c r="B47" s="127" t="s">
        <v>2190</v>
      </c>
      <c r="C47" s="128" t="s">
        <v>2191</v>
      </c>
      <c r="D47" s="128" t="s">
        <v>1543</v>
      </c>
      <c r="E47" s="129">
        <v>42889</v>
      </c>
      <c r="F47" s="128" t="s">
        <v>2197</v>
      </c>
      <c r="G47" s="130"/>
      <c r="H47" s="131" t="s">
        <v>2198</v>
      </c>
      <c r="I47" s="132">
        <v>5100000</v>
      </c>
      <c r="J47" s="133">
        <v>0.1</v>
      </c>
      <c r="K47" s="134">
        <f t="shared" si="1"/>
        <v>510000</v>
      </c>
      <c r="L47" s="135"/>
      <c r="M47" s="136"/>
      <c r="N47" s="137"/>
      <c r="O47" s="138"/>
      <c r="P47" s="139"/>
      <c r="Q47" s="139"/>
      <c r="R47" s="139"/>
    </row>
    <row r="48" spans="1:20" s="140" customFormat="1" ht="13.5" customHeight="1">
      <c r="A48" s="126" t="s">
        <v>2199</v>
      </c>
      <c r="B48" s="127" t="s">
        <v>2190</v>
      </c>
      <c r="C48" s="128" t="s">
        <v>2191</v>
      </c>
      <c r="D48" s="128" t="s">
        <v>1862</v>
      </c>
      <c r="E48" s="129">
        <v>42889</v>
      </c>
      <c r="F48" s="128" t="s">
        <v>2129</v>
      </c>
      <c r="G48" s="130"/>
      <c r="H48" s="131" t="s">
        <v>2200</v>
      </c>
      <c r="I48" s="132">
        <v>6709000</v>
      </c>
      <c r="J48" s="133">
        <v>0.1</v>
      </c>
      <c r="K48" s="134">
        <f t="shared" si="1"/>
        <v>670900</v>
      </c>
      <c r="L48" s="135"/>
      <c r="M48" s="136"/>
      <c r="N48" s="137"/>
      <c r="O48" s="138"/>
      <c r="P48" s="139"/>
      <c r="Q48" s="139"/>
      <c r="R48" s="139"/>
    </row>
    <row r="49" spans="1:20" s="146" customFormat="1" ht="13.5" customHeight="1">
      <c r="A49" s="247" t="s">
        <v>264</v>
      </c>
      <c r="B49" s="247"/>
      <c r="C49" s="247"/>
      <c r="D49" s="247"/>
      <c r="E49" s="247"/>
      <c r="F49" s="247"/>
      <c r="G49" s="247"/>
      <c r="H49" s="247"/>
      <c r="I49" s="141">
        <f>SUM(I37:I48)</f>
        <v>5500599210</v>
      </c>
      <c r="J49" s="142"/>
      <c r="K49" s="141">
        <f>SUM(K37:K48)</f>
        <v>1180900</v>
      </c>
      <c r="L49" s="143"/>
      <c r="M49" s="144"/>
      <c r="N49" s="145"/>
      <c r="O49" s="144"/>
      <c r="P49" s="145"/>
      <c r="Q49" s="145"/>
      <c r="R49" s="145"/>
      <c r="S49" s="145"/>
      <c r="T49" s="145"/>
    </row>
    <row r="50" spans="1:20" s="140" customFormat="1" ht="13.5" customHeight="1">
      <c r="A50" s="126" t="s">
        <v>2201</v>
      </c>
      <c r="B50" s="127" t="s">
        <v>2126</v>
      </c>
      <c r="C50" s="128" t="s">
        <v>2127</v>
      </c>
      <c r="D50" s="128" t="s">
        <v>1448</v>
      </c>
      <c r="E50" s="129">
        <v>42922</v>
      </c>
      <c r="F50" s="131" t="s">
        <v>2139</v>
      </c>
      <c r="G50" s="130"/>
      <c r="H50" s="131"/>
      <c r="I50" s="132"/>
      <c r="J50" s="133"/>
      <c r="K50" s="134"/>
      <c r="L50" s="135"/>
      <c r="M50" s="136"/>
      <c r="N50" s="137"/>
      <c r="O50" s="138"/>
      <c r="P50" s="139"/>
      <c r="Q50" s="139"/>
      <c r="R50" s="139"/>
    </row>
    <row r="51" spans="1:20" s="140" customFormat="1" ht="13.5" customHeight="1">
      <c r="A51" s="126" t="s">
        <v>203</v>
      </c>
      <c r="B51" s="127" t="s">
        <v>2126</v>
      </c>
      <c r="C51" s="128" t="s">
        <v>2127</v>
      </c>
      <c r="D51" s="128" t="s">
        <v>2202</v>
      </c>
      <c r="E51" s="129">
        <v>42922</v>
      </c>
      <c r="F51" s="128" t="s">
        <v>2129</v>
      </c>
      <c r="G51" s="130"/>
      <c r="H51" s="131" t="s">
        <v>2203</v>
      </c>
      <c r="I51" s="132">
        <f>25796.2*22710</f>
        <v>585831702</v>
      </c>
      <c r="J51" s="133">
        <v>0</v>
      </c>
      <c r="K51" s="134">
        <f>I51*J51</f>
        <v>0</v>
      </c>
      <c r="L51" s="135"/>
      <c r="M51" s="136"/>
      <c r="N51" s="137"/>
      <c r="O51" s="138"/>
      <c r="P51" s="139"/>
      <c r="Q51" s="139"/>
      <c r="R51" s="139"/>
    </row>
    <row r="52" spans="1:20" s="140" customFormat="1" ht="13.5" customHeight="1">
      <c r="A52" s="126" t="s">
        <v>2204</v>
      </c>
      <c r="B52" s="127" t="s">
        <v>2126</v>
      </c>
      <c r="C52" s="128" t="s">
        <v>2127</v>
      </c>
      <c r="D52" s="128" t="s">
        <v>2205</v>
      </c>
      <c r="E52" s="129">
        <v>42930</v>
      </c>
      <c r="F52" s="128" t="s">
        <v>2178</v>
      </c>
      <c r="G52" s="130"/>
      <c r="H52" s="131" t="s">
        <v>2206</v>
      </c>
      <c r="I52" s="132">
        <f>9557.4*22700</f>
        <v>216952980</v>
      </c>
      <c r="J52" s="133">
        <v>0</v>
      </c>
      <c r="K52" s="134">
        <f t="shared" ref="K52:K59" si="2">I52*J52</f>
        <v>0</v>
      </c>
      <c r="L52" s="135"/>
      <c r="M52" s="136"/>
      <c r="N52" s="137"/>
      <c r="O52" s="138"/>
      <c r="P52" s="139"/>
      <c r="Q52" s="139"/>
      <c r="R52" s="139"/>
    </row>
    <row r="53" spans="1:20" s="140" customFormat="1" ht="13.5" customHeight="1">
      <c r="A53" s="126" t="s">
        <v>2207</v>
      </c>
      <c r="B53" s="127" t="s">
        <v>2126</v>
      </c>
      <c r="C53" s="128" t="s">
        <v>2127</v>
      </c>
      <c r="D53" s="128" t="s">
        <v>2208</v>
      </c>
      <c r="E53" s="129">
        <v>42937</v>
      </c>
      <c r="F53" s="128" t="s">
        <v>2129</v>
      </c>
      <c r="G53" s="130"/>
      <c r="H53" s="131" t="s">
        <v>2209</v>
      </c>
      <c r="I53" s="132">
        <f>46847.6*22700</f>
        <v>1063440520</v>
      </c>
      <c r="J53" s="133">
        <v>0</v>
      </c>
      <c r="K53" s="134">
        <f t="shared" si="2"/>
        <v>0</v>
      </c>
      <c r="L53" s="135"/>
      <c r="M53" s="136"/>
      <c r="N53" s="137"/>
      <c r="O53" s="138"/>
      <c r="P53" s="139"/>
      <c r="Q53" s="139"/>
      <c r="R53" s="139"/>
    </row>
    <row r="54" spans="1:20" s="140" customFormat="1" ht="13.5" customHeight="1">
      <c r="A54" s="126" t="s">
        <v>2210</v>
      </c>
      <c r="B54" s="127" t="s">
        <v>2126</v>
      </c>
      <c r="C54" s="128" t="s">
        <v>2127</v>
      </c>
      <c r="D54" s="128" t="s">
        <v>475</v>
      </c>
      <c r="E54" s="129">
        <v>42937</v>
      </c>
      <c r="F54" s="128" t="s">
        <v>2129</v>
      </c>
      <c r="G54" s="130"/>
      <c r="H54" s="131" t="s">
        <v>2211</v>
      </c>
      <c r="I54" s="132">
        <f>29934.6*22700</f>
        <v>679515420</v>
      </c>
      <c r="J54" s="133">
        <v>0</v>
      </c>
      <c r="K54" s="134">
        <f t="shared" si="2"/>
        <v>0</v>
      </c>
      <c r="L54" s="135"/>
      <c r="M54" s="136"/>
      <c r="N54" s="137"/>
      <c r="O54" s="138"/>
      <c r="P54" s="139"/>
      <c r="Q54" s="139"/>
      <c r="R54" s="139"/>
    </row>
    <row r="55" spans="1:20" s="140" customFormat="1" ht="13.5" customHeight="1">
      <c r="A55" s="126" t="s">
        <v>2212</v>
      </c>
      <c r="B55" s="127" t="s">
        <v>2126</v>
      </c>
      <c r="C55" s="128" t="s">
        <v>2127</v>
      </c>
      <c r="D55" s="128" t="s">
        <v>2213</v>
      </c>
      <c r="E55" s="129">
        <v>42944</v>
      </c>
      <c r="F55" s="128" t="s">
        <v>2129</v>
      </c>
      <c r="G55" s="130"/>
      <c r="H55" s="131" t="s">
        <v>2214</v>
      </c>
      <c r="I55" s="132">
        <f>31057.6*22695</f>
        <v>704852232</v>
      </c>
      <c r="J55" s="133">
        <v>0</v>
      </c>
      <c r="K55" s="134">
        <f t="shared" si="2"/>
        <v>0</v>
      </c>
      <c r="L55" s="135"/>
      <c r="M55" s="136"/>
      <c r="N55" s="137"/>
      <c r="O55" s="138"/>
      <c r="P55" s="139"/>
      <c r="Q55" s="139"/>
      <c r="R55" s="139"/>
    </row>
    <row r="56" spans="1:20" s="140" customFormat="1" ht="13.5" customHeight="1">
      <c r="A56" s="126" t="s">
        <v>2215</v>
      </c>
      <c r="B56" s="127" t="s">
        <v>2126</v>
      </c>
      <c r="C56" s="128" t="s">
        <v>2127</v>
      </c>
      <c r="D56" s="128" t="s">
        <v>2216</v>
      </c>
      <c r="E56" s="129">
        <v>42944</v>
      </c>
      <c r="F56" s="128" t="s">
        <v>2129</v>
      </c>
      <c r="G56" s="130"/>
      <c r="H56" s="131" t="s">
        <v>2217</v>
      </c>
      <c r="I56" s="132">
        <f>29248.8*22695</f>
        <v>663801516</v>
      </c>
      <c r="J56" s="133">
        <v>0</v>
      </c>
      <c r="K56" s="134">
        <f t="shared" si="2"/>
        <v>0</v>
      </c>
      <c r="L56" s="135"/>
      <c r="M56" s="136"/>
      <c r="N56" s="137"/>
      <c r="O56" s="138"/>
      <c r="P56" s="139"/>
      <c r="Q56" s="139"/>
      <c r="R56" s="139"/>
    </row>
    <row r="57" spans="1:20" s="140" customFormat="1" ht="13.5" customHeight="1">
      <c r="A57" s="126" t="s">
        <v>481</v>
      </c>
      <c r="B57" s="127" t="s">
        <v>2126</v>
      </c>
      <c r="C57" s="128" t="s">
        <v>2127</v>
      </c>
      <c r="D57" s="128" t="s">
        <v>375</v>
      </c>
      <c r="E57" s="129">
        <v>42945</v>
      </c>
      <c r="F57" s="128" t="s">
        <v>2129</v>
      </c>
      <c r="G57" s="130"/>
      <c r="H57" s="131" t="s">
        <v>2218</v>
      </c>
      <c r="I57" s="132">
        <f>19833.2*22695</f>
        <v>450114474</v>
      </c>
      <c r="J57" s="133">
        <v>0</v>
      </c>
      <c r="K57" s="134">
        <f t="shared" si="2"/>
        <v>0</v>
      </c>
      <c r="L57" s="135"/>
      <c r="M57" s="136"/>
      <c r="N57" s="137"/>
      <c r="O57" s="138"/>
      <c r="P57" s="139"/>
      <c r="Q57" s="139"/>
      <c r="R57" s="139"/>
    </row>
    <row r="58" spans="1:20" s="140" customFormat="1" ht="13.5" customHeight="1">
      <c r="A58" s="126" t="s">
        <v>75</v>
      </c>
      <c r="B58" s="127" t="s">
        <v>2190</v>
      </c>
      <c r="C58" s="128" t="s">
        <v>2191</v>
      </c>
      <c r="D58" s="128" t="s">
        <v>521</v>
      </c>
      <c r="E58" s="129">
        <v>42917</v>
      </c>
      <c r="F58" s="128" t="s">
        <v>2197</v>
      </c>
      <c r="G58" s="130"/>
      <c r="H58" s="131" t="s">
        <v>2219</v>
      </c>
      <c r="I58" s="132">
        <v>5700000</v>
      </c>
      <c r="J58" s="133">
        <v>0.1</v>
      </c>
      <c r="K58" s="134">
        <f t="shared" si="2"/>
        <v>570000</v>
      </c>
      <c r="L58" s="135"/>
      <c r="M58" s="136"/>
      <c r="N58" s="137"/>
      <c r="O58" s="138"/>
      <c r="P58" s="139"/>
      <c r="Q58" s="139"/>
      <c r="R58" s="139"/>
    </row>
    <row r="59" spans="1:20" s="140" customFormat="1" ht="13.5" customHeight="1">
      <c r="A59" s="126" t="s">
        <v>79</v>
      </c>
      <c r="B59" s="127" t="s">
        <v>2190</v>
      </c>
      <c r="C59" s="128" t="s">
        <v>2191</v>
      </c>
      <c r="D59" s="128" t="s">
        <v>214</v>
      </c>
      <c r="E59" s="129">
        <v>42917</v>
      </c>
      <c r="F59" s="128" t="s">
        <v>2197</v>
      </c>
      <c r="G59" s="130"/>
      <c r="H59" s="131" t="s">
        <v>2220</v>
      </c>
      <c r="I59" s="132">
        <v>2400000</v>
      </c>
      <c r="J59" s="133">
        <v>0.1</v>
      </c>
      <c r="K59" s="134">
        <f t="shared" si="2"/>
        <v>240000</v>
      </c>
      <c r="L59" s="135"/>
      <c r="M59" s="136"/>
      <c r="N59" s="137"/>
      <c r="O59" s="138"/>
      <c r="P59" s="139"/>
      <c r="Q59" s="139"/>
      <c r="R59" s="139"/>
    </row>
    <row r="60" spans="1:20" s="146" customFormat="1" ht="13.5" customHeight="1">
      <c r="A60" s="247" t="s">
        <v>264</v>
      </c>
      <c r="B60" s="247"/>
      <c r="C60" s="247"/>
      <c r="D60" s="247"/>
      <c r="E60" s="247"/>
      <c r="F60" s="247"/>
      <c r="G60" s="247"/>
      <c r="H60" s="247"/>
      <c r="I60" s="141">
        <f>SUM(I50:I59)</f>
        <v>4372608844</v>
      </c>
      <c r="J60" s="142"/>
      <c r="K60" s="141">
        <f>SUM(K50:K59)</f>
        <v>810000</v>
      </c>
      <c r="L60" s="143"/>
      <c r="M60" s="147"/>
      <c r="N60" s="145"/>
      <c r="O60" s="144"/>
      <c r="P60" s="145"/>
      <c r="Q60" s="145"/>
      <c r="R60" s="145"/>
      <c r="S60" s="145"/>
      <c r="T60" s="145"/>
    </row>
    <row r="61" spans="1:20" s="140" customFormat="1" ht="13.5" customHeight="1">
      <c r="A61" s="126" t="s">
        <v>2221</v>
      </c>
      <c r="B61" s="127" t="s">
        <v>2126</v>
      </c>
      <c r="C61" s="128" t="s">
        <v>2127</v>
      </c>
      <c r="D61" s="128" t="s">
        <v>2222</v>
      </c>
      <c r="E61" s="129">
        <v>42950</v>
      </c>
      <c r="F61" s="128" t="s">
        <v>2129</v>
      </c>
      <c r="G61" s="130"/>
      <c r="H61" s="131" t="s">
        <v>2223</v>
      </c>
      <c r="I61" s="132">
        <f>35049.2*22695</f>
        <v>795441593.99999988</v>
      </c>
      <c r="J61" s="133">
        <v>0</v>
      </c>
      <c r="K61" s="134">
        <f>I61*J61</f>
        <v>0</v>
      </c>
      <c r="L61" s="135"/>
      <c r="M61" s="136"/>
      <c r="N61" s="137"/>
      <c r="O61" s="138"/>
      <c r="P61" s="139"/>
      <c r="Q61" s="139"/>
      <c r="R61" s="139"/>
    </row>
    <row r="62" spans="1:20" s="140" customFormat="1" ht="13.5" customHeight="1">
      <c r="A62" s="126">
        <f>+A61+1</f>
        <v>44</v>
      </c>
      <c r="B62" s="127" t="s">
        <v>2126</v>
      </c>
      <c r="C62" s="128" t="s">
        <v>2127</v>
      </c>
      <c r="D62" s="128" t="s">
        <v>2224</v>
      </c>
      <c r="E62" s="129">
        <v>42957</v>
      </c>
      <c r="F62" s="128" t="s">
        <v>2129</v>
      </c>
      <c r="G62" s="130"/>
      <c r="H62" s="131" t="s">
        <v>2225</v>
      </c>
      <c r="I62" s="132">
        <f>31952.2*22695</f>
        <v>725155179</v>
      </c>
      <c r="J62" s="133">
        <v>0</v>
      </c>
      <c r="K62" s="134">
        <f t="shared" ref="K62:K70" si="3">I62*J62</f>
        <v>0</v>
      </c>
      <c r="L62" s="135"/>
      <c r="M62" s="136"/>
      <c r="N62" s="137"/>
      <c r="O62" s="138"/>
      <c r="P62" s="139"/>
      <c r="Q62" s="139"/>
      <c r="R62" s="139"/>
    </row>
    <row r="63" spans="1:20" s="140" customFormat="1" ht="13.5" customHeight="1">
      <c r="A63" s="126">
        <f t="shared" ref="A63:A70" si="4">+A62+1</f>
        <v>45</v>
      </c>
      <c r="B63" s="127" t="s">
        <v>2126</v>
      </c>
      <c r="C63" s="128" t="s">
        <v>2127</v>
      </c>
      <c r="D63" s="128" t="s">
        <v>2226</v>
      </c>
      <c r="E63" s="129">
        <v>42959</v>
      </c>
      <c r="F63" s="128" t="s">
        <v>2129</v>
      </c>
      <c r="G63" s="130"/>
      <c r="H63" s="131" t="s">
        <v>2227</v>
      </c>
      <c r="I63" s="132">
        <f>51705.8*22695</f>
        <v>1173463131</v>
      </c>
      <c r="J63" s="133">
        <v>0</v>
      </c>
      <c r="K63" s="134">
        <f t="shared" si="3"/>
        <v>0</v>
      </c>
      <c r="L63" s="135"/>
      <c r="M63" s="136"/>
      <c r="N63" s="137"/>
      <c r="O63" s="138"/>
      <c r="P63" s="139"/>
      <c r="Q63" s="139"/>
      <c r="R63" s="139"/>
    </row>
    <row r="64" spans="1:20" s="140" customFormat="1" ht="13.5" customHeight="1">
      <c r="A64" s="126">
        <f t="shared" si="4"/>
        <v>46</v>
      </c>
      <c r="B64" s="127" t="s">
        <v>2126</v>
      </c>
      <c r="C64" s="128" t="s">
        <v>2127</v>
      </c>
      <c r="D64" s="128" t="s">
        <v>536</v>
      </c>
      <c r="E64" s="129">
        <v>42964</v>
      </c>
      <c r="F64" s="128" t="s">
        <v>2129</v>
      </c>
      <c r="G64" s="130"/>
      <c r="H64" s="131" t="s">
        <v>2228</v>
      </c>
      <c r="I64" s="132">
        <f>13510.9*22690</f>
        <v>306562321</v>
      </c>
      <c r="J64" s="133">
        <v>0</v>
      </c>
      <c r="K64" s="134">
        <f t="shared" si="3"/>
        <v>0</v>
      </c>
      <c r="L64" s="135"/>
      <c r="M64" s="136"/>
      <c r="N64" s="137"/>
      <c r="O64" s="138"/>
      <c r="P64" s="139"/>
      <c r="Q64" s="139"/>
      <c r="R64" s="139"/>
    </row>
    <row r="65" spans="1:20" s="140" customFormat="1" ht="13.5" customHeight="1">
      <c r="A65" s="126">
        <f t="shared" si="4"/>
        <v>47</v>
      </c>
      <c r="B65" s="127" t="s">
        <v>2126</v>
      </c>
      <c r="C65" s="128" t="s">
        <v>2127</v>
      </c>
      <c r="D65" s="128" t="s">
        <v>2229</v>
      </c>
      <c r="E65" s="129">
        <v>42971</v>
      </c>
      <c r="F65" s="128" t="s">
        <v>2129</v>
      </c>
      <c r="G65" s="130"/>
      <c r="H65" s="131" t="s">
        <v>2230</v>
      </c>
      <c r="I65" s="132">
        <f>44751*22700</f>
        <v>1015847700</v>
      </c>
      <c r="J65" s="133">
        <v>0</v>
      </c>
      <c r="K65" s="134">
        <f t="shared" si="3"/>
        <v>0</v>
      </c>
      <c r="L65" s="135"/>
      <c r="M65" s="136"/>
      <c r="N65" s="137"/>
      <c r="O65" s="138"/>
      <c r="P65" s="139"/>
      <c r="Q65" s="139"/>
      <c r="R65" s="139"/>
    </row>
    <row r="66" spans="1:20" s="140" customFormat="1" ht="13.5" customHeight="1">
      <c r="A66" s="126">
        <f t="shared" si="4"/>
        <v>48</v>
      </c>
      <c r="B66" s="127" t="s">
        <v>2126</v>
      </c>
      <c r="C66" s="128" t="s">
        <v>2127</v>
      </c>
      <c r="D66" s="128" t="s">
        <v>791</v>
      </c>
      <c r="E66" s="129">
        <v>42973</v>
      </c>
      <c r="F66" s="128" t="s">
        <v>2129</v>
      </c>
      <c r="G66" s="130"/>
      <c r="H66" s="131" t="s">
        <v>2231</v>
      </c>
      <c r="I66" s="132">
        <f>23238*22700</f>
        <v>527502600</v>
      </c>
      <c r="J66" s="133">
        <v>0</v>
      </c>
      <c r="K66" s="134">
        <f t="shared" si="3"/>
        <v>0</v>
      </c>
      <c r="L66" s="135"/>
      <c r="M66" s="136"/>
      <c r="N66" s="137"/>
      <c r="O66" s="138"/>
      <c r="P66" s="139"/>
      <c r="Q66" s="139"/>
      <c r="R66" s="139"/>
    </row>
    <row r="67" spans="1:20" s="140" customFormat="1" ht="13.5" customHeight="1">
      <c r="A67" s="126">
        <f t="shared" si="4"/>
        <v>49</v>
      </c>
      <c r="B67" s="127" t="s">
        <v>2126</v>
      </c>
      <c r="C67" s="128" t="s">
        <v>2127</v>
      </c>
      <c r="D67" s="128" t="s">
        <v>2232</v>
      </c>
      <c r="E67" s="129">
        <v>42973</v>
      </c>
      <c r="F67" s="128" t="s">
        <v>2129</v>
      </c>
      <c r="G67" s="130"/>
      <c r="H67" s="131" t="s">
        <v>2233</v>
      </c>
      <c r="I67" s="132">
        <f>18554.7*22700</f>
        <v>421191690</v>
      </c>
      <c r="J67" s="133">
        <v>0</v>
      </c>
      <c r="K67" s="134">
        <f t="shared" si="3"/>
        <v>0</v>
      </c>
      <c r="L67" s="135"/>
      <c r="M67" s="136"/>
      <c r="N67" s="137"/>
      <c r="O67" s="138"/>
      <c r="P67" s="139"/>
      <c r="Q67" s="139"/>
      <c r="R67" s="139"/>
    </row>
    <row r="68" spans="1:20" s="140" customFormat="1" ht="13.5" customHeight="1">
      <c r="A68" s="126">
        <f t="shared" si="4"/>
        <v>50</v>
      </c>
      <c r="B68" s="127" t="s">
        <v>2126</v>
      </c>
      <c r="C68" s="128" t="s">
        <v>2127</v>
      </c>
      <c r="D68" s="128" t="s">
        <v>2234</v>
      </c>
      <c r="E68" s="129">
        <v>42978</v>
      </c>
      <c r="F68" s="128" t="s">
        <v>2129</v>
      </c>
      <c r="G68" s="130"/>
      <c r="H68" s="131" t="s">
        <v>2235</v>
      </c>
      <c r="I68" s="132">
        <f>33266*22695</f>
        <v>754971870</v>
      </c>
      <c r="J68" s="133">
        <v>0</v>
      </c>
      <c r="K68" s="134">
        <f t="shared" si="3"/>
        <v>0</v>
      </c>
      <c r="L68" s="135"/>
      <c r="M68" s="136"/>
      <c r="N68" s="137"/>
      <c r="O68" s="138"/>
      <c r="P68" s="139"/>
      <c r="Q68" s="139"/>
      <c r="R68" s="139"/>
    </row>
    <row r="69" spans="1:20" s="140" customFormat="1" ht="13.5" customHeight="1">
      <c r="A69" s="126">
        <f t="shared" si="4"/>
        <v>51</v>
      </c>
      <c r="B69" s="127" t="s">
        <v>2190</v>
      </c>
      <c r="C69" s="128" t="s">
        <v>2191</v>
      </c>
      <c r="D69" s="128" t="s">
        <v>2236</v>
      </c>
      <c r="E69" s="129">
        <v>42959</v>
      </c>
      <c r="F69" s="128" t="s">
        <v>2197</v>
      </c>
      <c r="G69" s="130"/>
      <c r="H69" s="131" t="s">
        <v>2237</v>
      </c>
      <c r="I69" s="132">
        <v>6600000</v>
      </c>
      <c r="J69" s="133">
        <v>0.1</v>
      </c>
      <c r="K69" s="134">
        <f t="shared" si="3"/>
        <v>660000</v>
      </c>
      <c r="L69" s="135"/>
      <c r="M69" s="136"/>
      <c r="N69" s="137"/>
      <c r="O69" s="138"/>
      <c r="P69" s="139"/>
      <c r="Q69" s="139"/>
      <c r="R69" s="139"/>
    </row>
    <row r="70" spans="1:20" s="140" customFormat="1" ht="13.5" customHeight="1">
      <c r="A70" s="126">
        <f t="shared" si="4"/>
        <v>52</v>
      </c>
      <c r="B70" s="127" t="s">
        <v>2190</v>
      </c>
      <c r="C70" s="128" t="s">
        <v>2191</v>
      </c>
      <c r="D70" s="128" t="s">
        <v>631</v>
      </c>
      <c r="E70" s="129">
        <v>42977</v>
      </c>
      <c r="F70" s="128" t="s">
        <v>2197</v>
      </c>
      <c r="G70" s="130"/>
      <c r="H70" s="131" t="s">
        <v>2238</v>
      </c>
      <c r="I70" s="132">
        <v>1850000</v>
      </c>
      <c r="J70" s="133">
        <v>0.1</v>
      </c>
      <c r="K70" s="134">
        <f t="shared" si="3"/>
        <v>185000</v>
      </c>
      <c r="L70" s="135"/>
      <c r="M70" s="136"/>
      <c r="N70" s="137"/>
      <c r="O70" s="138"/>
      <c r="P70" s="139"/>
      <c r="Q70" s="139"/>
      <c r="R70" s="139"/>
    </row>
    <row r="71" spans="1:20" s="146" customFormat="1" ht="13.5" customHeight="1">
      <c r="A71" s="247" t="s">
        <v>264</v>
      </c>
      <c r="B71" s="247"/>
      <c r="C71" s="247"/>
      <c r="D71" s="247"/>
      <c r="E71" s="247"/>
      <c r="F71" s="247"/>
      <c r="G71" s="247"/>
      <c r="H71" s="247"/>
      <c r="I71" s="141">
        <f>SUM(I61:I70)</f>
        <v>5728586085</v>
      </c>
      <c r="J71" s="142"/>
      <c r="K71" s="141">
        <f>SUM(K61:K70)</f>
        <v>845000</v>
      </c>
      <c r="L71" s="143"/>
      <c r="M71" s="147"/>
      <c r="N71" s="145"/>
      <c r="O71" s="144"/>
      <c r="P71" s="145"/>
      <c r="Q71" s="145"/>
      <c r="R71" s="145"/>
      <c r="S71" s="145"/>
      <c r="T71" s="145"/>
    </row>
    <row r="72" spans="1:20" s="140" customFormat="1" ht="13.5" customHeight="1">
      <c r="A72" s="126" t="s">
        <v>2239</v>
      </c>
      <c r="B72" s="127" t="s">
        <v>2126</v>
      </c>
      <c r="C72" s="128" t="s">
        <v>2127</v>
      </c>
      <c r="D72" s="128" t="s">
        <v>2240</v>
      </c>
      <c r="E72" s="129">
        <v>42979</v>
      </c>
      <c r="F72" s="128" t="s">
        <v>2129</v>
      </c>
      <c r="G72" s="130"/>
      <c r="H72" s="131" t="s">
        <v>2241</v>
      </c>
      <c r="I72" s="132">
        <f>16395.4*22695</f>
        <v>372093603.00000006</v>
      </c>
      <c r="J72" s="133">
        <v>0</v>
      </c>
      <c r="K72" s="134">
        <f t="shared" ref="K72:K135" si="5">+I72*J72</f>
        <v>0</v>
      </c>
      <c r="L72" s="135"/>
      <c r="M72" s="136"/>
      <c r="N72" s="137"/>
      <c r="O72" s="138"/>
      <c r="P72" s="139"/>
      <c r="Q72" s="139"/>
      <c r="R72" s="139"/>
    </row>
    <row r="73" spans="1:20" s="140" customFormat="1" ht="13.5" customHeight="1">
      <c r="A73" s="126">
        <f t="shared" ref="A73:A80" si="6">+A72+1</f>
        <v>54</v>
      </c>
      <c r="B73" s="127" t="s">
        <v>2126</v>
      </c>
      <c r="C73" s="128" t="s">
        <v>2127</v>
      </c>
      <c r="D73" s="128" t="s">
        <v>2242</v>
      </c>
      <c r="E73" s="129">
        <v>42985</v>
      </c>
      <c r="F73" s="128" t="s">
        <v>2129</v>
      </c>
      <c r="G73" s="130"/>
      <c r="H73" s="131" t="s">
        <v>2243</v>
      </c>
      <c r="I73" s="132">
        <f>32786*22690</f>
        <v>743914340</v>
      </c>
      <c r="J73" s="133">
        <v>0</v>
      </c>
      <c r="K73" s="134">
        <f t="shared" si="5"/>
        <v>0</v>
      </c>
      <c r="L73" s="135"/>
      <c r="M73" s="136"/>
      <c r="N73" s="137"/>
      <c r="O73" s="138"/>
      <c r="P73" s="139"/>
      <c r="Q73" s="139"/>
      <c r="R73" s="139"/>
    </row>
    <row r="74" spans="1:20" s="140" customFormat="1" ht="13.5" customHeight="1">
      <c r="A74" s="126">
        <f t="shared" si="6"/>
        <v>55</v>
      </c>
      <c r="B74" s="127" t="s">
        <v>2126</v>
      </c>
      <c r="C74" s="128" t="s">
        <v>2127</v>
      </c>
      <c r="D74" s="128" t="s">
        <v>2244</v>
      </c>
      <c r="E74" s="129">
        <v>42991</v>
      </c>
      <c r="F74" s="128" t="s">
        <v>2129</v>
      </c>
      <c r="G74" s="130"/>
      <c r="H74" s="131" t="s">
        <v>2245</v>
      </c>
      <c r="I74" s="132">
        <f>29467.6*22690</f>
        <v>668619844</v>
      </c>
      <c r="J74" s="133">
        <v>0</v>
      </c>
      <c r="K74" s="134">
        <f t="shared" si="5"/>
        <v>0</v>
      </c>
      <c r="L74" s="135"/>
      <c r="M74" s="136"/>
      <c r="N74" s="137"/>
      <c r="O74" s="138"/>
      <c r="P74" s="139"/>
      <c r="Q74" s="139"/>
      <c r="R74" s="139"/>
    </row>
    <row r="75" spans="1:20" s="140" customFormat="1" ht="13.5" customHeight="1">
      <c r="A75" s="126">
        <f t="shared" si="6"/>
        <v>56</v>
      </c>
      <c r="B75" s="127" t="s">
        <v>2126</v>
      </c>
      <c r="C75" s="128" t="s">
        <v>2127</v>
      </c>
      <c r="D75" s="128" t="s">
        <v>976</v>
      </c>
      <c r="E75" s="129">
        <v>42992</v>
      </c>
      <c r="F75" s="128" t="s">
        <v>2129</v>
      </c>
      <c r="G75" s="130"/>
      <c r="H75" s="131" t="s">
        <v>2246</v>
      </c>
      <c r="I75" s="132">
        <f>78349.4*22690</f>
        <v>1777747885.9999998</v>
      </c>
      <c r="J75" s="133">
        <v>0</v>
      </c>
      <c r="K75" s="134">
        <f t="shared" si="5"/>
        <v>0</v>
      </c>
      <c r="L75" s="135"/>
      <c r="M75" s="136"/>
      <c r="N75" s="137"/>
      <c r="O75" s="138"/>
      <c r="P75" s="139"/>
      <c r="Q75" s="139"/>
      <c r="R75" s="139"/>
    </row>
    <row r="76" spans="1:20" s="140" customFormat="1" ht="13.5" customHeight="1">
      <c r="A76" s="126">
        <f t="shared" si="6"/>
        <v>57</v>
      </c>
      <c r="B76" s="127" t="s">
        <v>2126</v>
      </c>
      <c r="C76" s="128" t="s">
        <v>2127</v>
      </c>
      <c r="D76" s="128" t="s">
        <v>983</v>
      </c>
      <c r="E76" s="129">
        <v>42999</v>
      </c>
      <c r="F76" s="128" t="s">
        <v>2178</v>
      </c>
      <c r="G76" s="130"/>
      <c r="H76" s="131" t="s">
        <v>2206</v>
      </c>
      <c r="I76" s="132">
        <f>9557.4*22690</f>
        <v>216857406</v>
      </c>
      <c r="J76" s="133">
        <v>0</v>
      </c>
      <c r="K76" s="134">
        <f t="shared" si="5"/>
        <v>0</v>
      </c>
      <c r="L76" s="135"/>
      <c r="M76" s="136"/>
      <c r="N76" s="137"/>
      <c r="O76" s="138"/>
      <c r="P76" s="139"/>
      <c r="Q76" s="139"/>
      <c r="R76" s="139"/>
    </row>
    <row r="77" spans="1:20" s="140" customFormat="1" ht="13.5" customHeight="1">
      <c r="A77" s="126">
        <f t="shared" si="6"/>
        <v>58</v>
      </c>
      <c r="B77" s="127" t="s">
        <v>2126</v>
      </c>
      <c r="C77" s="128" t="s">
        <v>2127</v>
      </c>
      <c r="D77" s="128" t="s">
        <v>2247</v>
      </c>
      <c r="E77" s="129">
        <v>42999</v>
      </c>
      <c r="F77" s="128" t="s">
        <v>2129</v>
      </c>
      <c r="G77" s="130"/>
      <c r="H77" s="131" t="s">
        <v>2248</v>
      </c>
      <c r="I77" s="132">
        <f>33326*22690</f>
        <v>756166940</v>
      </c>
      <c r="J77" s="133">
        <v>0</v>
      </c>
      <c r="K77" s="134">
        <f t="shared" si="5"/>
        <v>0</v>
      </c>
      <c r="L77" s="135"/>
      <c r="M77" s="136"/>
      <c r="N77" s="137"/>
      <c r="O77" s="138"/>
      <c r="P77" s="139"/>
      <c r="Q77" s="139"/>
      <c r="R77" s="139"/>
    </row>
    <row r="78" spans="1:20" s="140" customFormat="1" ht="13.5" customHeight="1">
      <c r="A78" s="126">
        <f t="shared" si="6"/>
        <v>59</v>
      </c>
      <c r="B78" s="127" t="s">
        <v>2126</v>
      </c>
      <c r="C78" s="128" t="s">
        <v>2127</v>
      </c>
      <c r="D78" s="128" t="s">
        <v>449</v>
      </c>
      <c r="E78" s="129">
        <v>43000</v>
      </c>
      <c r="F78" s="128" t="s">
        <v>2129</v>
      </c>
      <c r="G78" s="130"/>
      <c r="H78" s="131" t="s">
        <v>2249</v>
      </c>
      <c r="I78" s="132">
        <f>37710*22700</f>
        <v>856017000</v>
      </c>
      <c r="J78" s="133">
        <v>0</v>
      </c>
      <c r="K78" s="134">
        <f t="shared" si="5"/>
        <v>0</v>
      </c>
      <c r="L78" s="135"/>
      <c r="M78" s="136"/>
      <c r="N78" s="137"/>
      <c r="O78" s="138"/>
      <c r="P78" s="139"/>
      <c r="Q78" s="139"/>
      <c r="R78" s="139"/>
    </row>
    <row r="79" spans="1:20" s="140" customFormat="1" ht="13.5" customHeight="1">
      <c r="A79" s="126">
        <f t="shared" si="6"/>
        <v>60</v>
      </c>
      <c r="B79" s="127" t="s">
        <v>2126</v>
      </c>
      <c r="C79" s="128" t="s">
        <v>2127</v>
      </c>
      <c r="D79" s="128" t="s">
        <v>1117</v>
      </c>
      <c r="E79" s="129">
        <v>43007</v>
      </c>
      <c r="F79" s="128" t="s">
        <v>2129</v>
      </c>
      <c r="G79" s="130"/>
      <c r="H79" s="131" t="s">
        <v>2250</v>
      </c>
      <c r="I79" s="132">
        <f>69280.4*22695</f>
        <v>1572318677.9999998</v>
      </c>
      <c r="J79" s="133">
        <v>0</v>
      </c>
      <c r="K79" s="134">
        <f t="shared" si="5"/>
        <v>0</v>
      </c>
      <c r="L79" s="135"/>
      <c r="M79" s="136"/>
      <c r="N79" s="137"/>
      <c r="O79" s="138"/>
      <c r="P79" s="139"/>
      <c r="Q79" s="139"/>
      <c r="R79" s="139"/>
    </row>
    <row r="80" spans="1:20" s="140" customFormat="1" ht="13.5" customHeight="1">
      <c r="A80" s="126">
        <f t="shared" si="6"/>
        <v>61</v>
      </c>
      <c r="B80" s="127" t="s">
        <v>2190</v>
      </c>
      <c r="C80" s="128" t="s">
        <v>2191</v>
      </c>
      <c r="D80" s="128" t="s">
        <v>1897</v>
      </c>
      <c r="E80" s="129">
        <v>42998</v>
      </c>
      <c r="F80" s="128" t="s">
        <v>2197</v>
      </c>
      <c r="G80" s="130"/>
      <c r="H80" s="131" t="s">
        <v>2251</v>
      </c>
      <c r="I80" s="132">
        <v>1200000</v>
      </c>
      <c r="J80" s="133">
        <v>0.1</v>
      </c>
      <c r="K80" s="134">
        <f t="shared" si="5"/>
        <v>120000</v>
      </c>
      <c r="L80" s="135"/>
      <c r="M80" s="136"/>
      <c r="N80" s="137"/>
      <c r="O80" s="138"/>
      <c r="P80" s="139"/>
      <c r="Q80" s="139"/>
      <c r="R80" s="139"/>
    </row>
    <row r="81" spans="1:20" s="146" customFormat="1" ht="13.5" customHeight="1">
      <c r="A81" s="247" t="s">
        <v>264</v>
      </c>
      <c r="B81" s="247"/>
      <c r="C81" s="247"/>
      <c r="D81" s="247"/>
      <c r="E81" s="247"/>
      <c r="F81" s="247"/>
      <c r="G81" s="247"/>
      <c r="H81" s="247"/>
      <c r="I81" s="141">
        <f>SUM(I72:I80)</f>
        <v>6964935697</v>
      </c>
      <c r="J81" s="142"/>
      <c r="K81" s="141">
        <f>SUM(K72:K80)</f>
        <v>120000</v>
      </c>
      <c r="L81" s="143"/>
      <c r="M81" s="144"/>
      <c r="N81" s="145"/>
      <c r="O81" s="144"/>
      <c r="P81" s="145"/>
      <c r="Q81" s="145"/>
      <c r="R81" s="145"/>
      <c r="S81" s="145"/>
      <c r="T81" s="145"/>
    </row>
    <row r="82" spans="1:20" s="140" customFormat="1" ht="13.5" customHeight="1">
      <c r="A82" s="126" t="s">
        <v>2252</v>
      </c>
      <c r="B82" s="127" t="s">
        <v>2126</v>
      </c>
      <c r="C82" s="128" t="s">
        <v>2127</v>
      </c>
      <c r="D82" s="128" t="s">
        <v>2253</v>
      </c>
      <c r="E82" s="129">
        <v>43012</v>
      </c>
      <c r="F82" s="128" t="s">
        <v>2129</v>
      </c>
      <c r="G82" s="130"/>
      <c r="H82" s="131" t="s">
        <v>2254</v>
      </c>
      <c r="I82" s="132">
        <f>39908.2*22690</f>
        <v>905517057.99999988</v>
      </c>
      <c r="J82" s="133">
        <v>0</v>
      </c>
      <c r="K82" s="134">
        <f t="shared" si="5"/>
        <v>0</v>
      </c>
      <c r="L82" s="135"/>
      <c r="M82" s="136"/>
      <c r="N82" s="137"/>
      <c r="O82" s="138"/>
      <c r="P82" s="139"/>
      <c r="Q82" s="139"/>
      <c r="R82" s="139"/>
    </row>
    <row r="83" spans="1:20" s="140" customFormat="1" ht="13.5" customHeight="1">
      <c r="A83" s="126" t="s">
        <v>2255</v>
      </c>
      <c r="B83" s="127" t="s">
        <v>2126</v>
      </c>
      <c r="C83" s="128" t="s">
        <v>2127</v>
      </c>
      <c r="D83" s="128" t="s">
        <v>1123</v>
      </c>
      <c r="E83" s="129">
        <v>43020</v>
      </c>
      <c r="F83" s="128" t="s">
        <v>2129</v>
      </c>
      <c r="G83" s="130"/>
      <c r="H83" s="131" t="s">
        <v>2256</v>
      </c>
      <c r="I83" s="132">
        <f>20473.6*22685</f>
        <v>464443615.99999994</v>
      </c>
      <c r="J83" s="133">
        <v>0</v>
      </c>
      <c r="K83" s="134">
        <f t="shared" si="5"/>
        <v>0</v>
      </c>
      <c r="L83" s="135"/>
      <c r="M83" s="136"/>
      <c r="N83" s="137"/>
      <c r="O83" s="138"/>
      <c r="P83" s="139"/>
      <c r="Q83" s="139"/>
      <c r="R83" s="139"/>
    </row>
    <row r="84" spans="1:20" s="140" customFormat="1" ht="13.5" customHeight="1">
      <c r="A84" s="126" t="s">
        <v>2257</v>
      </c>
      <c r="B84" s="127" t="s">
        <v>2126</v>
      </c>
      <c r="C84" s="128" t="s">
        <v>2127</v>
      </c>
      <c r="D84" s="128" t="s">
        <v>2258</v>
      </c>
      <c r="E84" s="129">
        <v>43020</v>
      </c>
      <c r="F84" s="128" t="s">
        <v>2129</v>
      </c>
      <c r="G84" s="130"/>
      <c r="H84" s="131" t="s">
        <v>2259</v>
      </c>
      <c r="I84" s="132">
        <f>37544*22685</f>
        <v>851685640</v>
      </c>
      <c r="J84" s="133">
        <v>0</v>
      </c>
      <c r="K84" s="134">
        <f t="shared" si="5"/>
        <v>0</v>
      </c>
      <c r="L84" s="135"/>
      <c r="M84" s="136"/>
      <c r="N84" s="137"/>
      <c r="O84" s="138"/>
      <c r="P84" s="139"/>
      <c r="Q84" s="139"/>
      <c r="R84" s="139"/>
    </row>
    <row r="85" spans="1:20" s="140" customFormat="1" ht="13.5" customHeight="1">
      <c r="A85" s="126" t="s">
        <v>2260</v>
      </c>
      <c r="B85" s="127" t="s">
        <v>2126</v>
      </c>
      <c r="C85" s="128" t="s">
        <v>2127</v>
      </c>
      <c r="D85" s="128" t="s">
        <v>1740</v>
      </c>
      <c r="E85" s="129">
        <v>43026</v>
      </c>
      <c r="F85" s="128" t="s">
        <v>2129</v>
      </c>
      <c r="G85" s="130"/>
      <c r="H85" s="131" t="s">
        <v>2261</v>
      </c>
      <c r="I85" s="132">
        <f>34381.9*22680</f>
        <v>779781492</v>
      </c>
      <c r="J85" s="133">
        <v>0</v>
      </c>
      <c r="K85" s="134">
        <f t="shared" si="5"/>
        <v>0</v>
      </c>
      <c r="L85" s="135"/>
      <c r="M85" s="136"/>
      <c r="N85" s="137"/>
      <c r="O85" s="138"/>
      <c r="P85" s="139"/>
      <c r="Q85" s="139"/>
      <c r="R85" s="139"/>
    </row>
    <row r="86" spans="1:20" s="140" customFormat="1" ht="13.5" customHeight="1">
      <c r="A86" s="126" t="s">
        <v>2262</v>
      </c>
      <c r="B86" s="127" t="s">
        <v>2126</v>
      </c>
      <c r="C86" s="128" t="s">
        <v>2127</v>
      </c>
      <c r="D86" s="128" t="s">
        <v>1248</v>
      </c>
      <c r="E86" s="129">
        <v>43029</v>
      </c>
      <c r="F86" s="128" t="s">
        <v>2129</v>
      </c>
      <c r="G86" s="130"/>
      <c r="H86" s="131" t="s">
        <v>2263</v>
      </c>
      <c r="I86" s="132">
        <f>36434.7*22680</f>
        <v>826338995.99999988</v>
      </c>
      <c r="J86" s="133">
        <v>0</v>
      </c>
      <c r="K86" s="134">
        <f t="shared" si="5"/>
        <v>0</v>
      </c>
      <c r="L86" s="135"/>
      <c r="M86" s="136"/>
      <c r="N86" s="137"/>
      <c r="O86" s="138"/>
      <c r="P86" s="139"/>
      <c r="Q86" s="139"/>
      <c r="R86" s="139"/>
    </row>
    <row r="87" spans="1:20" s="140" customFormat="1" ht="13.5" customHeight="1">
      <c r="A87" s="126" t="s">
        <v>2264</v>
      </c>
      <c r="B87" s="127" t="s">
        <v>2126</v>
      </c>
      <c r="C87" s="128" t="s">
        <v>2127</v>
      </c>
      <c r="D87" s="128" t="s">
        <v>2265</v>
      </c>
      <c r="E87" s="129">
        <v>43029</v>
      </c>
      <c r="F87" s="128" t="s">
        <v>2129</v>
      </c>
      <c r="G87" s="130"/>
      <c r="H87" s="131" t="s">
        <v>2266</v>
      </c>
      <c r="I87" s="132">
        <f>46979.5*22680</f>
        <v>1065495060</v>
      </c>
      <c r="J87" s="133">
        <v>0</v>
      </c>
      <c r="K87" s="134">
        <f t="shared" si="5"/>
        <v>0</v>
      </c>
      <c r="L87" s="135"/>
      <c r="M87" s="136"/>
      <c r="N87" s="137"/>
      <c r="O87" s="138"/>
      <c r="P87" s="139"/>
      <c r="Q87" s="139"/>
      <c r="R87" s="139"/>
    </row>
    <row r="88" spans="1:20" s="140" customFormat="1" ht="13.5" customHeight="1">
      <c r="A88" s="126" t="s">
        <v>2267</v>
      </c>
      <c r="B88" s="127" t="s">
        <v>2126</v>
      </c>
      <c r="C88" s="128" t="s">
        <v>2127</v>
      </c>
      <c r="D88" s="128" t="s">
        <v>2268</v>
      </c>
      <c r="E88" s="129">
        <v>43036</v>
      </c>
      <c r="F88" s="128" t="s">
        <v>2129</v>
      </c>
      <c r="G88" s="130"/>
      <c r="H88" s="131" t="s">
        <v>2269</v>
      </c>
      <c r="I88" s="132">
        <f>43568*22680</f>
        <v>988122240</v>
      </c>
      <c r="J88" s="133">
        <v>0</v>
      </c>
      <c r="K88" s="134">
        <f t="shared" si="5"/>
        <v>0</v>
      </c>
      <c r="L88" s="135"/>
      <c r="M88" s="136"/>
      <c r="N88" s="137"/>
      <c r="O88" s="138"/>
      <c r="P88" s="139"/>
      <c r="Q88" s="139"/>
      <c r="R88" s="139"/>
    </row>
    <row r="89" spans="1:20" s="140" customFormat="1" ht="13.5" customHeight="1">
      <c r="A89" s="126" t="s">
        <v>2270</v>
      </c>
      <c r="B89" s="127" t="s">
        <v>2126</v>
      </c>
      <c r="C89" s="128" t="s">
        <v>2127</v>
      </c>
      <c r="D89" s="128" t="s">
        <v>2271</v>
      </c>
      <c r="E89" s="129">
        <v>43036</v>
      </c>
      <c r="F89" s="128" t="s">
        <v>2129</v>
      </c>
      <c r="G89" s="130"/>
      <c r="H89" s="131" t="s">
        <v>2272</v>
      </c>
      <c r="I89" s="132">
        <f>38140.8*22680</f>
        <v>865033344.00000012</v>
      </c>
      <c r="J89" s="133">
        <v>0</v>
      </c>
      <c r="K89" s="134">
        <f t="shared" si="5"/>
        <v>0</v>
      </c>
      <c r="L89" s="135"/>
      <c r="M89" s="136"/>
      <c r="N89" s="137"/>
      <c r="O89" s="138"/>
      <c r="P89" s="139"/>
      <c r="Q89" s="139"/>
      <c r="R89" s="139"/>
    </row>
    <row r="90" spans="1:20" s="146" customFormat="1" ht="13.5" customHeight="1">
      <c r="A90" s="247" t="s">
        <v>264</v>
      </c>
      <c r="B90" s="247"/>
      <c r="C90" s="247"/>
      <c r="D90" s="247"/>
      <c r="E90" s="247"/>
      <c r="F90" s="247"/>
      <c r="G90" s="247"/>
      <c r="H90" s="247"/>
      <c r="I90" s="141">
        <f>SUM(I82:I89)</f>
        <v>6746417446</v>
      </c>
      <c r="J90" s="142"/>
      <c r="K90" s="141">
        <f>SUM(K82:K89)</f>
        <v>0</v>
      </c>
      <c r="L90" s="143"/>
      <c r="M90" s="144"/>
      <c r="N90" s="145"/>
      <c r="O90" s="144"/>
      <c r="P90" s="145"/>
      <c r="Q90" s="145"/>
      <c r="R90" s="145"/>
      <c r="S90" s="145"/>
      <c r="T90" s="145"/>
    </row>
    <row r="91" spans="1:20" s="140" customFormat="1" ht="13.5" customHeight="1">
      <c r="A91" s="126" t="s">
        <v>558</v>
      </c>
      <c r="B91" s="127" t="s">
        <v>2126</v>
      </c>
      <c r="C91" s="128" t="s">
        <v>2127</v>
      </c>
      <c r="D91" s="128" t="s">
        <v>2273</v>
      </c>
      <c r="E91" s="129">
        <v>43043</v>
      </c>
      <c r="F91" s="128" t="s">
        <v>2129</v>
      </c>
      <c r="G91" s="130"/>
      <c r="H91" s="131" t="s">
        <v>2274</v>
      </c>
      <c r="I91" s="132">
        <f>46180.4*22680</f>
        <v>1047371472</v>
      </c>
      <c r="J91" s="133">
        <v>0</v>
      </c>
      <c r="K91" s="134">
        <f t="shared" si="5"/>
        <v>0</v>
      </c>
      <c r="L91" s="135"/>
      <c r="M91" s="136"/>
      <c r="N91" s="137"/>
      <c r="O91" s="138"/>
      <c r="P91" s="139"/>
      <c r="Q91" s="139"/>
      <c r="R91" s="139"/>
    </row>
    <row r="92" spans="1:20" s="140" customFormat="1" ht="13.5" customHeight="1">
      <c r="A92" s="126" t="s">
        <v>560</v>
      </c>
      <c r="B92" s="127" t="s">
        <v>2126</v>
      </c>
      <c r="C92" s="128" t="s">
        <v>2127</v>
      </c>
      <c r="D92" s="128" t="s">
        <v>1379</v>
      </c>
      <c r="E92" s="129">
        <v>43048</v>
      </c>
      <c r="F92" s="128" t="s">
        <v>2129</v>
      </c>
      <c r="G92" s="130"/>
      <c r="H92" s="131" t="s">
        <v>2275</v>
      </c>
      <c r="I92" s="132">
        <f>62970*22680</f>
        <v>1428159600</v>
      </c>
      <c r="J92" s="133">
        <v>0</v>
      </c>
      <c r="K92" s="134">
        <f t="shared" si="5"/>
        <v>0</v>
      </c>
      <c r="L92" s="135"/>
      <c r="M92" s="136"/>
      <c r="N92" s="137"/>
      <c r="O92" s="138"/>
      <c r="P92" s="139"/>
      <c r="Q92" s="139"/>
      <c r="R92" s="139"/>
    </row>
    <row r="93" spans="1:20" s="140" customFormat="1" ht="13.5" customHeight="1">
      <c r="A93" s="126" t="s">
        <v>2276</v>
      </c>
      <c r="B93" s="127" t="s">
        <v>2126</v>
      </c>
      <c r="C93" s="128" t="s">
        <v>2127</v>
      </c>
      <c r="D93" s="128" t="s">
        <v>2277</v>
      </c>
      <c r="E93" s="129">
        <v>43050</v>
      </c>
      <c r="F93" s="128" t="s">
        <v>2129</v>
      </c>
      <c r="G93" s="130"/>
      <c r="H93" s="131" t="s">
        <v>2278</v>
      </c>
      <c r="I93" s="132">
        <f>18855*22680</f>
        <v>427631400</v>
      </c>
      <c r="J93" s="133">
        <v>0</v>
      </c>
      <c r="K93" s="134">
        <f t="shared" si="5"/>
        <v>0</v>
      </c>
      <c r="L93" s="135"/>
      <c r="M93" s="136"/>
      <c r="N93" s="137"/>
      <c r="O93" s="138"/>
      <c r="P93" s="139"/>
      <c r="Q93" s="139"/>
      <c r="R93" s="139"/>
    </row>
    <row r="94" spans="1:20" s="140" customFormat="1" ht="13.5" customHeight="1">
      <c r="A94" s="126" t="s">
        <v>1383</v>
      </c>
      <c r="B94" s="127" t="s">
        <v>2126</v>
      </c>
      <c r="C94" s="128" t="s">
        <v>2127</v>
      </c>
      <c r="D94" s="128" t="s">
        <v>884</v>
      </c>
      <c r="E94" s="129">
        <v>43056</v>
      </c>
      <c r="F94" s="128" t="s">
        <v>2129</v>
      </c>
      <c r="G94" s="130"/>
      <c r="H94" s="131" t="s">
        <v>2278</v>
      </c>
      <c r="I94" s="132">
        <f>18855*22675</f>
        <v>427537125</v>
      </c>
      <c r="J94" s="133">
        <v>0</v>
      </c>
      <c r="K94" s="134">
        <f t="shared" si="5"/>
        <v>0</v>
      </c>
      <c r="L94" s="135"/>
      <c r="M94" s="136"/>
      <c r="N94" s="137"/>
      <c r="O94" s="138"/>
      <c r="P94" s="139"/>
      <c r="Q94" s="139"/>
      <c r="R94" s="139"/>
    </row>
    <row r="95" spans="1:20" s="140" customFormat="1" ht="13.5" customHeight="1">
      <c r="A95" s="126" t="s">
        <v>2279</v>
      </c>
      <c r="B95" s="127" t="s">
        <v>2126</v>
      </c>
      <c r="C95" s="128" t="s">
        <v>2127</v>
      </c>
      <c r="D95" s="128" t="s">
        <v>2280</v>
      </c>
      <c r="E95" s="129">
        <v>43057</v>
      </c>
      <c r="F95" s="128" t="s">
        <v>2129</v>
      </c>
      <c r="G95" s="130"/>
      <c r="H95" s="131" t="s">
        <v>2281</v>
      </c>
      <c r="I95" s="132">
        <f>37780.4*22675</f>
        <v>856670570</v>
      </c>
      <c r="J95" s="133">
        <v>0</v>
      </c>
      <c r="K95" s="134">
        <f t="shared" si="5"/>
        <v>0</v>
      </c>
      <c r="L95" s="135"/>
      <c r="M95" s="136"/>
      <c r="N95" s="137"/>
      <c r="O95" s="138"/>
      <c r="P95" s="139"/>
      <c r="Q95" s="139"/>
      <c r="R95" s="139"/>
    </row>
    <row r="96" spans="1:20" s="140" customFormat="1" ht="13.5" customHeight="1">
      <c r="A96" s="126" t="s">
        <v>2282</v>
      </c>
      <c r="B96" s="127" t="s">
        <v>2126</v>
      </c>
      <c r="C96" s="128" t="s">
        <v>2127</v>
      </c>
      <c r="D96" s="128" t="s">
        <v>2283</v>
      </c>
      <c r="E96" s="129">
        <v>43063</v>
      </c>
      <c r="F96" s="128" t="s">
        <v>2129</v>
      </c>
      <c r="G96" s="130"/>
      <c r="H96" s="131" t="s">
        <v>2284</v>
      </c>
      <c r="I96" s="132">
        <f>29585.6*22690</f>
        <v>671297264</v>
      </c>
      <c r="J96" s="133">
        <v>0</v>
      </c>
      <c r="K96" s="134">
        <f t="shared" si="5"/>
        <v>0</v>
      </c>
      <c r="L96" s="135"/>
      <c r="M96" s="136"/>
      <c r="N96" s="137"/>
      <c r="O96" s="138"/>
      <c r="P96" s="139"/>
      <c r="Q96" s="139"/>
      <c r="R96" s="139"/>
    </row>
    <row r="97" spans="1:20" s="140" customFormat="1" ht="13.5" customHeight="1">
      <c r="A97" s="126" t="s">
        <v>677</v>
      </c>
      <c r="B97" s="127" t="s">
        <v>2126</v>
      </c>
      <c r="C97" s="128" t="s">
        <v>2127</v>
      </c>
      <c r="D97" s="128" t="s">
        <v>1559</v>
      </c>
      <c r="E97" s="129">
        <v>43063</v>
      </c>
      <c r="F97" s="128" t="s">
        <v>2129</v>
      </c>
      <c r="G97" s="130"/>
      <c r="H97" s="131" t="s">
        <v>2285</v>
      </c>
      <c r="I97" s="132">
        <f>34869.2*22690</f>
        <v>791182147.99999988</v>
      </c>
      <c r="J97" s="133">
        <v>0</v>
      </c>
      <c r="K97" s="134">
        <f t="shared" si="5"/>
        <v>0</v>
      </c>
      <c r="L97" s="135"/>
      <c r="M97" s="136"/>
      <c r="N97" s="137"/>
      <c r="O97" s="138"/>
      <c r="P97" s="139"/>
      <c r="Q97" s="139"/>
      <c r="R97" s="139"/>
    </row>
    <row r="98" spans="1:20" s="146" customFormat="1" ht="13.5" customHeight="1">
      <c r="A98" s="247" t="s">
        <v>264</v>
      </c>
      <c r="B98" s="247"/>
      <c r="C98" s="247"/>
      <c r="D98" s="247"/>
      <c r="E98" s="247"/>
      <c r="F98" s="247"/>
      <c r="G98" s="247"/>
      <c r="H98" s="247"/>
      <c r="I98" s="141">
        <f>SUM(I91:I97)</f>
        <v>5649849579</v>
      </c>
      <c r="J98" s="142"/>
      <c r="K98" s="141">
        <f>SUM(K91:K97)</f>
        <v>0</v>
      </c>
      <c r="L98" s="143"/>
      <c r="M98" s="144"/>
      <c r="N98" s="145"/>
      <c r="O98" s="144"/>
      <c r="P98" s="145"/>
      <c r="Q98" s="145"/>
      <c r="R98" s="145"/>
      <c r="S98" s="145"/>
      <c r="T98" s="145"/>
    </row>
    <row r="99" spans="1:20" s="140" customFormat="1" ht="13.5" customHeight="1">
      <c r="A99" s="126" t="s">
        <v>705</v>
      </c>
      <c r="B99" s="127" t="s">
        <v>2126</v>
      </c>
      <c r="C99" s="128" t="s">
        <v>2127</v>
      </c>
      <c r="D99" s="128" t="s">
        <v>1561</v>
      </c>
      <c r="E99" s="129">
        <v>43070</v>
      </c>
      <c r="F99" s="128" t="s">
        <v>2129</v>
      </c>
      <c r="G99" s="130"/>
      <c r="H99" s="131" t="s">
        <v>2150</v>
      </c>
      <c r="I99" s="132">
        <f>ROUND(30970*22685,0)</f>
        <v>702554450</v>
      </c>
      <c r="J99" s="133">
        <v>0</v>
      </c>
      <c r="K99" s="134">
        <f t="shared" si="5"/>
        <v>0</v>
      </c>
      <c r="L99" s="135"/>
      <c r="M99" s="136"/>
      <c r="N99" s="137"/>
      <c r="O99" s="138"/>
      <c r="P99" s="139"/>
      <c r="Q99" s="139"/>
      <c r="R99" s="139"/>
    </row>
    <row r="100" spans="1:20" s="140" customFormat="1" ht="13.5" customHeight="1">
      <c r="A100" s="126" t="s">
        <v>2286</v>
      </c>
      <c r="B100" s="127" t="s">
        <v>2126</v>
      </c>
      <c r="C100" s="128" t="s">
        <v>2127</v>
      </c>
      <c r="D100" s="128" t="s">
        <v>403</v>
      </c>
      <c r="E100" s="129">
        <v>43074</v>
      </c>
      <c r="F100" s="128" t="s">
        <v>2129</v>
      </c>
      <c r="G100" s="130"/>
      <c r="H100" s="131" t="s">
        <v>2287</v>
      </c>
      <c r="I100" s="132">
        <f>ROUND(87076.4*22680,0)</f>
        <v>1974892752</v>
      </c>
      <c r="J100" s="133">
        <v>0</v>
      </c>
      <c r="K100" s="134">
        <f t="shared" si="5"/>
        <v>0</v>
      </c>
      <c r="L100" s="135"/>
      <c r="M100" s="136"/>
      <c r="N100" s="137"/>
      <c r="O100" s="138"/>
      <c r="P100" s="139"/>
      <c r="Q100" s="139"/>
      <c r="R100" s="139"/>
    </row>
    <row r="101" spans="1:20" s="140" customFormat="1" ht="13.5" customHeight="1">
      <c r="A101" s="126" t="s">
        <v>727</v>
      </c>
      <c r="B101" s="127" t="s">
        <v>2126</v>
      </c>
      <c r="C101" s="128" t="s">
        <v>2127</v>
      </c>
      <c r="D101" s="128" t="s">
        <v>1631</v>
      </c>
      <c r="E101" s="129">
        <v>43080</v>
      </c>
      <c r="F101" s="128" t="s">
        <v>2129</v>
      </c>
      <c r="G101" s="130"/>
      <c r="H101" s="131" t="s">
        <v>2288</v>
      </c>
      <c r="I101" s="132">
        <f>ROUND(84133.8*22675,0)</f>
        <v>1907733915</v>
      </c>
      <c r="J101" s="133">
        <v>0</v>
      </c>
      <c r="K101" s="134">
        <f t="shared" si="5"/>
        <v>0</v>
      </c>
      <c r="L101" s="135"/>
      <c r="M101" s="136"/>
      <c r="N101" s="137"/>
      <c r="O101" s="138"/>
      <c r="P101" s="139"/>
      <c r="Q101" s="139"/>
      <c r="R101" s="139"/>
    </row>
    <row r="102" spans="1:20" s="140" customFormat="1" ht="13.5" customHeight="1">
      <c r="A102" s="126" t="s">
        <v>2289</v>
      </c>
      <c r="B102" s="127" t="s">
        <v>2126</v>
      </c>
      <c r="C102" s="128" t="s">
        <v>2127</v>
      </c>
      <c r="D102" s="128" t="s">
        <v>2290</v>
      </c>
      <c r="E102" s="129">
        <v>43089</v>
      </c>
      <c r="F102" s="128" t="s">
        <v>2129</v>
      </c>
      <c r="G102" s="130"/>
      <c r="H102" s="131" t="s">
        <v>2291</v>
      </c>
      <c r="I102" s="132">
        <f>ROUND(30314.6*22680,0)</f>
        <v>687535128</v>
      </c>
      <c r="J102" s="133">
        <v>0</v>
      </c>
      <c r="K102" s="134">
        <f t="shared" si="5"/>
        <v>0</v>
      </c>
      <c r="L102" s="135"/>
      <c r="M102" s="136"/>
      <c r="N102" s="137"/>
      <c r="O102" s="138"/>
      <c r="P102" s="139"/>
      <c r="Q102" s="139"/>
      <c r="R102" s="139"/>
    </row>
    <row r="103" spans="1:20" s="140" customFormat="1" ht="13.5" customHeight="1">
      <c r="A103" s="126" t="s">
        <v>1967</v>
      </c>
      <c r="B103" s="127" t="s">
        <v>2126</v>
      </c>
      <c r="C103" s="128" t="s">
        <v>2127</v>
      </c>
      <c r="D103" s="128" t="s">
        <v>2292</v>
      </c>
      <c r="E103" s="129">
        <v>43094</v>
      </c>
      <c r="F103" s="128" t="s">
        <v>2129</v>
      </c>
      <c r="G103" s="130"/>
      <c r="H103" s="131" t="s">
        <v>2161</v>
      </c>
      <c r="I103" s="132">
        <f>ROUND(36507.9*22675,0)</f>
        <v>827816633</v>
      </c>
      <c r="J103" s="133">
        <v>0</v>
      </c>
      <c r="K103" s="134">
        <f t="shared" si="5"/>
        <v>0</v>
      </c>
      <c r="L103" s="135"/>
      <c r="M103" s="136"/>
      <c r="N103" s="137"/>
      <c r="O103" s="138"/>
      <c r="P103" s="139"/>
      <c r="Q103" s="139"/>
      <c r="R103" s="139"/>
    </row>
    <row r="104" spans="1:20" s="140" customFormat="1" ht="13.5" customHeight="1">
      <c r="A104" s="126" t="s">
        <v>731</v>
      </c>
      <c r="B104" s="127" t="s">
        <v>2126</v>
      </c>
      <c r="C104" s="128" t="s">
        <v>2127</v>
      </c>
      <c r="D104" s="128" t="s">
        <v>1624</v>
      </c>
      <c r="E104" s="129">
        <v>43097</v>
      </c>
      <c r="F104" s="128" t="s">
        <v>2129</v>
      </c>
      <c r="G104" s="130"/>
      <c r="H104" s="131" t="s">
        <v>2293</v>
      </c>
      <c r="I104" s="132">
        <f>ROUND(30900.1*22675,0)</f>
        <v>700659768</v>
      </c>
      <c r="J104" s="133">
        <v>0</v>
      </c>
      <c r="K104" s="134">
        <f t="shared" si="5"/>
        <v>0</v>
      </c>
      <c r="L104" s="135"/>
      <c r="M104" s="136"/>
      <c r="N104" s="137"/>
      <c r="O104" s="138"/>
      <c r="P104" s="139"/>
      <c r="Q104" s="139"/>
      <c r="R104" s="139"/>
    </row>
    <row r="105" spans="1:20" s="146" customFormat="1" ht="13.5" customHeight="1">
      <c r="A105" s="247" t="s">
        <v>264</v>
      </c>
      <c r="B105" s="247"/>
      <c r="C105" s="247"/>
      <c r="D105" s="247"/>
      <c r="E105" s="247"/>
      <c r="F105" s="247"/>
      <c r="G105" s="247"/>
      <c r="H105" s="247"/>
      <c r="I105" s="141">
        <f>SUM(I99:I104)</f>
        <v>6801192646</v>
      </c>
      <c r="J105" s="142"/>
      <c r="K105" s="141">
        <f>SUM(K99:K104)</f>
        <v>0</v>
      </c>
      <c r="L105" s="143"/>
      <c r="M105" s="144"/>
      <c r="N105" s="145"/>
      <c r="O105" s="144"/>
      <c r="P105" s="145"/>
      <c r="Q105" s="145"/>
      <c r="R105" s="145"/>
      <c r="S105" s="145"/>
      <c r="T105" s="145"/>
    </row>
    <row r="106" spans="1:20" s="140" customFormat="1" ht="13.5" customHeight="1">
      <c r="A106" s="126" t="s">
        <v>2294</v>
      </c>
      <c r="B106" s="127" t="s">
        <v>2126</v>
      </c>
      <c r="C106" s="128" t="s">
        <v>2127</v>
      </c>
      <c r="D106" s="128" t="s">
        <v>2295</v>
      </c>
      <c r="E106" s="129">
        <v>43104</v>
      </c>
      <c r="F106" s="128" t="s">
        <v>2129</v>
      </c>
      <c r="G106" s="130"/>
      <c r="H106" s="131" t="s">
        <v>2296</v>
      </c>
      <c r="I106" s="132">
        <f>ROUND(20978.2*22675,0)</f>
        <v>475680685</v>
      </c>
      <c r="J106" s="133">
        <v>0</v>
      </c>
      <c r="K106" s="134">
        <f t="shared" si="5"/>
        <v>0</v>
      </c>
      <c r="L106" s="135"/>
      <c r="M106" s="136"/>
      <c r="N106" s="137"/>
      <c r="O106" s="138"/>
      <c r="P106" s="139"/>
      <c r="Q106" s="139"/>
      <c r="R106" s="139"/>
    </row>
    <row r="107" spans="1:20" s="140" customFormat="1" ht="13.5" customHeight="1">
      <c r="A107" s="126" t="s">
        <v>2297</v>
      </c>
      <c r="B107" s="127" t="s">
        <v>2126</v>
      </c>
      <c r="C107" s="128" t="s">
        <v>2127</v>
      </c>
      <c r="D107" s="128" t="s">
        <v>1638</v>
      </c>
      <c r="E107" s="129">
        <v>43104</v>
      </c>
      <c r="F107" s="128" t="s">
        <v>2139</v>
      </c>
      <c r="G107" s="130"/>
      <c r="H107" s="131"/>
      <c r="I107" s="132"/>
      <c r="J107" s="133"/>
      <c r="K107" s="134"/>
      <c r="L107" s="135"/>
      <c r="M107" s="136"/>
      <c r="N107" s="137"/>
      <c r="O107" s="138"/>
      <c r="P107" s="139"/>
      <c r="Q107" s="139"/>
      <c r="R107" s="139"/>
    </row>
    <row r="108" spans="1:20" s="140" customFormat="1" ht="13.5" customHeight="1">
      <c r="A108" s="126" t="s">
        <v>2298</v>
      </c>
      <c r="B108" s="127" t="s">
        <v>2126</v>
      </c>
      <c r="C108" s="128" t="s">
        <v>2127</v>
      </c>
      <c r="D108" s="128" t="s">
        <v>2299</v>
      </c>
      <c r="E108" s="129">
        <v>43104</v>
      </c>
      <c r="F108" s="128" t="s">
        <v>2129</v>
      </c>
      <c r="G108" s="130"/>
      <c r="H108" s="131" t="s">
        <v>2300</v>
      </c>
      <c r="I108" s="132">
        <f>ROUND(39426.4*22675,0)</f>
        <v>893993620</v>
      </c>
      <c r="J108" s="133">
        <v>0</v>
      </c>
      <c r="K108" s="134">
        <f t="shared" si="5"/>
        <v>0</v>
      </c>
      <c r="L108" s="135"/>
      <c r="M108" s="136"/>
      <c r="N108" s="137"/>
      <c r="O108" s="138"/>
      <c r="P108" s="139"/>
      <c r="Q108" s="139"/>
      <c r="R108" s="139"/>
    </row>
    <row r="109" spans="1:20" s="140" customFormat="1" ht="13.5" customHeight="1">
      <c r="A109" s="126" t="s">
        <v>2301</v>
      </c>
      <c r="B109" s="127" t="s">
        <v>2126</v>
      </c>
      <c r="C109" s="128" t="s">
        <v>2127</v>
      </c>
      <c r="D109" s="128" t="s">
        <v>1603</v>
      </c>
      <c r="E109" s="129">
        <v>43111</v>
      </c>
      <c r="F109" s="128" t="s">
        <v>2129</v>
      </c>
      <c r="G109" s="130"/>
      <c r="H109" s="131" t="s">
        <v>2302</v>
      </c>
      <c r="I109" s="132">
        <f>ROUND(85096.4*22675,0)</f>
        <v>1929560870</v>
      </c>
      <c r="J109" s="133">
        <v>0</v>
      </c>
      <c r="K109" s="134">
        <f t="shared" si="5"/>
        <v>0</v>
      </c>
      <c r="L109" s="135"/>
      <c r="M109" s="136"/>
      <c r="N109" s="137"/>
      <c r="O109" s="138"/>
      <c r="P109" s="139"/>
      <c r="Q109" s="139"/>
      <c r="R109" s="139"/>
    </row>
    <row r="110" spans="1:20" s="140" customFormat="1" ht="13.5" customHeight="1">
      <c r="A110" s="126" t="s">
        <v>787</v>
      </c>
      <c r="B110" s="127" t="s">
        <v>2126</v>
      </c>
      <c r="C110" s="128" t="s">
        <v>2127</v>
      </c>
      <c r="D110" s="128" t="s">
        <v>1608</v>
      </c>
      <c r="E110" s="129">
        <v>43111</v>
      </c>
      <c r="F110" s="128" t="s">
        <v>2129</v>
      </c>
      <c r="G110" s="130"/>
      <c r="H110" s="131" t="s">
        <v>2303</v>
      </c>
      <c r="I110" s="132">
        <f>ROUND(44415*22675,0)</f>
        <v>1007110125</v>
      </c>
      <c r="J110" s="133">
        <v>0</v>
      </c>
      <c r="K110" s="134">
        <f t="shared" si="5"/>
        <v>0</v>
      </c>
      <c r="L110" s="135"/>
      <c r="M110" s="136"/>
      <c r="N110" s="137"/>
      <c r="O110" s="138"/>
      <c r="P110" s="139"/>
      <c r="Q110" s="139"/>
      <c r="R110" s="139"/>
    </row>
    <row r="111" spans="1:20" s="140" customFormat="1" ht="13.5" customHeight="1">
      <c r="A111" s="126" t="s">
        <v>1985</v>
      </c>
      <c r="B111" s="127" t="s">
        <v>2126</v>
      </c>
      <c r="C111" s="128" t="s">
        <v>2127</v>
      </c>
      <c r="D111" s="128" t="s">
        <v>2304</v>
      </c>
      <c r="E111" s="129">
        <v>43117</v>
      </c>
      <c r="F111" s="128" t="s">
        <v>2129</v>
      </c>
      <c r="G111" s="130"/>
      <c r="H111" s="131" t="s">
        <v>2305</v>
      </c>
      <c r="I111" s="132">
        <f>ROUND(32401*22675,0)</f>
        <v>734692675</v>
      </c>
      <c r="J111" s="133">
        <v>0</v>
      </c>
      <c r="K111" s="134">
        <f t="shared" si="5"/>
        <v>0</v>
      </c>
      <c r="L111" s="135"/>
      <c r="M111" s="136"/>
      <c r="N111" s="137"/>
      <c r="O111" s="138"/>
      <c r="P111" s="139"/>
      <c r="Q111" s="139"/>
      <c r="R111" s="139"/>
    </row>
    <row r="112" spans="1:20" s="140" customFormat="1" ht="13.5" customHeight="1">
      <c r="A112" s="126" t="s">
        <v>1986</v>
      </c>
      <c r="B112" s="127" t="s">
        <v>2126</v>
      </c>
      <c r="C112" s="128" t="s">
        <v>2127</v>
      </c>
      <c r="D112" s="128" t="s">
        <v>1747</v>
      </c>
      <c r="E112" s="129">
        <v>43118</v>
      </c>
      <c r="F112" s="128" t="s">
        <v>2129</v>
      </c>
      <c r="G112" s="130"/>
      <c r="H112" s="131" t="s">
        <v>2306</v>
      </c>
      <c r="I112" s="132">
        <f>ROUND(88802*22675,0)</f>
        <v>2013585350</v>
      </c>
      <c r="J112" s="133">
        <v>0</v>
      </c>
      <c r="K112" s="134">
        <f t="shared" si="5"/>
        <v>0</v>
      </c>
      <c r="L112" s="135"/>
      <c r="M112" s="136"/>
      <c r="N112" s="137"/>
      <c r="O112" s="138"/>
      <c r="P112" s="139"/>
      <c r="Q112" s="139"/>
      <c r="R112" s="139"/>
    </row>
    <row r="113" spans="1:20" s="140" customFormat="1" ht="13.5" customHeight="1">
      <c r="A113" s="126" t="s">
        <v>789</v>
      </c>
      <c r="B113" s="127" t="s">
        <v>2126</v>
      </c>
      <c r="C113" s="128" t="s">
        <v>2127</v>
      </c>
      <c r="D113" s="128" t="s">
        <v>2307</v>
      </c>
      <c r="E113" s="129">
        <v>43125</v>
      </c>
      <c r="F113" s="128" t="s">
        <v>2129</v>
      </c>
      <c r="G113" s="130"/>
      <c r="H113" s="131" t="s">
        <v>2308</v>
      </c>
      <c r="I113" s="132">
        <f>ROUND(78429*22675,0)</f>
        <v>1778377575</v>
      </c>
      <c r="J113" s="133">
        <v>0</v>
      </c>
      <c r="K113" s="134">
        <f t="shared" si="5"/>
        <v>0</v>
      </c>
      <c r="L113" s="135"/>
      <c r="M113" s="136"/>
      <c r="N113" s="137"/>
      <c r="O113" s="138"/>
      <c r="P113" s="139"/>
      <c r="Q113" s="139"/>
      <c r="R113" s="139"/>
    </row>
    <row r="114" spans="1:20" s="140" customFormat="1" ht="13.5" customHeight="1">
      <c r="A114" s="126" t="s">
        <v>2309</v>
      </c>
      <c r="B114" s="127" t="s">
        <v>2126</v>
      </c>
      <c r="C114" s="128" t="s">
        <v>2127</v>
      </c>
      <c r="D114" s="128" t="s">
        <v>1619</v>
      </c>
      <c r="E114" s="129">
        <v>43130</v>
      </c>
      <c r="F114" s="128" t="s">
        <v>2178</v>
      </c>
      <c r="G114" s="130"/>
      <c r="H114" s="131" t="s">
        <v>2206</v>
      </c>
      <c r="I114" s="132">
        <f>9557.4*22675</f>
        <v>216714045</v>
      </c>
      <c r="J114" s="133">
        <v>0</v>
      </c>
      <c r="K114" s="134">
        <f t="shared" si="5"/>
        <v>0</v>
      </c>
      <c r="L114" s="135"/>
      <c r="M114" s="136"/>
      <c r="N114" s="137"/>
      <c r="O114" s="138"/>
      <c r="P114" s="139"/>
      <c r="Q114" s="139"/>
      <c r="R114" s="139"/>
    </row>
    <row r="115" spans="1:20" s="140" customFormat="1" ht="13.5" customHeight="1">
      <c r="A115" s="126" t="s">
        <v>2310</v>
      </c>
      <c r="B115" s="127" t="s">
        <v>2126</v>
      </c>
      <c r="C115" s="128" t="s">
        <v>2127</v>
      </c>
      <c r="D115" s="128" t="s">
        <v>1924</v>
      </c>
      <c r="E115" s="129">
        <v>43130</v>
      </c>
      <c r="F115" s="128" t="s">
        <v>2129</v>
      </c>
      <c r="G115" s="130"/>
      <c r="H115" s="131" t="s">
        <v>2311</v>
      </c>
      <c r="I115" s="132">
        <f>ROUND(31862.6*22675,0)</f>
        <v>722484455</v>
      </c>
      <c r="J115" s="133">
        <v>0</v>
      </c>
      <c r="K115" s="134">
        <f t="shared" si="5"/>
        <v>0</v>
      </c>
      <c r="L115" s="135"/>
      <c r="M115" s="136"/>
      <c r="N115" s="137"/>
      <c r="O115" s="138"/>
      <c r="P115" s="139"/>
      <c r="Q115" s="139"/>
      <c r="R115" s="139"/>
    </row>
    <row r="116" spans="1:20" s="140" customFormat="1" ht="13.5" customHeight="1">
      <c r="A116" s="126" t="s">
        <v>2312</v>
      </c>
      <c r="B116" s="127" t="s">
        <v>2126</v>
      </c>
      <c r="C116" s="128" t="s">
        <v>2127</v>
      </c>
      <c r="D116" s="128" t="s">
        <v>2313</v>
      </c>
      <c r="E116" s="129">
        <v>43130</v>
      </c>
      <c r="F116" s="128" t="s">
        <v>2139</v>
      </c>
      <c r="G116" s="130"/>
      <c r="H116" s="131"/>
      <c r="I116" s="132"/>
      <c r="J116" s="133"/>
      <c r="K116" s="134"/>
      <c r="L116" s="135"/>
      <c r="M116" s="136"/>
      <c r="N116" s="137"/>
      <c r="O116" s="138"/>
      <c r="P116" s="139"/>
      <c r="Q116" s="139"/>
      <c r="R116" s="139"/>
    </row>
    <row r="117" spans="1:20" s="146" customFormat="1" ht="13.5" customHeight="1">
      <c r="A117" s="247" t="s">
        <v>264</v>
      </c>
      <c r="B117" s="247"/>
      <c r="C117" s="247"/>
      <c r="D117" s="247"/>
      <c r="E117" s="247"/>
      <c r="F117" s="247"/>
      <c r="G117" s="247"/>
      <c r="H117" s="247"/>
      <c r="I117" s="141">
        <f>SUM(I106:I116)</f>
        <v>9772199400</v>
      </c>
      <c r="J117" s="142"/>
      <c r="K117" s="141">
        <f>SUM(K111:K116)</f>
        <v>0</v>
      </c>
      <c r="L117" s="143"/>
      <c r="M117" s="144"/>
      <c r="N117" s="145"/>
      <c r="O117" s="144"/>
      <c r="P117" s="145"/>
      <c r="Q117" s="145"/>
      <c r="R117" s="145"/>
      <c r="S117" s="145"/>
      <c r="T117" s="145"/>
    </row>
    <row r="118" spans="1:20" s="140" customFormat="1" ht="13.5" customHeight="1">
      <c r="A118" s="126" t="s">
        <v>808</v>
      </c>
      <c r="B118" s="127" t="s">
        <v>2126</v>
      </c>
      <c r="C118" s="128" t="s">
        <v>2127</v>
      </c>
      <c r="D118" s="128" t="s">
        <v>2314</v>
      </c>
      <c r="E118" s="129">
        <v>43134</v>
      </c>
      <c r="F118" s="128" t="s">
        <v>2129</v>
      </c>
      <c r="G118" s="130"/>
      <c r="H118" s="131" t="s">
        <v>2315</v>
      </c>
      <c r="I118" s="132">
        <f>ROUND(30242.4*22675,0)</f>
        <v>685746420</v>
      </c>
      <c r="J118" s="133">
        <v>0</v>
      </c>
      <c r="K118" s="134">
        <f t="shared" si="5"/>
        <v>0</v>
      </c>
      <c r="L118" s="135"/>
      <c r="M118" s="136"/>
      <c r="N118" s="137"/>
      <c r="O118" s="138"/>
      <c r="P118" s="139"/>
      <c r="Q118" s="139"/>
      <c r="R118" s="139"/>
    </row>
    <row r="119" spans="1:20" s="140" customFormat="1" ht="13.5" customHeight="1">
      <c r="A119" s="126" t="s">
        <v>2316</v>
      </c>
      <c r="B119" s="127" t="s">
        <v>2126</v>
      </c>
      <c r="C119" s="128" t="s">
        <v>2127</v>
      </c>
      <c r="D119" s="128" t="s">
        <v>2317</v>
      </c>
      <c r="E119" s="129">
        <v>43138</v>
      </c>
      <c r="F119" s="128" t="s">
        <v>2129</v>
      </c>
      <c r="G119" s="130"/>
      <c r="H119" s="131" t="s">
        <v>2318</v>
      </c>
      <c r="I119" s="132">
        <f>ROUND(18855*22675,0)</f>
        <v>427537125</v>
      </c>
      <c r="J119" s="133">
        <v>0</v>
      </c>
      <c r="K119" s="134">
        <f t="shared" si="5"/>
        <v>0</v>
      </c>
      <c r="L119" s="135"/>
      <c r="M119" s="136"/>
      <c r="N119" s="137"/>
      <c r="O119" s="138"/>
      <c r="P119" s="139"/>
      <c r="Q119" s="139"/>
      <c r="R119" s="139"/>
    </row>
    <row r="120" spans="1:20" s="146" customFormat="1" ht="13.5" customHeight="1">
      <c r="A120" s="247" t="s">
        <v>264</v>
      </c>
      <c r="B120" s="247"/>
      <c r="C120" s="247"/>
      <c r="D120" s="247"/>
      <c r="E120" s="247"/>
      <c r="F120" s="247"/>
      <c r="G120" s="247"/>
      <c r="H120" s="247"/>
      <c r="I120" s="141">
        <f>SUM(I118:I119)</f>
        <v>1113283545</v>
      </c>
      <c r="J120" s="142"/>
      <c r="K120" s="141">
        <f>SUM(K114:K119)</f>
        <v>0</v>
      </c>
      <c r="L120" s="143"/>
      <c r="M120" s="144"/>
      <c r="N120" s="145"/>
      <c r="O120" s="144"/>
      <c r="P120" s="145"/>
      <c r="Q120" s="145"/>
      <c r="R120" s="145"/>
      <c r="S120" s="145"/>
      <c r="T120" s="145"/>
    </row>
    <row r="121" spans="1:20" s="140" customFormat="1" ht="13.5" customHeight="1">
      <c r="A121" s="126" t="s">
        <v>2319</v>
      </c>
      <c r="B121" s="127" t="s">
        <v>2126</v>
      </c>
      <c r="C121" s="128" t="s">
        <v>2127</v>
      </c>
      <c r="D121" s="128" t="s">
        <v>2320</v>
      </c>
      <c r="E121" s="129">
        <v>43161</v>
      </c>
      <c r="F121" s="128" t="s">
        <v>2129</v>
      </c>
      <c r="G121" s="130"/>
      <c r="H121" s="131" t="s">
        <v>2321</v>
      </c>
      <c r="I121" s="132">
        <f>ROUND(39440.7*22725,0)</f>
        <v>896289908</v>
      </c>
      <c r="J121" s="133">
        <v>0</v>
      </c>
      <c r="K121" s="134">
        <f t="shared" si="5"/>
        <v>0</v>
      </c>
      <c r="L121" s="135"/>
      <c r="M121" s="136"/>
      <c r="N121" s="137"/>
      <c r="O121" s="138"/>
      <c r="P121" s="139"/>
      <c r="Q121" s="139"/>
      <c r="R121" s="139"/>
    </row>
    <row r="122" spans="1:20" s="140" customFormat="1" ht="13.5" customHeight="1">
      <c r="A122" s="126" t="s">
        <v>912</v>
      </c>
      <c r="B122" s="127" t="s">
        <v>2126</v>
      </c>
      <c r="C122" s="128" t="s">
        <v>2127</v>
      </c>
      <c r="D122" s="128" t="s">
        <v>2322</v>
      </c>
      <c r="E122" s="129">
        <v>43161</v>
      </c>
      <c r="F122" s="128" t="s">
        <v>2129</v>
      </c>
      <c r="G122" s="130"/>
      <c r="H122" s="131" t="s">
        <v>2323</v>
      </c>
      <c r="I122" s="132">
        <f>ROUND(19009*22725,0)</f>
        <v>431979525</v>
      </c>
      <c r="J122" s="133">
        <v>0</v>
      </c>
      <c r="K122" s="134">
        <f t="shared" si="5"/>
        <v>0</v>
      </c>
      <c r="L122" s="135"/>
      <c r="M122" s="136"/>
      <c r="N122" s="137"/>
      <c r="O122" s="138"/>
      <c r="P122" s="139"/>
      <c r="Q122" s="139"/>
      <c r="R122" s="139"/>
    </row>
    <row r="123" spans="1:20" s="140" customFormat="1" ht="13.5" customHeight="1">
      <c r="A123" s="126" t="s">
        <v>2324</v>
      </c>
      <c r="B123" s="127" t="s">
        <v>2126</v>
      </c>
      <c r="C123" s="128" t="s">
        <v>2127</v>
      </c>
      <c r="D123" s="128" t="s">
        <v>2325</v>
      </c>
      <c r="E123" s="129">
        <v>43166</v>
      </c>
      <c r="F123" s="128" t="s">
        <v>2129</v>
      </c>
      <c r="G123" s="130"/>
      <c r="H123" s="131" t="s">
        <v>2326</v>
      </c>
      <c r="I123" s="132">
        <f>ROUND(38775*22720,0)</f>
        <v>880968000</v>
      </c>
      <c r="J123" s="133">
        <v>0</v>
      </c>
      <c r="K123" s="134">
        <f t="shared" si="5"/>
        <v>0</v>
      </c>
      <c r="L123" s="135"/>
      <c r="M123" s="136"/>
      <c r="N123" s="137"/>
      <c r="O123" s="138"/>
      <c r="P123" s="139"/>
      <c r="Q123" s="139"/>
      <c r="R123" s="139"/>
    </row>
    <row r="124" spans="1:20" s="140" customFormat="1" ht="13.5" customHeight="1">
      <c r="A124" s="126" t="s">
        <v>2327</v>
      </c>
      <c r="B124" s="127" t="s">
        <v>2126</v>
      </c>
      <c r="C124" s="128" t="s">
        <v>2127</v>
      </c>
      <c r="D124" s="128" t="s">
        <v>2328</v>
      </c>
      <c r="E124" s="129">
        <v>43169</v>
      </c>
      <c r="F124" s="128" t="s">
        <v>2129</v>
      </c>
      <c r="G124" s="130"/>
      <c r="H124" s="131" t="s">
        <v>2329</v>
      </c>
      <c r="I124" s="132">
        <f>43301.3*22720</f>
        <v>983805536.00000012</v>
      </c>
      <c r="J124" s="133">
        <v>0</v>
      </c>
      <c r="K124" s="134">
        <f t="shared" si="5"/>
        <v>0</v>
      </c>
      <c r="L124" s="135"/>
      <c r="M124" s="136"/>
      <c r="N124" s="137"/>
      <c r="O124" s="138"/>
      <c r="P124" s="139"/>
      <c r="Q124" s="139"/>
      <c r="R124" s="139"/>
    </row>
    <row r="125" spans="1:20" s="140" customFormat="1" ht="13.5" customHeight="1">
      <c r="A125" s="126" t="s">
        <v>2330</v>
      </c>
      <c r="B125" s="127" t="s">
        <v>2126</v>
      </c>
      <c r="C125" s="128" t="s">
        <v>2127</v>
      </c>
      <c r="D125" s="128" t="s">
        <v>2331</v>
      </c>
      <c r="E125" s="129">
        <v>43173</v>
      </c>
      <c r="F125" s="128" t="s">
        <v>2129</v>
      </c>
      <c r="G125" s="130"/>
      <c r="H125" s="131" t="s">
        <v>2332</v>
      </c>
      <c r="I125" s="132">
        <f>27726.1*22725</f>
        <v>630075622.5</v>
      </c>
      <c r="J125" s="133">
        <v>0</v>
      </c>
      <c r="K125" s="134">
        <f t="shared" si="5"/>
        <v>0</v>
      </c>
      <c r="L125" s="135"/>
      <c r="M125" s="136"/>
      <c r="N125" s="137"/>
      <c r="O125" s="138"/>
      <c r="P125" s="139"/>
      <c r="Q125" s="139"/>
      <c r="R125" s="139"/>
    </row>
    <row r="126" spans="1:20" s="140" customFormat="1" ht="13.5" customHeight="1">
      <c r="A126" s="126" t="s">
        <v>2333</v>
      </c>
      <c r="B126" s="127" t="s">
        <v>2126</v>
      </c>
      <c r="C126" s="128" t="s">
        <v>2127</v>
      </c>
      <c r="D126" s="128" t="s">
        <v>2334</v>
      </c>
      <c r="E126" s="129">
        <v>43179</v>
      </c>
      <c r="F126" s="128" t="s">
        <v>2129</v>
      </c>
      <c r="G126" s="130"/>
      <c r="H126" s="131" t="s">
        <v>2335</v>
      </c>
      <c r="I126" s="132">
        <f>43331.1*22735</f>
        <v>985132558.5</v>
      </c>
      <c r="J126" s="133">
        <v>0</v>
      </c>
      <c r="K126" s="134">
        <f t="shared" si="5"/>
        <v>0</v>
      </c>
      <c r="L126" s="135"/>
      <c r="M126" s="136"/>
      <c r="N126" s="137"/>
      <c r="O126" s="138"/>
      <c r="P126" s="139"/>
      <c r="Q126" s="139"/>
      <c r="R126" s="139"/>
    </row>
    <row r="127" spans="1:20" s="140" customFormat="1" ht="13.5" customHeight="1">
      <c r="A127" s="126" t="s">
        <v>2336</v>
      </c>
      <c r="B127" s="127" t="s">
        <v>2126</v>
      </c>
      <c r="C127" s="128" t="s">
        <v>2127</v>
      </c>
      <c r="D127" s="128" t="s">
        <v>2337</v>
      </c>
      <c r="E127" s="129">
        <v>43180</v>
      </c>
      <c r="F127" s="128" t="s">
        <v>2178</v>
      </c>
      <c r="G127" s="130"/>
      <c r="H127" s="131" t="s">
        <v>2338</v>
      </c>
      <c r="I127" s="132">
        <f>24367.2*22735</f>
        <v>553988292</v>
      </c>
      <c r="J127" s="133">
        <v>0</v>
      </c>
      <c r="K127" s="134">
        <f t="shared" si="5"/>
        <v>0</v>
      </c>
      <c r="L127" s="135"/>
      <c r="M127" s="136"/>
      <c r="N127" s="137"/>
      <c r="O127" s="138"/>
      <c r="P127" s="139"/>
      <c r="Q127" s="139"/>
      <c r="R127" s="139"/>
    </row>
    <row r="128" spans="1:20" s="140" customFormat="1" ht="13.5" customHeight="1">
      <c r="A128" s="126" t="s">
        <v>2339</v>
      </c>
      <c r="B128" s="127" t="s">
        <v>2126</v>
      </c>
      <c r="C128" s="128" t="s">
        <v>2127</v>
      </c>
      <c r="D128" s="128" t="s">
        <v>2340</v>
      </c>
      <c r="E128" s="129">
        <v>43186</v>
      </c>
      <c r="F128" s="128" t="s">
        <v>2129</v>
      </c>
      <c r="G128" s="130"/>
      <c r="H128" s="131" t="s">
        <v>2341</v>
      </c>
      <c r="I128" s="132">
        <f>85596.4*22775</f>
        <v>1949458009.9999998</v>
      </c>
      <c r="J128" s="133">
        <v>0</v>
      </c>
      <c r="K128" s="134">
        <f t="shared" si="5"/>
        <v>0</v>
      </c>
      <c r="L128" s="135"/>
      <c r="M128" s="136"/>
      <c r="N128" s="137"/>
      <c r="O128" s="138"/>
      <c r="P128" s="139"/>
      <c r="Q128" s="139"/>
      <c r="R128" s="139"/>
    </row>
    <row r="129" spans="1:20" s="146" customFormat="1" ht="13.5" customHeight="1">
      <c r="A129" s="247" t="s">
        <v>264</v>
      </c>
      <c r="B129" s="247"/>
      <c r="C129" s="247"/>
      <c r="D129" s="247"/>
      <c r="E129" s="247"/>
      <c r="F129" s="247"/>
      <c r="G129" s="247"/>
      <c r="H129" s="247"/>
      <c r="I129" s="141">
        <f>SUM(I121:I128)</f>
        <v>7311697452</v>
      </c>
      <c r="J129" s="142"/>
      <c r="K129" s="141">
        <f>SUM(K123:K128)</f>
        <v>0</v>
      </c>
      <c r="L129" s="143"/>
      <c r="M129" s="144"/>
      <c r="N129" s="145"/>
      <c r="O129" s="144"/>
      <c r="P129" s="145"/>
      <c r="Q129" s="145"/>
      <c r="R129" s="145"/>
      <c r="S129" s="145"/>
      <c r="T129" s="145"/>
    </row>
    <row r="130" spans="1:20" s="140" customFormat="1" ht="13.5" customHeight="1">
      <c r="A130" s="126">
        <f>A128+1</f>
        <v>101</v>
      </c>
      <c r="B130" s="127" t="s">
        <v>2126</v>
      </c>
      <c r="C130" s="128" t="s">
        <v>2127</v>
      </c>
      <c r="D130" s="128" t="s">
        <v>2342</v>
      </c>
      <c r="E130" s="129">
        <v>43194</v>
      </c>
      <c r="F130" s="128" t="s">
        <v>2129</v>
      </c>
      <c r="G130" s="130"/>
      <c r="H130" s="131" t="s">
        <v>2343</v>
      </c>
      <c r="I130" s="132">
        <f>ROUND(56276.5*22775,0)</f>
        <v>1281697288</v>
      </c>
      <c r="J130" s="133">
        <v>0</v>
      </c>
      <c r="K130" s="134">
        <f t="shared" si="5"/>
        <v>0</v>
      </c>
      <c r="L130" s="135"/>
      <c r="M130" s="136"/>
      <c r="N130" s="137"/>
      <c r="O130" s="138"/>
      <c r="P130" s="139"/>
      <c r="Q130" s="139"/>
      <c r="R130" s="139"/>
    </row>
    <row r="131" spans="1:20" s="140" customFormat="1" ht="13.5" customHeight="1">
      <c r="A131" s="126">
        <f>A130+1</f>
        <v>102</v>
      </c>
      <c r="B131" s="127" t="s">
        <v>2126</v>
      </c>
      <c r="C131" s="128" t="s">
        <v>2127</v>
      </c>
      <c r="D131" s="128" t="s">
        <v>2344</v>
      </c>
      <c r="E131" s="129">
        <v>43202</v>
      </c>
      <c r="F131" s="128" t="s">
        <v>2139</v>
      </c>
      <c r="G131" s="130"/>
      <c r="H131" s="131"/>
      <c r="I131" s="132"/>
      <c r="J131" s="133"/>
      <c r="K131" s="134"/>
      <c r="L131" s="135"/>
      <c r="M131" s="136"/>
      <c r="N131" s="137"/>
      <c r="O131" s="138"/>
      <c r="P131" s="139"/>
      <c r="Q131" s="139"/>
      <c r="R131" s="139"/>
    </row>
    <row r="132" spans="1:20" s="140" customFormat="1" ht="13.5" customHeight="1">
      <c r="A132" s="126">
        <f t="shared" ref="A132:A140" si="7">A131+1</f>
        <v>103</v>
      </c>
      <c r="B132" s="127" t="s">
        <v>2126</v>
      </c>
      <c r="C132" s="128" t="s">
        <v>2127</v>
      </c>
      <c r="D132" s="128" t="s">
        <v>2345</v>
      </c>
      <c r="E132" s="129">
        <v>43202</v>
      </c>
      <c r="F132" s="128" t="s">
        <v>2129</v>
      </c>
      <c r="G132" s="130"/>
      <c r="H132" s="131" t="s">
        <v>2346</v>
      </c>
      <c r="I132" s="132">
        <f>ROUND(15814*22755,0)</f>
        <v>359847570</v>
      </c>
      <c r="J132" s="133">
        <v>0</v>
      </c>
      <c r="K132" s="134">
        <f t="shared" si="5"/>
        <v>0</v>
      </c>
      <c r="L132" s="135"/>
      <c r="M132" s="136"/>
      <c r="N132" s="137"/>
      <c r="O132" s="138"/>
      <c r="P132" s="139"/>
      <c r="Q132" s="139"/>
      <c r="R132" s="139"/>
    </row>
    <row r="133" spans="1:20" s="140" customFormat="1" ht="13.5" customHeight="1">
      <c r="A133" s="126">
        <f t="shared" si="7"/>
        <v>104</v>
      </c>
      <c r="B133" s="127" t="s">
        <v>2126</v>
      </c>
      <c r="C133" s="128" t="s">
        <v>2127</v>
      </c>
      <c r="D133" s="128" t="s">
        <v>2347</v>
      </c>
      <c r="E133" s="129">
        <v>43202</v>
      </c>
      <c r="F133" s="128" t="s">
        <v>2129</v>
      </c>
      <c r="G133" s="130"/>
      <c r="H133" s="131" t="s">
        <v>2348</v>
      </c>
      <c r="I133" s="132">
        <f>ROUND(21540.6*22755,0)</f>
        <v>490156353</v>
      </c>
      <c r="J133" s="133">
        <v>0</v>
      </c>
      <c r="K133" s="134">
        <f t="shared" si="5"/>
        <v>0</v>
      </c>
      <c r="L133" s="135"/>
      <c r="M133" s="136"/>
      <c r="N133" s="137"/>
      <c r="O133" s="138"/>
      <c r="P133" s="139"/>
      <c r="Q133" s="139"/>
      <c r="R133" s="139"/>
    </row>
    <row r="134" spans="1:20" s="140" customFormat="1" ht="13.5" customHeight="1">
      <c r="A134" s="126">
        <f t="shared" si="7"/>
        <v>105</v>
      </c>
      <c r="B134" s="127" t="s">
        <v>2126</v>
      </c>
      <c r="C134" s="128" t="s">
        <v>2127</v>
      </c>
      <c r="D134" s="128" t="s">
        <v>2349</v>
      </c>
      <c r="E134" s="129">
        <v>43202</v>
      </c>
      <c r="F134" s="128" t="s">
        <v>2129</v>
      </c>
      <c r="G134" s="130"/>
      <c r="H134" s="131" t="s">
        <v>2350</v>
      </c>
      <c r="I134" s="132">
        <f>ROUND(20992.8*22755,0)</f>
        <v>477691164</v>
      </c>
      <c r="J134" s="133">
        <v>0</v>
      </c>
      <c r="K134" s="134">
        <f t="shared" si="5"/>
        <v>0</v>
      </c>
      <c r="L134" s="135"/>
      <c r="M134" s="136"/>
      <c r="N134" s="137"/>
      <c r="O134" s="138"/>
      <c r="P134" s="139"/>
      <c r="Q134" s="139"/>
      <c r="R134" s="139"/>
    </row>
    <row r="135" spans="1:20" s="140" customFormat="1" ht="13.5" customHeight="1">
      <c r="A135" s="126">
        <f t="shared" si="7"/>
        <v>106</v>
      </c>
      <c r="B135" s="127" t="s">
        <v>2126</v>
      </c>
      <c r="C135" s="128" t="s">
        <v>2127</v>
      </c>
      <c r="D135" s="128" t="s">
        <v>2351</v>
      </c>
      <c r="E135" s="129">
        <v>43202</v>
      </c>
      <c r="F135" s="128" t="s">
        <v>2178</v>
      </c>
      <c r="G135" s="130"/>
      <c r="H135" s="131" t="s">
        <v>2206</v>
      </c>
      <c r="I135" s="132">
        <f>ROUND(9557.4*22755,0)</f>
        <v>217478637</v>
      </c>
      <c r="J135" s="133">
        <v>0</v>
      </c>
      <c r="K135" s="134">
        <f t="shared" si="5"/>
        <v>0</v>
      </c>
      <c r="L135" s="135"/>
      <c r="M135" s="136"/>
      <c r="N135" s="137"/>
      <c r="O135" s="138"/>
      <c r="P135" s="139"/>
      <c r="Q135" s="139"/>
      <c r="R135" s="139"/>
    </row>
    <row r="136" spans="1:20" s="140" customFormat="1" ht="13.5" customHeight="1">
      <c r="A136" s="126">
        <f t="shared" si="7"/>
        <v>107</v>
      </c>
      <c r="B136" s="127" t="s">
        <v>2126</v>
      </c>
      <c r="C136" s="128" t="s">
        <v>2127</v>
      </c>
      <c r="D136" s="128" t="s">
        <v>2352</v>
      </c>
      <c r="E136" s="129">
        <v>43208</v>
      </c>
      <c r="F136" s="128" t="s">
        <v>2129</v>
      </c>
      <c r="G136" s="130"/>
      <c r="H136" s="131" t="s">
        <v>2353</v>
      </c>
      <c r="I136" s="132">
        <f>ROUND(36585*22735,0)</f>
        <v>831759975</v>
      </c>
      <c r="J136" s="133">
        <v>0</v>
      </c>
      <c r="K136" s="134">
        <f>+I136*J136</f>
        <v>0</v>
      </c>
      <c r="L136" s="135"/>
      <c r="M136" s="136"/>
      <c r="N136" s="137"/>
      <c r="O136" s="138"/>
      <c r="P136" s="139"/>
      <c r="Q136" s="139"/>
      <c r="R136" s="139"/>
    </row>
    <row r="137" spans="1:20" s="140" customFormat="1" ht="13.5" customHeight="1">
      <c r="A137" s="126">
        <f t="shared" si="7"/>
        <v>108</v>
      </c>
      <c r="B137" s="127" t="s">
        <v>2126</v>
      </c>
      <c r="C137" s="128" t="s">
        <v>2127</v>
      </c>
      <c r="D137" s="128" t="s">
        <v>2354</v>
      </c>
      <c r="E137" s="129">
        <v>43208</v>
      </c>
      <c r="F137" s="128" t="s">
        <v>2129</v>
      </c>
      <c r="G137" s="130"/>
      <c r="H137" s="131" t="s">
        <v>2355</v>
      </c>
      <c r="I137" s="132">
        <f>ROUND(30259*22735,0)</f>
        <v>687938365</v>
      </c>
      <c r="J137" s="133">
        <v>0</v>
      </c>
      <c r="K137" s="134">
        <f>+I137*J137</f>
        <v>0</v>
      </c>
      <c r="L137" s="135"/>
      <c r="M137" s="136"/>
      <c r="N137" s="137"/>
      <c r="O137" s="138"/>
      <c r="P137" s="139"/>
      <c r="Q137" s="139"/>
      <c r="R137" s="139"/>
    </row>
    <row r="138" spans="1:20" s="140" customFormat="1" ht="13.5" customHeight="1">
      <c r="A138" s="126">
        <f t="shared" si="7"/>
        <v>109</v>
      </c>
      <c r="B138" s="127" t="s">
        <v>2126</v>
      </c>
      <c r="C138" s="128" t="s">
        <v>2127</v>
      </c>
      <c r="D138" s="128" t="s">
        <v>2356</v>
      </c>
      <c r="E138" s="129">
        <v>43210</v>
      </c>
      <c r="F138" s="128" t="s">
        <v>2129</v>
      </c>
      <c r="G138" s="130"/>
      <c r="H138" s="131" t="s">
        <v>2357</v>
      </c>
      <c r="I138" s="132">
        <f>ROUND(26158*22740,0)</f>
        <v>594832920</v>
      </c>
      <c r="J138" s="133">
        <v>0</v>
      </c>
      <c r="K138" s="134">
        <f t="shared" ref="K138:K140" si="8">+I138*J138</f>
        <v>0</v>
      </c>
      <c r="L138" s="135"/>
      <c r="M138" s="136"/>
      <c r="N138" s="137"/>
      <c r="O138" s="138"/>
      <c r="P138" s="139"/>
      <c r="Q138" s="139"/>
      <c r="R138" s="139"/>
    </row>
    <row r="139" spans="1:20" s="140" customFormat="1" ht="13.5" customHeight="1">
      <c r="A139" s="126">
        <f t="shared" si="7"/>
        <v>110</v>
      </c>
      <c r="B139" s="127" t="s">
        <v>2126</v>
      </c>
      <c r="C139" s="128" t="s">
        <v>2127</v>
      </c>
      <c r="D139" s="128" t="s">
        <v>2358</v>
      </c>
      <c r="E139" s="129">
        <v>43214</v>
      </c>
      <c r="F139" s="128" t="s">
        <v>2129</v>
      </c>
      <c r="G139" s="130"/>
      <c r="H139" s="131" t="s">
        <v>2359</v>
      </c>
      <c r="I139" s="132">
        <f>ROUND(67167.3*22735,0)</f>
        <v>1527048566</v>
      </c>
      <c r="J139" s="133">
        <v>0</v>
      </c>
      <c r="K139" s="134">
        <f t="shared" si="8"/>
        <v>0</v>
      </c>
      <c r="L139" s="135"/>
      <c r="M139" s="136"/>
      <c r="N139" s="137"/>
      <c r="O139" s="138"/>
      <c r="P139" s="139"/>
      <c r="Q139" s="139"/>
      <c r="R139" s="139"/>
    </row>
    <row r="140" spans="1:20" s="140" customFormat="1" ht="13.5" customHeight="1">
      <c r="A140" s="126">
        <f t="shared" si="7"/>
        <v>111</v>
      </c>
      <c r="B140" s="127" t="s">
        <v>2126</v>
      </c>
      <c r="C140" s="128" t="s">
        <v>2127</v>
      </c>
      <c r="D140" s="128" t="s">
        <v>2360</v>
      </c>
      <c r="E140" s="129">
        <v>43218</v>
      </c>
      <c r="F140" s="128" t="s">
        <v>2129</v>
      </c>
      <c r="G140" s="130"/>
      <c r="H140" s="131" t="s">
        <v>2361</v>
      </c>
      <c r="I140" s="132">
        <f>ROUND(30079*22730,0)</f>
        <v>683695670</v>
      </c>
      <c r="J140" s="133">
        <v>0</v>
      </c>
      <c r="K140" s="134">
        <f t="shared" si="8"/>
        <v>0</v>
      </c>
      <c r="L140" s="135"/>
      <c r="M140" s="136"/>
      <c r="N140" s="137"/>
      <c r="O140" s="138"/>
      <c r="P140" s="139"/>
      <c r="Q140" s="139"/>
      <c r="R140" s="139"/>
    </row>
    <row r="141" spans="1:20" s="146" customFormat="1" ht="13.5" customHeight="1">
      <c r="A141" s="247" t="s">
        <v>264</v>
      </c>
      <c r="B141" s="247"/>
      <c r="C141" s="247"/>
      <c r="D141" s="247"/>
      <c r="E141" s="247"/>
      <c r="F141" s="247"/>
      <c r="G141" s="247"/>
      <c r="H141" s="247"/>
      <c r="I141" s="141">
        <f>SUM(I130:I140)</f>
        <v>7152146508</v>
      </c>
      <c r="J141" s="142"/>
      <c r="K141" s="141">
        <f>SUM(K132:K137)</f>
        <v>0</v>
      </c>
      <c r="L141" s="143"/>
      <c r="M141" s="144"/>
      <c r="N141" s="145"/>
      <c r="O141" s="144"/>
      <c r="P141" s="145"/>
      <c r="Q141" s="145"/>
      <c r="R141" s="145"/>
      <c r="S141" s="145"/>
      <c r="T141" s="145"/>
    </row>
    <row r="142" spans="1:20" s="149" customFormat="1" ht="15.75" customHeight="1">
      <c r="A142" s="244" t="s">
        <v>2068</v>
      </c>
      <c r="B142" s="244"/>
      <c r="C142" s="244"/>
      <c r="D142" s="244"/>
      <c r="E142" s="244"/>
      <c r="F142" s="244"/>
      <c r="G142" s="244"/>
      <c r="H142" s="244"/>
      <c r="I142" s="66">
        <f>I25+I30+I36+I49+I60+I71+I81+I90+I98+I105+I117+I120+I129+I141</f>
        <v>81131743094</v>
      </c>
      <c r="J142" s="66"/>
      <c r="K142" s="66">
        <f>K25+K30+K36+K49+K60+K71+K81+K90+K98+K105+K117+K120+K129</f>
        <v>2955900</v>
      </c>
      <c r="L142" s="148"/>
    </row>
    <row r="143" spans="1:20" s="149" customFormat="1">
      <c r="A143" s="70"/>
      <c r="B143" s="70"/>
      <c r="C143" s="70"/>
      <c r="D143" s="70"/>
      <c r="E143" s="70"/>
      <c r="F143" s="70"/>
      <c r="G143" s="70"/>
      <c r="H143" s="70"/>
      <c r="I143" s="150"/>
      <c r="J143" s="72"/>
      <c r="K143" s="72"/>
    </row>
    <row r="144" spans="1:20" s="149" customFormat="1">
      <c r="A144" s="70"/>
      <c r="B144" s="70"/>
      <c r="C144" s="70"/>
      <c r="D144" s="70"/>
      <c r="E144" s="70"/>
      <c r="F144" s="70"/>
      <c r="G144" s="70"/>
      <c r="H144" s="70"/>
      <c r="I144" s="245" t="s">
        <v>2362</v>
      </c>
      <c r="J144" s="245"/>
      <c r="K144" s="245"/>
    </row>
    <row r="145" spans="1:20" s="149" customFormat="1">
      <c r="A145" s="237" t="s">
        <v>2077</v>
      </c>
      <c r="B145" s="237"/>
      <c r="C145" s="237"/>
      <c r="D145" s="237"/>
      <c r="E145" s="237"/>
      <c r="F145" s="237" t="s">
        <v>2078</v>
      </c>
      <c r="G145" s="237"/>
      <c r="H145" s="237"/>
      <c r="I145" s="237" t="s">
        <v>2079</v>
      </c>
      <c r="J145" s="237"/>
      <c r="K145" s="237"/>
    </row>
    <row r="146" spans="1:20" s="149" customFormat="1">
      <c r="A146" s="246"/>
      <c r="B146" s="246"/>
      <c r="C146" s="246"/>
      <c r="D146" s="246"/>
      <c r="E146" s="246"/>
      <c r="F146" s="151"/>
      <c r="G146" s="151"/>
      <c r="H146" s="151"/>
      <c r="I146" s="152"/>
      <c r="J146" s="153"/>
      <c r="K146" s="153"/>
    </row>
    <row r="147" spans="1:20" s="149" customFormat="1">
      <c r="A147" s="151"/>
      <c r="B147" s="151"/>
      <c r="C147" s="151"/>
      <c r="D147" s="151"/>
      <c r="E147" s="151"/>
      <c r="F147" s="151"/>
      <c r="G147" s="151"/>
      <c r="H147" s="151"/>
      <c r="I147" s="154"/>
      <c r="J147" s="151"/>
      <c r="K147" s="151"/>
    </row>
    <row r="148" spans="1:20" s="149" customFormat="1">
      <c r="A148" s="151"/>
      <c r="B148" s="151"/>
      <c r="C148" s="151"/>
      <c r="D148" s="151"/>
      <c r="E148" s="151"/>
      <c r="F148" s="151"/>
      <c r="G148" s="151"/>
      <c r="H148" s="151"/>
      <c r="I148" s="155">
        <f>SUBTOTAL(9,I14:I137)</f>
        <v>152305762524</v>
      </c>
      <c r="J148" s="151"/>
      <c r="K148" s="151"/>
    </row>
    <row r="149" spans="1:20" s="149" customFormat="1">
      <c r="A149" s="151"/>
      <c r="B149" s="151"/>
      <c r="C149" s="151"/>
      <c r="D149" s="151"/>
      <c r="E149" s="151"/>
      <c r="F149" s="151"/>
      <c r="G149" s="151"/>
      <c r="H149" s="151"/>
      <c r="I149" s="156"/>
      <c r="J149" s="151"/>
      <c r="K149" s="151"/>
    </row>
    <row r="150" spans="1:20" s="149" customFormat="1">
      <c r="A150" s="151"/>
      <c r="B150" s="151"/>
      <c r="C150" s="151"/>
      <c r="D150" s="151"/>
      <c r="E150" s="151"/>
      <c r="F150" s="151"/>
      <c r="G150" s="151"/>
      <c r="H150" s="151"/>
      <c r="I150" s="157"/>
      <c r="J150" s="151"/>
      <c r="K150" s="151"/>
    </row>
    <row r="151" spans="1:20" s="149" customFormat="1">
      <c r="A151" s="151"/>
      <c r="B151" s="151"/>
      <c r="C151" s="151"/>
      <c r="D151" s="151"/>
      <c r="E151" s="151"/>
      <c r="F151" s="151"/>
      <c r="G151" s="151"/>
      <c r="H151" s="151"/>
      <c r="I151" s="157"/>
      <c r="J151" s="151"/>
      <c r="K151" s="151"/>
    </row>
    <row r="152" spans="1:20" s="149" customFormat="1">
      <c r="A152" s="151"/>
      <c r="B152" s="151"/>
      <c r="C152" s="151"/>
      <c r="D152" s="151"/>
      <c r="E152" s="151"/>
      <c r="F152" s="151"/>
      <c r="G152" s="151"/>
      <c r="H152" s="151"/>
      <c r="I152" s="158"/>
      <c r="J152" s="151"/>
      <c r="K152" s="151"/>
    </row>
    <row r="153" spans="1:20" s="149" customFormat="1">
      <c r="A153" s="151"/>
      <c r="B153" s="151"/>
      <c r="C153" s="151"/>
      <c r="D153" s="151"/>
      <c r="E153" s="151"/>
      <c r="F153" s="237"/>
      <c r="G153" s="237"/>
      <c r="H153" s="237"/>
      <c r="I153" s="159"/>
      <c r="J153" s="159"/>
      <c r="K153" s="159"/>
    </row>
    <row r="154" spans="1:20" s="149" customFormat="1">
      <c r="A154" s="151"/>
      <c r="B154" s="151"/>
      <c r="C154" s="151" t="s">
        <v>2363</v>
      </c>
      <c r="D154" s="151"/>
      <c r="E154" s="151"/>
      <c r="F154" s="151"/>
      <c r="G154" s="151"/>
      <c r="H154" s="151"/>
      <c r="I154" s="159"/>
      <c r="J154" s="151"/>
      <c r="K154" s="151"/>
    </row>
    <row r="155" spans="1:20" s="151" customFormat="1">
      <c r="I155" s="159"/>
      <c r="L155" s="149"/>
      <c r="M155" s="149"/>
      <c r="N155" s="149"/>
      <c r="O155" s="149"/>
      <c r="P155" s="149"/>
      <c r="Q155" s="149"/>
      <c r="R155" s="149"/>
      <c r="S155" s="149"/>
      <c r="T155" s="149"/>
    </row>
    <row r="156" spans="1:20" s="151" customFormat="1">
      <c r="I156" s="157"/>
      <c r="L156" s="149"/>
      <c r="M156" s="149"/>
      <c r="N156" s="149"/>
      <c r="O156" s="149"/>
      <c r="P156" s="149"/>
      <c r="Q156" s="149"/>
      <c r="R156" s="149"/>
      <c r="S156" s="149"/>
      <c r="T156" s="149"/>
    </row>
    <row r="157" spans="1:20" s="151" customFormat="1">
      <c r="I157" s="157"/>
      <c r="L157" s="149"/>
      <c r="M157" s="149"/>
      <c r="N157" s="149"/>
      <c r="O157" s="149"/>
      <c r="P157" s="149"/>
      <c r="Q157" s="149"/>
      <c r="R157" s="149"/>
      <c r="S157" s="149"/>
      <c r="T157" s="149"/>
    </row>
    <row r="158" spans="1:20" s="151" customFormat="1">
      <c r="I158" s="155"/>
      <c r="L158" s="149"/>
      <c r="M158" s="149"/>
      <c r="N158" s="149"/>
      <c r="O158" s="149"/>
      <c r="P158" s="149"/>
      <c r="Q158" s="149"/>
      <c r="R158" s="149"/>
      <c r="S158" s="149"/>
      <c r="T158" s="149"/>
    </row>
    <row r="159" spans="1:20" s="151" customFormat="1">
      <c r="I159" s="158"/>
      <c r="L159" s="149"/>
      <c r="M159" s="149"/>
      <c r="N159" s="149"/>
      <c r="O159" s="149"/>
      <c r="P159" s="149"/>
      <c r="Q159" s="149"/>
      <c r="R159" s="149"/>
      <c r="S159" s="149"/>
      <c r="T159" s="149"/>
    </row>
    <row r="160" spans="1:20" s="151" customFormat="1">
      <c r="I160" s="157"/>
      <c r="L160" s="149"/>
      <c r="M160" s="149"/>
      <c r="N160" s="149"/>
      <c r="O160" s="149"/>
      <c r="P160" s="149"/>
      <c r="Q160" s="149"/>
      <c r="R160" s="149"/>
      <c r="S160" s="149"/>
      <c r="T160" s="149"/>
    </row>
    <row r="161" spans="1:20" s="151" customFormat="1">
      <c r="I161" s="160"/>
      <c r="L161" s="149"/>
      <c r="M161" s="149"/>
      <c r="N161" s="149"/>
      <c r="O161" s="149"/>
      <c r="P161" s="149"/>
      <c r="Q161" s="149"/>
      <c r="R161" s="149"/>
      <c r="S161" s="149"/>
      <c r="T161" s="149"/>
    </row>
    <row r="162" spans="1:20" s="151" customFormat="1">
      <c r="I162" s="157"/>
      <c r="L162" s="149"/>
      <c r="M162" s="149"/>
      <c r="N162" s="149"/>
      <c r="O162" s="149"/>
      <c r="P162" s="149"/>
      <c r="Q162" s="149"/>
      <c r="R162" s="149"/>
      <c r="S162" s="149"/>
      <c r="T162" s="149"/>
    </row>
    <row r="163" spans="1:20" s="151" customFormat="1">
      <c r="I163" s="157"/>
      <c r="L163" s="149"/>
      <c r="M163" s="149"/>
      <c r="N163" s="149"/>
      <c r="O163" s="149"/>
      <c r="P163" s="149"/>
      <c r="Q163" s="149"/>
      <c r="R163" s="149"/>
      <c r="S163" s="149"/>
      <c r="T163" s="149"/>
    </row>
    <row r="164" spans="1:20" s="151" customFormat="1">
      <c r="I164" s="157"/>
      <c r="L164" s="149"/>
      <c r="M164" s="149"/>
      <c r="N164" s="149"/>
      <c r="O164" s="149"/>
      <c r="P164" s="149"/>
      <c r="Q164" s="149"/>
      <c r="R164" s="149"/>
      <c r="S164" s="149"/>
      <c r="T164" s="149"/>
    </row>
    <row r="165" spans="1:20" s="151" customFormat="1">
      <c r="I165" s="157"/>
      <c r="L165" s="149"/>
      <c r="M165" s="149"/>
      <c r="N165" s="149"/>
      <c r="O165" s="149"/>
      <c r="P165" s="149"/>
      <c r="Q165" s="149"/>
      <c r="R165" s="149"/>
      <c r="S165" s="149"/>
      <c r="T165" s="149"/>
    </row>
    <row r="166" spans="1:20" s="151" customFormat="1">
      <c r="I166" s="157"/>
      <c r="L166" s="149"/>
      <c r="M166" s="149"/>
      <c r="N166" s="149"/>
      <c r="O166" s="149"/>
      <c r="P166" s="149"/>
      <c r="Q166" s="149"/>
      <c r="R166" s="149"/>
      <c r="S166" s="149"/>
      <c r="T166" s="149"/>
    </row>
    <row r="167" spans="1:20" s="151" customFormat="1">
      <c r="I167" s="157"/>
      <c r="L167" s="149"/>
      <c r="M167" s="149"/>
      <c r="N167" s="149"/>
      <c r="O167" s="149"/>
      <c r="P167" s="149"/>
      <c r="Q167" s="149"/>
      <c r="R167" s="149"/>
      <c r="S167" s="149"/>
      <c r="T167" s="149"/>
    </row>
    <row r="168" spans="1:20" s="151" customFormat="1">
      <c r="I168" s="157"/>
      <c r="L168" s="149"/>
      <c r="M168" s="149"/>
      <c r="N168" s="149"/>
      <c r="O168" s="149"/>
      <c r="P168" s="149"/>
      <c r="Q168" s="149"/>
      <c r="R168" s="149"/>
      <c r="S168" s="149"/>
      <c r="T168" s="149"/>
    </row>
    <row r="169" spans="1:20" s="151" customFormat="1">
      <c r="I169" s="157"/>
      <c r="L169" s="149"/>
      <c r="M169" s="149"/>
      <c r="N169" s="149"/>
      <c r="O169" s="149"/>
      <c r="P169" s="149"/>
      <c r="Q169" s="149"/>
      <c r="R169" s="149"/>
      <c r="S169" s="149"/>
      <c r="T169" s="149"/>
    </row>
    <row r="170" spans="1:20" s="151" customFormat="1">
      <c r="I170" s="157"/>
      <c r="L170" s="149"/>
      <c r="M170" s="149"/>
      <c r="N170" s="149"/>
      <c r="O170" s="149"/>
      <c r="P170" s="149"/>
      <c r="Q170" s="149"/>
      <c r="R170" s="149"/>
      <c r="S170" s="149"/>
      <c r="T170" s="149"/>
    </row>
    <row r="171" spans="1:20" s="151" customFormat="1">
      <c r="I171" s="157"/>
      <c r="L171" s="149"/>
      <c r="M171" s="149"/>
      <c r="N171" s="149"/>
      <c r="O171" s="149"/>
      <c r="P171" s="149"/>
      <c r="Q171" s="149"/>
      <c r="R171" s="149"/>
      <c r="S171" s="149"/>
      <c r="T171" s="149"/>
    </row>
    <row r="172" spans="1:20" s="151" customFormat="1">
      <c r="I172" s="157"/>
      <c r="L172" s="149"/>
      <c r="M172" s="149"/>
      <c r="N172" s="149"/>
      <c r="O172" s="149"/>
      <c r="P172" s="149"/>
      <c r="Q172" s="149"/>
      <c r="R172" s="149"/>
      <c r="S172" s="149"/>
      <c r="T172" s="149"/>
    </row>
    <row r="173" spans="1:20" s="151" customFormat="1">
      <c r="L173" s="149"/>
      <c r="M173" s="149"/>
      <c r="N173" s="149"/>
      <c r="O173" s="149"/>
      <c r="P173" s="149"/>
      <c r="Q173" s="149"/>
      <c r="R173" s="149"/>
      <c r="S173" s="149"/>
      <c r="T173" s="149"/>
    </row>
    <row r="174" spans="1:20" s="151" customFormat="1">
      <c r="I174" s="161"/>
      <c r="L174" s="149"/>
      <c r="M174" s="149"/>
      <c r="N174" s="149"/>
      <c r="O174" s="149"/>
      <c r="P174" s="149"/>
      <c r="Q174" s="149"/>
      <c r="R174" s="149"/>
      <c r="S174" s="149"/>
      <c r="T174" s="149"/>
    </row>
    <row r="175" spans="1:20" s="149" customFormat="1">
      <c r="A175" s="151"/>
      <c r="B175" s="151"/>
      <c r="C175" s="151"/>
      <c r="D175" s="151"/>
      <c r="E175" s="151"/>
      <c r="F175" s="151"/>
      <c r="G175" s="151"/>
      <c r="H175" s="151"/>
      <c r="I175" s="157"/>
      <c r="J175" s="151"/>
      <c r="K175" s="151"/>
    </row>
    <row r="176" spans="1:20" s="151" customFormat="1">
      <c r="I176" s="162"/>
      <c r="L176" s="149"/>
      <c r="M176" s="149"/>
      <c r="N176" s="149"/>
      <c r="O176" s="149"/>
      <c r="P176" s="149"/>
      <c r="Q176" s="149"/>
      <c r="R176" s="149"/>
      <c r="S176" s="149"/>
      <c r="T176" s="149"/>
    </row>
    <row r="177" spans="1:20" s="151" customFormat="1">
      <c r="I177" s="157"/>
      <c r="L177" s="149"/>
      <c r="M177" s="149"/>
      <c r="N177" s="149"/>
      <c r="O177" s="149"/>
      <c r="P177" s="149"/>
      <c r="Q177" s="149"/>
      <c r="R177" s="149"/>
      <c r="S177" s="149"/>
      <c r="T177" s="149"/>
    </row>
    <row r="178" spans="1:20" s="149" customFormat="1">
      <c r="A178" s="151"/>
      <c r="B178" s="151"/>
      <c r="C178" s="151"/>
      <c r="D178" s="151"/>
      <c r="E178" s="151"/>
      <c r="F178" s="151"/>
      <c r="G178" s="151"/>
      <c r="H178" s="151"/>
      <c r="I178" s="163"/>
      <c r="J178" s="151"/>
      <c r="K178" s="151"/>
    </row>
    <row r="179" spans="1:20" s="149" customFormat="1">
      <c r="A179" s="151"/>
      <c r="B179" s="151"/>
      <c r="C179" s="151"/>
      <c r="D179" s="151"/>
      <c r="E179" s="151"/>
      <c r="F179" s="151"/>
      <c r="G179" s="151"/>
      <c r="H179" s="151"/>
      <c r="I179" s="151"/>
      <c r="J179" s="151"/>
      <c r="K179" s="151"/>
    </row>
    <row r="180" spans="1:20" s="149" customFormat="1">
      <c r="A180" s="151"/>
      <c r="B180" s="151"/>
      <c r="C180" s="151"/>
      <c r="D180" s="151"/>
      <c r="E180" s="151"/>
      <c r="F180" s="151"/>
      <c r="G180" s="151"/>
      <c r="H180" s="151"/>
      <c r="I180" s="151"/>
      <c r="J180" s="151"/>
      <c r="K180" s="151"/>
    </row>
    <row r="181" spans="1:20" s="149" customFormat="1">
      <c r="A181" s="151"/>
      <c r="B181" s="151"/>
      <c r="C181" s="151"/>
      <c r="D181" s="151"/>
      <c r="E181" s="151"/>
      <c r="F181" s="151"/>
      <c r="G181" s="151"/>
      <c r="H181" s="151"/>
      <c r="I181" s="151"/>
      <c r="J181" s="151"/>
      <c r="K181" s="151"/>
    </row>
    <row r="182" spans="1:20" s="149" customFormat="1">
      <c r="A182" s="151"/>
      <c r="B182" s="151"/>
      <c r="C182" s="151"/>
      <c r="D182" s="151"/>
      <c r="E182" s="151"/>
      <c r="F182" s="151"/>
      <c r="G182" s="151"/>
      <c r="H182" s="151"/>
      <c r="I182" s="151"/>
      <c r="J182" s="151"/>
      <c r="K182" s="151"/>
    </row>
    <row r="183" spans="1:20" s="149" customFormat="1">
      <c r="A183" s="151"/>
      <c r="B183" s="151"/>
      <c r="C183" s="151"/>
      <c r="D183" s="151"/>
      <c r="E183" s="151"/>
      <c r="F183" s="151"/>
      <c r="G183" s="151"/>
      <c r="H183" s="151"/>
      <c r="I183" s="151"/>
      <c r="J183" s="151"/>
      <c r="K183" s="151"/>
    </row>
    <row r="184" spans="1:20" s="149" customFormat="1">
      <c r="A184" s="151"/>
      <c r="B184" s="151"/>
      <c r="C184" s="151"/>
      <c r="D184" s="151"/>
      <c r="E184" s="151"/>
      <c r="F184" s="151"/>
      <c r="G184" s="151"/>
      <c r="H184" s="151"/>
      <c r="I184" s="151"/>
      <c r="J184" s="151"/>
      <c r="K184" s="151"/>
    </row>
    <row r="185" spans="1:20" s="149" customFormat="1">
      <c r="A185" s="151"/>
      <c r="B185" s="151"/>
      <c r="C185" s="151"/>
      <c r="D185" s="151"/>
      <c r="E185" s="151"/>
      <c r="F185" s="151"/>
      <c r="G185" s="151"/>
      <c r="H185" s="151"/>
      <c r="I185" s="151"/>
      <c r="J185" s="151"/>
      <c r="K185" s="151"/>
    </row>
    <row r="186" spans="1:20" s="149" customFormat="1">
      <c r="A186" s="151"/>
      <c r="B186" s="151"/>
      <c r="C186" s="151"/>
      <c r="D186" s="151"/>
      <c r="E186" s="151"/>
      <c r="F186" s="151"/>
      <c r="G186" s="151"/>
      <c r="H186" s="151"/>
      <c r="I186" s="151"/>
      <c r="J186" s="151"/>
      <c r="K186" s="151"/>
    </row>
    <row r="187" spans="1:20" s="149" customFormat="1">
      <c r="A187" s="151"/>
      <c r="B187" s="151"/>
      <c r="C187" s="151"/>
      <c r="D187" s="151"/>
      <c r="E187" s="151"/>
      <c r="F187" s="151"/>
      <c r="G187" s="151"/>
      <c r="H187" s="151"/>
      <c r="I187" s="151"/>
      <c r="J187" s="151"/>
      <c r="K187" s="151"/>
    </row>
    <row r="188" spans="1:20" s="149" customFormat="1">
      <c r="A188" s="151"/>
      <c r="B188" s="151"/>
      <c r="C188" s="151"/>
      <c r="D188" s="151"/>
      <c r="E188" s="151"/>
      <c r="F188" s="151"/>
      <c r="G188" s="151"/>
      <c r="H188" s="151"/>
      <c r="I188" s="151"/>
      <c r="J188" s="151"/>
      <c r="K188" s="151"/>
    </row>
    <row r="189" spans="1:20" s="149" customFormat="1">
      <c r="A189" s="151"/>
      <c r="B189" s="151"/>
      <c r="C189" s="151"/>
      <c r="D189" s="151"/>
      <c r="E189" s="151"/>
      <c r="F189" s="151"/>
      <c r="G189" s="151"/>
      <c r="H189" s="151"/>
      <c r="I189" s="151"/>
      <c r="J189" s="151"/>
      <c r="K189" s="151"/>
    </row>
    <row r="190" spans="1:20" s="149" customFormat="1">
      <c r="A190" s="151"/>
      <c r="B190" s="151"/>
      <c r="C190" s="151"/>
      <c r="D190" s="151"/>
      <c r="E190" s="151"/>
      <c r="F190" s="151"/>
      <c r="G190" s="151"/>
      <c r="H190" s="151"/>
      <c r="I190" s="151"/>
      <c r="J190" s="151"/>
      <c r="K190" s="151"/>
    </row>
    <row r="191" spans="1:20" s="149" customFormat="1">
      <c r="A191" s="151"/>
      <c r="B191" s="151"/>
      <c r="C191" s="151"/>
      <c r="D191" s="151"/>
      <c r="E191" s="151"/>
      <c r="F191" s="151"/>
      <c r="G191" s="151"/>
      <c r="H191" s="151"/>
      <c r="I191" s="151"/>
      <c r="J191" s="151"/>
      <c r="K191" s="151"/>
    </row>
    <row r="192" spans="1:20" s="149" customFormat="1">
      <c r="A192" s="151"/>
      <c r="B192" s="151"/>
      <c r="C192" s="151"/>
      <c r="D192" s="151"/>
      <c r="E192" s="151"/>
      <c r="F192" s="151"/>
      <c r="G192" s="151"/>
      <c r="H192" s="151"/>
      <c r="I192" s="151"/>
      <c r="J192" s="151"/>
      <c r="K192" s="151"/>
    </row>
    <row r="193" spans="1:11" s="149" customFormat="1">
      <c r="A193" s="151"/>
      <c r="B193" s="151"/>
      <c r="C193" s="151"/>
      <c r="D193" s="151"/>
      <c r="E193" s="151"/>
      <c r="F193" s="151"/>
      <c r="G193" s="151"/>
      <c r="H193" s="151"/>
      <c r="I193" s="151"/>
      <c r="J193" s="151"/>
      <c r="K193" s="151"/>
    </row>
    <row r="194" spans="1:11" s="149" customFormat="1">
      <c r="A194" s="151"/>
      <c r="B194" s="151"/>
      <c r="C194" s="151"/>
      <c r="D194" s="151"/>
      <c r="E194" s="151"/>
      <c r="F194" s="151"/>
      <c r="G194" s="151"/>
      <c r="H194" s="151"/>
      <c r="I194" s="151"/>
      <c r="J194" s="151"/>
      <c r="K194" s="151"/>
    </row>
    <row r="195" spans="1:11" s="149" customFormat="1">
      <c r="A195" s="151"/>
      <c r="B195" s="151"/>
      <c r="C195" s="151"/>
      <c r="D195" s="151"/>
      <c r="E195" s="151"/>
      <c r="F195" s="151"/>
      <c r="G195" s="151"/>
      <c r="H195" s="151"/>
      <c r="I195" s="151"/>
      <c r="J195" s="151"/>
      <c r="K195" s="151"/>
    </row>
    <row r="196" spans="1:11" s="149" customFormat="1">
      <c r="A196" s="151"/>
      <c r="B196" s="151"/>
      <c r="C196" s="151"/>
      <c r="D196" s="151"/>
      <c r="E196" s="151"/>
      <c r="F196" s="151"/>
      <c r="G196" s="151"/>
      <c r="H196" s="151"/>
      <c r="I196" s="151"/>
      <c r="J196" s="151"/>
      <c r="K196" s="151"/>
    </row>
    <row r="197" spans="1:11" s="149" customFormat="1">
      <c r="A197" s="151"/>
      <c r="B197" s="151"/>
      <c r="C197" s="151"/>
      <c r="D197" s="151"/>
      <c r="E197" s="151"/>
      <c r="F197" s="151"/>
      <c r="G197" s="151"/>
      <c r="H197" s="151"/>
      <c r="I197" s="151"/>
      <c r="J197" s="151"/>
      <c r="K197" s="151"/>
    </row>
    <row r="198" spans="1:11" s="149" customFormat="1">
      <c r="A198" s="151"/>
      <c r="B198" s="151"/>
      <c r="C198" s="151"/>
      <c r="D198" s="151"/>
      <c r="E198" s="151"/>
      <c r="F198" s="151"/>
      <c r="G198" s="151"/>
      <c r="H198" s="151"/>
      <c r="I198" s="151"/>
      <c r="J198" s="151"/>
      <c r="K198" s="151"/>
    </row>
    <row r="199" spans="1:11" s="149" customFormat="1">
      <c r="A199" s="151"/>
      <c r="B199" s="151"/>
      <c r="C199" s="151"/>
      <c r="D199" s="151"/>
      <c r="E199" s="151"/>
      <c r="F199" s="151"/>
      <c r="G199" s="151"/>
      <c r="H199" s="151"/>
      <c r="I199" s="151"/>
      <c r="J199" s="151"/>
      <c r="K199" s="151"/>
    </row>
    <row r="200" spans="1:11" s="149" customFormat="1">
      <c r="A200" s="151"/>
      <c r="B200" s="151"/>
      <c r="C200" s="151"/>
      <c r="D200" s="151"/>
      <c r="E200" s="151"/>
      <c r="F200" s="151"/>
      <c r="G200" s="151"/>
      <c r="H200" s="151"/>
      <c r="I200" s="151"/>
      <c r="J200" s="151"/>
      <c r="K200" s="151"/>
    </row>
    <row r="201" spans="1:11" s="149" customFormat="1">
      <c r="A201" s="151"/>
      <c r="B201" s="151"/>
      <c r="C201" s="151"/>
      <c r="D201" s="151"/>
      <c r="E201" s="151"/>
      <c r="F201" s="151"/>
      <c r="G201" s="151"/>
      <c r="H201" s="151"/>
      <c r="I201" s="151"/>
      <c r="J201" s="151"/>
      <c r="K201" s="151"/>
    </row>
    <row r="202" spans="1:11" s="149" customFormat="1">
      <c r="A202" s="151"/>
      <c r="B202" s="151"/>
      <c r="C202" s="151"/>
      <c r="D202" s="151"/>
      <c r="E202" s="151"/>
      <c r="F202" s="151"/>
      <c r="G202" s="151"/>
      <c r="H202" s="151"/>
      <c r="I202" s="151"/>
      <c r="J202" s="151"/>
      <c r="K202" s="151"/>
    </row>
    <row r="203" spans="1:11" s="149" customFormat="1">
      <c r="A203" s="151"/>
      <c r="B203" s="151"/>
      <c r="C203" s="151"/>
      <c r="D203" s="151"/>
      <c r="E203" s="151"/>
      <c r="F203" s="151"/>
      <c r="G203" s="151"/>
      <c r="H203" s="151"/>
      <c r="I203" s="151"/>
      <c r="J203" s="151"/>
      <c r="K203" s="151"/>
    </row>
    <row r="204" spans="1:11" s="149" customFormat="1">
      <c r="A204" s="151"/>
      <c r="B204" s="151"/>
      <c r="C204" s="151"/>
      <c r="D204" s="151"/>
      <c r="E204" s="151"/>
      <c r="F204" s="151"/>
      <c r="G204" s="151"/>
      <c r="H204" s="151"/>
      <c r="I204" s="151"/>
      <c r="J204" s="151"/>
      <c r="K204" s="151"/>
    </row>
    <row r="205" spans="1:11" s="149" customFormat="1">
      <c r="A205" s="151"/>
      <c r="B205" s="151"/>
      <c r="C205" s="151"/>
      <c r="D205" s="151"/>
      <c r="E205" s="151"/>
      <c r="F205" s="151"/>
      <c r="G205" s="151"/>
      <c r="H205" s="151"/>
      <c r="I205" s="151"/>
      <c r="J205" s="151"/>
      <c r="K205" s="151"/>
    </row>
    <row r="206" spans="1:11" s="149" customFormat="1">
      <c r="A206" s="151"/>
      <c r="B206" s="151"/>
      <c r="C206" s="151"/>
      <c r="D206" s="151"/>
      <c r="E206" s="151"/>
      <c r="F206" s="151"/>
      <c r="G206" s="151"/>
      <c r="H206" s="151"/>
      <c r="I206" s="151"/>
      <c r="J206" s="151"/>
      <c r="K206" s="151"/>
    </row>
    <row r="207" spans="1:11" s="149" customFormat="1">
      <c r="A207" s="151"/>
      <c r="B207" s="151"/>
      <c r="C207" s="151"/>
      <c r="D207" s="151"/>
      <c r="E207" s="151"/>
      <c r="F207" s="151"/>
      <c r="G207" s="151"/>
      <c r="H207" s="151"/>
      <c r="I207" s="151"/>
      <c r="J207" s="151"/>
      <c r="K207" s="151"/>
    </row>
    <row r="208" spans="1:11" s="149" customFormat="1">
      <c r="A208" s="151"/>
      <c r="B208" s="151"/>
      <c r="C208" s="151"/>
      <c r="D208" s="151"/>
      <c r="E208" s="151"/>
      <c r="F208" s="151"/>
      <c r="G208" s="151"/>
      <c r="H208" s="151"/>
      <c r="I208" s="151"/>
      <c r="J208" s="151"/>
      <c r="K208" s="151"/>
    </row>
    <row r="209" spans="1:11" s="149" customFormat="1">
      <c r="A209" s="151"/>
      <c r="B209" s="151"/>
      <c r="C209" s="151"/>
      <c r="D209" s="151"/>
      <c r="E209" s="151"/>
      <c r="F209" s="151"/>
      <c r="G209" s="151"/>
      <c r="H209" s="151"/>
      <c r="I209" s="151"/>
      <c r="J209" s="151"/>
      <c r="K209" s="151"/>
    </row>
    <row r="210" spans="1:11" s="149" customFormat="1">
      <c r="A210" s="151"/>
      <c r="B210" s="151"/>
      <c r="C210" s="151"/>
      <c r="D210" s="151"/>
      <c r="E210" s="151"/>
      <c r="F210" s="151"/>
      <c r="G210" s="151"/>
      <c r="H210" s="151"/>
      <c r="I210" s="151"/>
      <c r="J210" s="151"/>
      <c r="K210" s="151"/>
    </row>
    <row r="211" spans="1:11" s="149" customFormat="1">
      <c r="A211" s="151"/>
      <c r="B211" s="151"/>
      <c r="C211" s="151"/>
      <c r="D211" s="151"/>
      <c r="E211" s="151"/>
      <c r="F211" s="151"/>
      <c r="G211" s="151"/>
      <c r="H211" s="151"/>
      <c r="I211" s="151"/>
      <c r="J211" s="151"/>
      <c r="K211" s="151"/>
    </row>
  </sheetData>
  <autoFilter ref="A13:WVU142" xr:uid="{00000000-0009-0000-0000-000002000000}"/>
  <mergeCells count="35">
    <mergeCell ref="A30:H30"/>
    <mergeCell ref="A1:L1"/>
    <mergeCell ref="C2:L2"/>
    <mergeCell ref="C3:L3"/>
    <mergeCell ref="A4:L4"/>
    <mergeCell ref="A9:K9"/>
    <mergeCell ref="A10:A12"/>
    <mergeCell ref="B10:E11"/>
    <mergeCell ref="F10:F12"/>
    <mergeCell ref="G10:G12"/>
    <mergeCell ref="H10:H12"/>
    <mergeCell ref="I10:I12"/>
    <mergeCell ref="J10:J12"/>
    <mergeCell ref="K10:K12"/>
    <mergeCell ref="L10:L12"/>
    <mergeCell ref="A25:H25"/>
    <mergeCell ref="A141:H141"/>
    <mergeCell ref="A36:H36"/>
    <mergeCell ref="A49:H49"/>
    <mergeCell ref="A60:H60"/>
    <mergeCell ref="A71:H71"/>
    <mergeCell ref="A81:H81"/>
    <mergeCell ref="A90:H90"/>
    <mergeCell ref="A98:H98"/>
    <mergeCell ref="A105:H105"/>
    <mergeCell ref="A117:H117"/>
    <mergeCell ref="A120:H120"/>
    <mergeCell ref="A129:H129"/>
    <mergeCell ref="F153:H153"/>
    <mergeCell ref="A142:H142"/>
    <mergeCell ref="I144:K144"/>
    <mergeCell ref="A145:E145"/>
    <mergeCell ref="F145:H145"/>
    <mergeCell ref="I145:K145"/>
    <mergeCell ref="A146:E146"/>
  </mergeCells>
  <pageMargins left="0.42" right="0.19" top="0.5" bottom="0.31" header="0.17" footer="0"/>
  <pageSetup paperSize="9" scale="86"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mua vao tren 500 vat</vt:lpstr>
      <vt:lpstr>mua vao</vt:lpstr>
      <vt:lpstr>ban ra</vt:lpstr>
      <vt:lpstr>'ban ra'!Print_Area</vt:lpstr>
      <vt:lpstr>'mua vao'!Print_Area</vt:lpstr>
      <vt:lpstr>'mua vao tren 500 vat'!Print_Area</vt:lpstr>
      <vt:lpstr>'ban ra'!Print_Titles</vt:lpstr>
      <vt:lpstr>'mua vao'!Print_Titles</vt:lpstr>
      <vt:lpstr>'mua vao tren 500 vat'!Print_Titles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dc:creator>
  <cp:lastModifiedBy>Thom Nguyen</cp:lastModifiedBy>
  <dcterms:created xsi:type="dcterms:W3CDTF">2018-05-23T02:03:09Z</dcterms:created>
  <dcterms:modified xsi:type="dcterms:W3CDTF">2019-04-07T22:58:40Z</dcterms:modified>
</cp:coreProperties>
</file>