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oM" sheetId="1" r:id="rId1"/>
    <sheet name="Costs" sheetId="2" r:id="rId2"/>
    <sheet name="Specs" sheetId="3" r:id="rId3"/>
    <sheet name="Colors" sheetId="4" r:id="rId4"/>
  </sheets>
  <definedNames>
    <definedName name="BoardQty" localSheetId="1">'Costs'!$H$2</definedName>
    <definedName name="_xlnm.Print_Titles" localSheetId="0">BoM!$9:$9</definedName>
    <definedName name="PURCHASE_DESCRIPTION" localSheetId="1">'Costs'!$H$83</definedName>
    <definedName name="TotalCost" localSheetId="1">'Costs'!$H$4</definedName>
    <definedName name="USD_CHF" localSheetId="1">'Costs'!$C$83</definedName>
  </definedNames>
  <calcPr calcId="124519" fullCalcOnLoad="1"/>
</workbook>
</file>

<file path=xl/comments1.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N4" authorId="0">
      <text>
        <r>
          <rPr>
            <sz val="8"/>
            <color indexed="81"/>
            <rFont val="Tahoma"/>
            <family val="2"/>
          </rPr>
          <t>Number of parts found at this distributor.</t>
        </r>
      </text>
    </comment>
    <comment ref="T4" authorId="0">
      <text>
        <r>
          <rPr>
            <sz val="8"/>
            <color indexed="81"/>
            <rFont val="Tahoma"/>
            <family val="2"/>
          </rPr>
          <t>Number of parts found at this distributor.</t>
        </r>
      </text>
    </comment>
    <comment ref="Z4" authorId="0">
      <text>
        <r>
          <rPr>
            <sz val="8"/>
            <color indexed="81"/>
            <rFont val="Tahoma"/>
            <family val="2"/>
          </rPr>
          <t>Number of parts found at this distributor.</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PCB footprint for each part.</t>
        </r>
      </text>
    </comment>
    <comment ref="D9" authorId="0">
      <text>
        <r>
          <rPr>
            <sz val="8"/>
            <color indexed="81"/>
            <rFont val="Tahoma"/>
            <family val="2"/>
          </rPr>
          <t>Manufacturer of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 ref="I9" authorId="0">
      <text>
        <r>
          <rPr>
            <sz val="8"/>
            <color indexed="81"/>
            <rFont val="Tahoma"/>
            <family val="2"/>
          </rPr>
          <t>Available quantity of each part at the distributor.
Red -&gt; No quantity available.
Orange -&gt; Too little quantity available.</t>
        </r>
      </text>
    </comment>
    <comment ref="J9" authorId="0">
      <text>
        <r>
          <rPr>
            <sz val="8"/>
            <color indexed="81"/>
            <rFont val="Tahoma"/>
            <family val="2"/>
          </rPr>
          <t>Purchase quantity of each part from this distributor.
Yellow -&gt; This part have a minimum purchase quantity bigger than 1 (check the price breaks).
Red -&gt; Purchasing more than the available quantity.</t>
        </r>
      </text>
    </comment>
    <comment ref="K9" authorId="0">
      <text>
        <r>
          <rPr>
            <sz val="8"/>
            <color indexed="81"/>
            <rFont val="Tahoma"/>
            <family val="2"/>
          </rPr>
          <t>Unit price of each part from this distributor.
Green -&gt; lowest price across distributors.</t>
        </r>
      </text>
    </comment>
    <comment ref="L9" authorId="0">
      <text>
        <r>
          <rPr>
            <sz val="8"/>
            <color indexed="81"/>
            <rFont val="Tahoma"/>
            <family val="2"/>
          </rPr>
          <t>Minimum Order Quantity. You must buy at least this ammount of components.</t>
        </r>
      </text>
    </comment>
    <comment ref="M9" authorId="0">
      <text>
        <r>
          <rPr>
            <sz val="8"/>
            <color indexed="81"/>
            <rFont val="Tahoma"/>
            <family val="2"/>
          </rPr>
          <t>(Unit Price) x (Purchase Qty) of each part from this distributor.
Red -&gt; Next price break is cheaper.
Green -&gt; Cheapest supplier.</t>
        </r>
      </text>
    </comment>
    <comment ref="N9" authorId="0">
      <text>
        <r>
          <rPr>
            <sz val="8"/>
            <color indexed="81"/>
            <rFont val="Tahoma"/>
            <family val="2"/>
          </rPr>
          <t>Distributor-assigned catalog number for each part and link to it's web page (ctrl-click). Extra distributor data is shown as comment.</t>
        </r>
      </text>
    </comment>
    <comment ref="O9" authorId="0">
      <text>
        <r>
          <rPr>
            <sz val="8"/>
            <color indexed="81"/>
            <rFont val="Tahoma"/>
            <family val="2"/>
          </rPr>
          <t>Available quantity of each part at the distributor.
Red -&gt; No quantity available.
Orange -&gt; Too little quantity available.</t>
        </r>
      </text>
    </comment>
    <comment ref="P9" authorId="0">
      <text>
        <r>
          <rPr>
            <sz val="8"/>
            <color indexed="81"/>
            <rFont val="Tahoma"/>
            <family val="2"/>
          </rPr>
          <t>Purchase quantity of each part from this distributor.
Yellow -&gt; This part have a minimum purchase quantity bigger than 1 (check the price breaks).
Red -&gt; Purchasing more than the available quantity.</t>
        </r>
      </text>
    </comment>
    <comment ref="Q9" authorId="0">
      <text>
        <r>
          <rPr>
            <sz val="8"/>
            <color indexed="81"/>
            <rFont val="Tahoma"/>
            <family val="2"/>
          </rPr>
          <t>Unit price of each part from this distributor.
Green -&gt; lowest price across distributors.</t>
        </r>
      </text>
    </comment>
    <comment ref="R9" authorId="0">
      <text>
        <r>
          <rPr>
            <sz val="8"/>
            <color indexed="81"/>
            <rFont val="Tahoma"/>
            <family val="2"/>
          </rPr>
          <t>Minimum Order Quantity. You must buy at least this ammount of components.</t>
        </r>
      </text>
    </comment>
    <comment ref="S9" authorId="0">
      <text>
        <r>
          <rPr>
            <sz val="8"/>
            <color indexed="81"/>
            <rFont val="Tahoma"/>
            <family val="2"/>
          </rPr>
          <t>(Unit Price) x (Purchase Qty) of each part from this distributor.
Red -&gt; Next price break is cheaper.
Green -&gt; Cheapest supplier.</t>
        </r>
      </text>
    </comment>
    <comment ref="T9" authorId="0">
      <text>
        <r>
          <rPr>
            <sz val="8"/>
            <color indexed="81"/>
            <rFont val="Tahoma"/>
            <family val="2"/>
          </rPr>
          <t>Distributor-assigned catalog number for each part and link to it's web page (ctrl-click). Extra distributor data is shown as comment.</t>
        </r>
      </text>
    </comment>
    <comment ref="U9" authorId="0">
      <text>
        <r>
          <rPr>
            <sz val="8"/>
            <color indexed="81"/>
            <rFont val="Tahoma"/>
            <family val="2"/>
          </rPr>
          <t>Available quantity of each part at the distributor.
Red -&gt; No quantity available.
Orange -&gt; Too little quantity available.</t>
        </r>
      </text>
    </comment>
    <comment ref="V9" authorId="0">
      <text>
        <r>
          <rPr>
            <sz val="8"/>
            <color indexed="81"/>
            <rFont val="Tahoma"/>
            <family val="2"/>
          </rPr>
          <t>Purchase quantity of each part from this distributor.
Yellow -&gt; This part have a minimum purchase quantity bigger than 1 (check the price breaks).
Red -&gt; Purchasing more than the available quantity.</t>
        </r>
      </text>
    </comment>
    <comment ref="W9" authorId="0">
      <text>
        <r>
          <rPr>
            <sz val="8"/>
            <color indexed="81"/>
            <rFont val="Tahoma"/>
            <family val="2"/>
          </rPr>
          <t>Unit price of each part from this distributor.
Green -&gt; lowest price across distributors.</t>
        </r>
      </text>
    </comment>
    <comment ref="X9" authorId="0">
      <text>
        <r>
          <rPr>
            <sz val="8"/>
            <color indexed="81"/>
            <rFont val="Tahoma"/>
            <family val="2"/>
          </rPr>
          <t>Minimum Order Quantity. You must buy at least this ammount of components.</t>
        </r>
      </text>
    </comment>
    <comment ref="Y9" authorId="0">
      <text>
        <r>
          <rPr>
            <sz val="8"/>
            <color indexed="81"/>
            <rFont val="Tahoma"/>
            <family val="2"/>
          </rPr>
          <t>(Unit Price) x (Purchase Qty) of each part from this distributor.
Red -&gt; Next price break is cheaper.
Green -&gt; Cheapest supplier.</t>
        </r>
      </text>
    </comment>
    <comment ref="Z9" authorId="0">
      <text>
        <r>
          <rPr>
            <sz val="8"/>
            <color indexed="81"/>
            <rFont val="Tahoma"/>
            <family val="2"/>
          </rPr>
          <t>Distributor-assigned catalog number for each part and link to it's web page (ctrl-click). Extra distributor data is shown as comment.</t>
        </r>
      </text>
    </comment>
    <comment ref="I10" authorId="0">
      <text>
        <r>
          <rPr>
            <sz val="8"/>
            <color indexed="81"/>
            <rFont val="Tahoma"/>
            <family val="2"/>
          </rPr>
          <t>33200 In Stock</t>
        </r>
      </text>
    </comment>
    <comment ref="K10" authorId="0">
      <text>
        <r>
          <rPr>
            <sz val="8"/>
            <color indexed="81"/>
            <rFont val="Tahoma"/>
            <family val="2"/>
          </rPr>
          <t>Qty/Price Breaks (CHF):
  Qty  -  UnitCHF  -  ExtCHF
================
     1 CHF0.09    CHF0.09
    10 CHF0.02    CHF0.24
   100 CHF0.01    CHF1.50
  1000 CHF0.01    CHF9.00
 10000 CHF0.01   CHF70.00
 50000 CHF0.01  CHF300.00</t>
        </r>
      </text>
    </comment>
    <comment ref="N10" authorId="0">
      <text>
        <r>
          <rPr>
            <sz val="8"/>
            <color indexed="81"/>
            <rFont val="Tahoma"/>
            <family val="2"/>
          </rPr>
          <t>Desc: Multilayer Ceramic Capacitors MLCC - SMD/SMT 25V 1000pF X7R 0402 10% AEC-Q200</t>
        </r>
      </text>
    </comment>
    <comment ref="Q10" authorId="0">
      <text>
        <r>
          <rPr>
            <sz val="8"/>
            <color indexed="81"/>
            <rFont val="Tahoma"/>
            <family val="2"/>
          </rPr>
          <t>Qty/Price Breaks (USD):
  Qty  -  Unit$  -  Ext$
================
     1   $0.10      $0.10
    10   $0.04      $0.37
    50   $0.03      $1.26
   100   $0.02      $2.16
   500   $0.02      $7.73
  1000   $0.01     $13.54
  2500   $0.01     $28.80
  5000   $0.01     $51.45</t>
        </r>
      </text>
    </comment>
    <comment ref="T10" authorId="0">
      <text>
        <r>
          <rPr>
            <sz val="8"/>
            <color indexed="81"/>
            <rFont val="Tahoma"/>
            <family val="2"/>
          </rPr>
          <t>Desc: CAP CER 1000PF 25V X7R 0402
Footprint: 0402 (1005 Metric)
Size: 0.039" L x 0.020" W (1.00mm x 0.50mm)
Temp_coeff: X7R
Tolerance: ±10%
Value: 1000 pF 
Voltage: 25V</t>
        </r>
      </text>
    </comment>
    <comment ref="I11" authorId="0">
      <text>
        <r>
          <rPr>
            <sz val="8"/>
            <color indexed="81"/>
            <rFont val="Tahoma"/>
            <family val="2"/>
          </rPr>
          <t>22336 In Stock</t>
        </r>
      </text>
    </comment>
    <comment ref="K11" authorId="0">
      <text>
        <r>
          <rPr>
            <sz val="8"/>
            <color indexed="81"/>
            <rFont val="Tahoma"/>
            <family val="2"/>
          </rPr>
          <t>Qty/Price Breaks (CHF):
  Qty  -  UnitCHF  -  ExtCHF
================
     1 CHF0.09    CHF0.09
    10 CHF0.02    CHF0.24
   100 CHF0.02    CHF1.70
  1000 CHF0.01   CHF14.00
  2500 CHF0.01   CHF25.00
 10000 CHF0.01   CHF80.00
 20000 CHF0.01  CHF140.00</t>
        </r>
      </text>
    </comment>
    <comment ref="N11" authorId="0">
      <text>
        <r>
          <rPr>
            <sz val="8"/>
            <color indexed="81"/>
            <rFont val="Tahoma"/>
            <family val="2"/>
          </rPr>
          <t>Desc: Multilayer Ceramic Capacitors MLCC - SMD/SMT 3300 pF 100 VDC 10% 0402 X7R</t>
        </r>
      </text>
    </comment>
    <comment ref="Q11" authorId="0">
      <text>
        <r>
          <rPr>
            <sz val="8"/>
            <color indexed="81"/>
            <rFont val="Tahoma"/>
            <family val="2"/>
          </rPr>
          <t>Qty/Price Breaks (USD):
  Qty  -  Unit$  -  Ext$
================
     1   $0.10      $0.10
    10   $0.04      $0.42
    50   $0.03      $1.43
   100   $0.02      $2.46
   500   $0.02      $8.81
  1000   $0.02     $15.47
  2500   $0.01     $32.95
  5000   $0.01     $59.00</t>
        </r>
      </text>
    </comment>
    <comment ref="T11" authorId="0">
      <text>
        <r>
          <rPr>
            <sz val="8"/>
            <color indexed="81"/>
            <rFont val="Tahoma"/>
            <family val="2"/>
          </rPr>
          <t>Desc: CAP CER 3300PF 100V X7R 0402
Footprint: 0402 (1005 Metric)
Size: 0.039" L x 0.020" W (1.00mm x 0.50mm)
Temp_coeff: X7R
Tolerance: ±10%
Value: 3300 pF 
Voltage: 100V</t>
        </r>
      </text>
    </comment>
    <comment ref="I12" authorId="0">
      <text>
        <r>
          <rPr>
            <sz val="8"/>
            <color indexed="81"/>
            <rFont val="Tahoma"/>
            <family val="2"/>
          </rPr>
          <t>67187 In Stock</t>
        </r>
      </text>
    </comment>
    <comment ref="K12" authorId="0">
      <text>
        <r>
          <rPr>
            <sz val="8"/>
            <color indexed="81"/>
            <rFont val="Tahoma"/>
            <family val="2"/>
          </rPr>
          <t>Qty/Price Breaks (CHF):
  Qty  -  UnitCHF  -  ExtCHF
================
     1 CHF0.09    CHF0.09
    10 CHF0.01    CHF0.15
   100 CHF0.01    CHF0.80
  2500 CHF0.01   CHF15.00
 10000 CHF0.01   CHF50.00
 50000 CHF0.00  CHF200.00</t>
        </r>
      </text>
    </comment>
    <comment ref="N12" authorId="0">
      <text>
        <r>
          <rPr>
            <sz val="8"/>
            <color indexed="81"/>
            <rFont val="Tahoma"/>
            <family val="2"/>
          </rPr>
          <t>Desc: Multilayer Ceramic Capacitors MLCC - SMD/SMT 4700 pF 100 VDC 10% 0402 X7R AEC-Q200</t>
        </r>
      </text>
    </comment>
    <comment ref="Q12" authorId="0">
      <text>
        <r>
          <rPr>
            <sz val="8"/>
            <color indexed="81"/>
            <rFont val="Tahoma"/>
            <family val="2"/>
          </rPr>
          <t>Qty/Price Breaks (USD):
  Qty  -  Unit$  -  Ext$
================
     1   $0.10      $0.10
    10   $0.03      $0.26
    50   $0.02      $0.87
   100   $0.01      $1.48
   500   $0.01      $5.21
  1000   $0.01      $9.06
  2500   $0.01     $19.10
  5000   $0.01     $33.85</t>
        </r>
      </text>
    </comment>
    <comment ref="T12" authorId="0">
      <text>
        <r>
          <rPr>
            <sz val="8"/>
            <color indexed="81"/>
            <rFont val="Tahoma"/>
            <family val="2"/>
          </rPr>
          <t>Desc: CAP CER 4700PF 100V X7R 0402
Footprint: 0402 (1005 Metric)
Size: 0.039" L x 0.020" W (1.00mm x 0.50mm)
Temp_coeff: X7R
Tolerance: ±10%
Value: 4700 pF 
Voltage: 100V</t>
        </r>
      </text>
    </comment>
    <comment ref="W12" authorId="0">
      <text>
        <r>
          <rPr>
            <sz val="8"/>
            <color indexed="81"/>
            <rFont val="Tahoma"/>
            <family val="2"/>
          </rPr>
          <t>Qty/Price Breaks (USD):
  Qty  -  Unit$  -  Ext$
================
     1   $0.12      $0.12
    10   $0.02      $0.20
    50   $0.01      $0.73
   100   $0.01      $1.29
   500   $0.01      $4.91
  1000   $0.01      $8.80
  2500   $0.01     $19.25
  5000   $0.01     $35.00
 10000   $0.01     $64.20
 50000   $0.01    $269.50</t>
        </r>
      </text>
    </comment>
    <comment ref="Z12" authorId="0">
      <text>
        <r>
          <rPr>
            <sz val="8"/>
            <color indexed="81"/>
            <rFont val="Tahoma"/>
            <family val="2"/>
          </rPr>
          <t>Desc: Capacitor: ceramic; MLCC; 4.7nF; 100V; X7R; ±10%; SMD; 0402
Manf: MURATA
Tolerance: ±10%
Value: 4.7nF 
Voltage: 100V</t>
        </r>
      </text>
    </comment>
    <comment ref="I13" authorId="0">
      <text>
        <r>
          <rPr>
            <sz val="8"/>
            <color indexed="81"/>
            <rFont val="Tahoma"/>
            <family val="2"/>
          </rPr>
          <t>33104 In Stock</t>
        </r>
      </text>
    </comment>
    <comment ref="K13" authorId="0">
      <text>
        <r>
          <rPr>
            <sz val="8"/>
            <color indexed="81"/>
            <rFont val="Tahoma"/>
            <family val="2"/>
          </rPr>
          <t>Qty/Price Breaks (CHF):
  Qty  -  UnitCHF  -  ExtCHF
================
     1 CHF0.14    CHF0.14
    10 CHF0.10    CHF0.97
   100 CHF0.05    CHF4.80
  1000 CHF0.03   CHF31.00
  2500 CHF0.03   CHF72.50
 10000 CHF0.02  CHF230.00
 50000 CHF0.02 CHF1,100.00</t>
        </r>
      </text>
    </comment>
    <comment ref="N13" authorId="0">
      <text>
        <r>
          <rPr>
            <sz val="8"/>
            <color indexed="81"/>
            <rFont val="Tahoma"/>
            <family val="2"/>
          </rPr>
          <t>Desc: Multilayer Ceramic Capacitors MLCC - SMD/SMT 963-MAASH105SB7103KF RPLCMT PN 100V 0.01uF X7R 0402 AEC-Q200</t>
        </r>
      </text>
    </comment>
    <comment ref="Q13" authorId="0">
      <text>
        <r>
          <rPr>
            <sz val="8"/>
            <color indexed="81"/>
            <rFont val="Tahoma"/>
            <family val="2"/>
          </rPr>
          <t>Qty/Price Breaks (USD):
  Qty  -  Unit$  -  Ext$
================
     1   $0.16      $0.16
    10   $0.09      $0.92
    50   $0.06      $3.23
   100   $0.06      $5.60
   500   $0.04     $20.74
  1000   $0.04     $36.96
  2500   $0.03     $80.40
  5000   $0.03    $146.25</t>
        </r>
      </text>
    </comment>
    <comment ref="T13" authorId="0">
      <text>
        <r>
          <rPr>
            <sz val="8"/>
            <color indexed="81"/>
            <rFont val="Tahoma"/>
            <family val="2"/>
          </rPr>
          <t>Desc: CAP CER 10000PF 100V X7R 0402
Footprint: 0402 (1005 Metric)
Size: 0.039" L x 0.020" W (1.00mm x 0.50mm)
Temp_coeff: X7R
Tolerance: ±10%
Value: 10000 pF 
Voltage: 100V</t>
        </r>
      </text>
    </comment>
    <comment ref="I14" authorId="0">
      <text>
        <r>
          <rPr>
            <sz val="8"/>
            <color indexed="81"/>
            <rFont val="Tahoma"/>
            <family val="2"/>
          </rPr>
          <t>11515 In Stock</t>
        </r>
      </text>
    </comment>
    <comment ref="K14" authorId="0">
      <text>
        <r>
          <rPr>
            <sz val="8"/>
            <color indexed="81"/>
            <rFont val="Tahoma"/>
            <family val="2"/>
          </rPr>
          <t>Qty/Price Breaks (CHF):
  Qty  -  UnitCHF  -  ExtCHF
================
     1 CHF0.24    CHF0.24
    10 CHF0.10    CHF0.97
   100 CHF0.06    CHF6.20
  1000 CHF0.05   CHF52.00
  4000 CHF0.04  CHF180.00
  8000 CHF0.04  CHF320.00
 24000 CHF0.04  CHF888.00
100000 CHF0.03 CHF3,400.00</t>
        </r>
      </text>
    </comment>
    <comment ref="N14" authorId="0">
      <text>
        <r>
          <rPr>
            <sz val="8"/>
            <color indexed="81"/>
            <rFont val="Tahoma"/>
            <family val="2"/>
          </rPr>
          <t>Desc: Multilayer Ceramic Capacitors MLCC - SMD/SMT 100V 0.047uF X7R 0603 10% AEC-Q200</t>
        </r>
      </text>
    </comment>
    <comment ref="Q14" authorId="0">
      <text>
        <r>
          <rPr>
            <sz val="8"/>
            <color indexed="81"/>
            <rFont val="Tahoma"/>
            <family val="2"/>
          </rPr>
          <t>Qty/Price Breaks (USD):
  Qty  -  Unit$  -  Ext$
================
     1   $0.26      $0.26
    10   $0.15      $1.49
    50   $0.11      $5.29
   100   $0.09      $9.24
   500   $0.07     $34.92
  1000   $0.06     $62.80</t>
        </r>
      </text>
    </comment>
    <comment ref="T14" authorId="0">
      <text>
        <r>
          <rPr>
            <sz val="8"/>
            <color indexed="81"/>
            <rFont val="Tahoma"/>
            <family val="2"/>
          </rPr>
          <t>Desc: CAP CER 0.047UF 100V X7R 0603
Footprint: 0603 (1608 Metric)
Size: 0.063" L x 0.031" W (1.60mm x 0.80mm)
Temp_coeff: X7R
Tolerance: ±10%
Value: 0.047 µF 
Voltage: 100V</t>
        </r>
      </text>
    </comment>
    <comment ref="W14" authorId="0">
      <text>
        <r>
          <rPr>
            <sz val="8"/>
            <color indexed="81"/>
            <rFont val="Tahoma"/>
            <family val="2"/>
          </rPr>
          <t>Qty/Price Breaks (USD):
  Qty  -  Unit$  -  Ext$
================
     1   $0.23      $0.23
    10   $0.12      $1.25
    50   $0.09      $4.46
   100   $0.08      $7.83
   500   $0.06     $29.75
  1000   $0.05     $53.60
  2000   $0.05     $97.60
  4000   $0.05    $194.40</t>
        </r>
      </text>
    </comment>
    <comment ref="Z14" authorId="0">
      <text>
        <r>
          <rPr>
            <sz val="8"/>
            <color indexed="81"/>
            <rFont val="Tahoma"/>
            <family val="2"/>
          </rPr>
          <t>Desc: Capacitor: ceramic; MLCC; 47nF; 100V; X7R; ±10%; SMD; 0603
Manf: KEMET
Tolerance: ±10%
Value: 47nF 
Voltage: 100V</t>
        </r>
      </text>
    </comment>
    <comment ref="I15" authorId="0">
      <text>
        <r>
          <rPr>
            <sz val="8"/>
            <color indexed="81"/>
            <rFont val="Tahoma"/>
            <family val="2"/>
          </rPr>
          <t>48696 In Stock</t>
        </r>
      </text>
    </comment>
    <comment ref="K15" authorId="0">
      <text>
        <r>
          <rPr>
            <sz val="8"/>
            <color indexed="81"/>
            <rFont val="Tahoma"/>
            <family val="2"/>
          </rPr>
          <t>Qty/Price Breaks (CHF):
  Qty  -  UnitCHF  -  ExtCHF
================
     1 CHF0.09    CHF0.09
    10 CHF0.02    CHF0.20
   100 CHF0.01    CHF1.30
  1000 CHF0.01   CHF10.00
  2500 CHF0.01   CHF20.00
 10000 CHF0.01   CHF70.00
 50000 CHF0.01  CHF350.00</t>
        </r>
      </text>
    </comment>
    <comment ref="N15" authorId="0">
      <text>
        <r>
          <rPr>
            <sz val="8"/>
            <color indexed="81"/>
            <rFont val="Tahoma"/>
            <family val="2"/>
          </rPr>
          <t>Desc: Multilayer Ceramic Capacitors MLCC - SMD/SMT 0.1 uF 50 VDC 10% 0402 X7R AEC-Q200</t>
        </r>
      </text>
    </comment>
    <comment ref="Q15" authorId="0">
      <text>
        <r>
          <rPr>
            <sz val="8"/>
            <color indexed="81"/>
            <rFont val="Tahoma"/>
            <family val="2"/>
          </rPr>
          <t>Qty/Price Breaks (USD):
  Qty  -  Unit$  -  Ext$
================
     1   $0.10      $0.10
    10   $0.03      $0.34
    50   $0.02      $1.16
   100   $0.02      $1.98
   500   $0.01      $7.05
  1000   $0.01     $12.34
  2500   $0.01     $26.15
  5000   $0.01     $46.65</t>
        </r>
      </text>
    </comment>
    <comment ref="T15" authorId="0">
      <text>
        <r>
          <rPr>
            <sz val="8"/>
            <color indexed="81"/>
            <rFont val="Tahoma"/>
            <family val="2"/>
          </rPr>
          <t>Desc: CAP CER 0.1UF 50V X7R 0402
Footprint: 0402 (1005 Metric)
Size: 0.039" L x 0.020" W (1.00mm x 0.50mm)
Temp_coeff: X7R
Tolerance: ±10%
Value: 0.1 µF 
Voltage: 50V</t>
        </r>
      </text>
    </comment>
    <comment ref="W15" authorId="0">
      <text>
        <r>
          <rPr>
            <sz val="8"/>
            <color indexed="81"/>
            <rFont val="Tahoma"/>
            <family val="2"/>
          </rPr>
          <t>Qty/Price Breaks (USD):
  Qty  -  Unit$  -  Ext$
================
 50000   $0.01    $339.50</t>
        </r>
      </text>
    </comment>
    <comment ref="Z15" authorId="0">
      <text>
        <r>
          <rPr>
            <sz val="8"/>
            <color indexed="81"/>
            <rFont val="Tahoma"/>
            <family val="2"/>
          </rPr>
          <t>Desc: Capacitor: ceramic; MLCC; 100nF; 50V; X7R; ±10%; SMD; 0402
Manf: MURATA
Tolerance: ±10%
Value: 0.1µF 
Voltage: 50V</t>
        </r>
      </text>
    </comment>
    <comment ref="I16" authorId="0">
      <text>
        <r>
          <rPr>
            <sz val="8"/>
            <color indexed="81"/>
            <rFont val="Tahoma"/>
            <family val="2"/>
          </rPr>
          <t>91233 In Stock</t>
        </r>
      </text>
    </comment>
    <comment ref="K16" authorId="0">
      <text>
        <r>
          <rPr>
            <sz val="8"/>
            <color indexed="81"/>
            <rFont val="Tahoma"/>
            <family val="2"/>
          </rPr>
          <t>Qty/Price Breaks (CHF):
  Qty  -  UnitCHF  -  ExtCHF
================
     1 CHF0.14    CHF0.14
    10 CHF0.05    CHF0.53
   100 CHF0.03    CHF3.30
  1000 CHF0.03   CHF25.00
  4000 CHF0.02   CHF80.00
  8000 CHF0.02  CHF136.00
 24000 CHF0.02  CHF384.00
 48000 CHF0.01  CHF720.00</t>
        </r>
      </text>
    </comment>
    <comment ref="N16" authorId="0">
      <text>
        <r>
          <rPr>
            <sz val="8"/>
            <color indexed="81"/>
            <rFont val="Tahoma"/>
            <family val="2"/>
          </rPr>
          <t>Desc: Multilayer Ceramic Capacitors MLCC - SMD/SMT 963-MCASH168SB7104KT RPLCMT PN 100V 0.1uF X7R 0603 AEC-Q200</t>
        </r>
      </text>
    </comment>
    <comment ref="Q16" authorId="0">
      <text>
        <r>
          <rPr>
            <sz val="8"/>
            <color indexed="81"/>
            <rFont val="Tahoma"/>
            <family val="2"/>
          </rPr>
          <t>Qty/Price Breaks (USD):
  Qty  -  Unit$  -  Ext$
================
     1   $0.15      $0.15
    10   $0.08      $0.82
    50   $0.06      $2.87
   100   $0.05      $4.98
   500   $0.04     $18.34
  1000   $0.03     $32.60</t>
        </r>
      </text>
    </comment>
    <comment ref="T16" authorId="0">
      <text>
        <r>
          <rPr>
            <sz val="8"/>
            <color indexed="81"/>
            <rFont val="Tahoma"/>
            <family val="2"/>
          </rPr>
          <t>Desc: CAP CER 0.1UF 100V X7R 0603
Footprint: 0603 (1608 Metric)
Size: 0.063" L x 0.031" W (1.60mm x 0.80mm)
Temp_coeff: X7R
Tolerance: ±10%
Value: 0.1 µF 
Voltage: 100V</t>
        </r>
      </text>
    </comment>
    <comment ref="I17" authorId="0">
      <text>
        <r>
          <rPr>
            <sz val="8"/>
            <color indexed="81"/>
            <rFont val="Tahoma"/>
            <family val="2"/>
          </rPr>
          <t>2175990 In Stock</t>
        </r>
      </text>
    </comment>
    <comment ref="K17" authorId="0">
      <text>
        <r>
          <rPr>
            <sz val="8"/>
            <color indexed="81"/>
            <rFont val="Tahoma"/>
            <family val="2"/>
          </rPr>
          <t>Qty/Price Breaks (CHF):
  Qty  -  UnitCHF  -  ExtCHF
================
     1 CHF0.09    CHF0.09
    10 CHF0.02    CHF0.19
   100 CHF0.01    CHF1.10
  1000 CHF0.01   CHF10.00
  2500 CHF0.01   CHF17.50
 10000 CHF0.01   CHF50.00</t>
        </r>
      </text>
    </comment>
    <comment ref="N17" authorId="0">
      <text>
        <r>
          <rPr>
            <sz val="8"/>
            <color indexed="81"/>
            <rFont val="Tahoma"/>
            <family val="2"/>
          </rPr>
          <t>Desc: Multilayer Ceramic Capacitors MLCC - SMD/SMT 0.1 uF 16 VDC 10% 0402 X7R AEC-Q200</t>
        </r>
      </text>
    </comment>
    <comment ref="Q17" authorId="0">
      <text>
        <r>
          <rPr>
            <sz val="8"/>
            <color indexed="81"/>
            <rFont val="Tahoma"/>
            <family val="2"/>
          </rPr>
          <t>Qty/Price Breaks (USD):
  Qty  -  Unit$  -  Ext$
================
     1   $0.10      $0.10
    10   $0.03      $0.29
    50   $0.02      $0.99
   100   $0.02      $1.69
   500   $0.01      $5.99
  1000   $0.01     $10.46
  2500   $0.01     $22.10
  5000   $0.01     $39.30</t>
        </r>
      </text>
    </comment>
    <comment ref="T17" authorId="0">
      <text>
        <r>
          <rPr>
            <sz val="8"/>
            <color indexed="81"/>
            <rFont val="Tahoma"/>
            <family val="2"/>
          </rPr>
          <t>Desc: CAP CER 0.1UF 16V X7R 0402
Footprint: 0402 (1005 Metric)
Size: 0.039" L x 0.020" W (1.00mm x 0.50mm)
Temp_coeff: X7R
Tolerance: ±10%
Value: 0.1 µF 
Voltage: 16V</t>
        </r>
      </text>
    </comment>
    <comment ref="W17" authorId="0">
      <text>
        <r>
          <rPr>
            <sz val="8"/>
            <color indexed="81"/>
            <rFont val="Tahoma"/>
            <family val="2"/>
          </rPr>
          <t>Qty/Price Breaks (USD):
  Qty  -  Unit$  -  Ext$
================
     1   $0.09      $0.09
    10   $0.02      $0.19
    50   $0.01      $0.66
   100   $0.01      $1.15
  1000   $0.01      $7.62
  2500   $0.01     $16.55
  5000   $0.01     $30.10
 10000   $0.01     $55.10
500000   $0.00  $1,930.00
1000000   $0.00  $3,710.00</t>
        </r>
      </text>
    </comment>
    <comment ref="Z17" authorId="0">
      <text>
        <r>
          <rPr>
            <sz val="8"/>
            <color indexed="81"/>
            <rFont val="Tahoma"/>
            <family val="2"/>
          </rPr>
          <t>Desc: Capacitor: ceramic; MLCC; 100nF; 16V; X7R; ±10%; SMD; 0402
Manf: MURATA
Tolerance: ±10%
Value: 0.1µF 
Voltage: 16V</t>
        </r>
      </text>
    </comment>
    <comment ref="I18" authorId="0">
      <text>
        <r>
          <rPr>
            <sz val="8"/>
            <color indexed="81"/>
            <rFont val="Tahoma"/>
            <family val="2"/>
          </rPr>
          <t>23897 In Stock</t>
        </r>
      </text>
    </comment>
    <comment ref="K18" authorId="0">
      <text>
        <r>
          <rPr>
            <sz val="8"/>
            <color indexed="81"/>
            <rFont val="Tahoma"/>
            <family val="2"/>
          </rPr>
          <t>Qty/Price Breaks (CHF):
  Qty  -  UnitCHF  -  ExtCHF
================
     1 CHF0.21    CHF0.21
    10 CHF0.11    CHF1.10
   100 CHF0.07    CHF6.60
  1000 CHF0.05   CHF49.00
  4000 CHF0.04  CHF180.00
  8000 CHF0.04  CHF296.00
 24000 CHF0.04  CHF840.00</t>
        </r>
      </text>
    </comment>
    <comment ref="N18" authorId="0">
      <text>
        <r>
          <rPr>
            <sz val="8"/>
            <color indexed="81"/>
            <rFont val="Tahoma"/>
            <family val="2"/>
          </rPr>
          <t>Desc: Multilayer Ceramic Capacitors MLCC - SMD/SMT 100V 0.1uF X7R 1206 10% AEC-Q200</t>
        </r>
      </text>
    </comment>
    <comment ref="Q18" authorId="0">
      <text>
        <r>
          <rPr>
            <sz val="8"/>
            <color indexed="81"/>
            <rFont val="Tahoma"/>
            <family val="2"/>
          </rPr>
          <t>Qty/Price Breaks (USD):
  Qty  -  Unit$  -  Ext$
================
     1   $0.27      $0.27
    10   $0.15      $1.55
    50   $0.11      $5.52
   100   $0.10      $9.65
   500   $0.07     $36.53
  1000   $0.07     $65.75</t>
        </r>
      </text>
    </comment>
    <comment ref="T18" authorId="0">
      <text>
        <r>
          <rPr>
            <sz val="8"/>
            <color indexed="81"/>
            <rFont val="Tahoma"/>
            <family val="2"/>
          </rPr>
          <t>Desc: CAP CER 0.1UF 100V X7R 1206
Footprint: 1206 (3216 Metric)
Size: 0.126" L x 0.063" W (3.20mm x 1.60mm)
Temp_coeff: X7R
Tolerance: ±10%
Value: 0.1 µF 
Voltage: 100V</t>
        </r>
      </text>
    </comment>
    <comment ref="W18" authorId="0">
      <text>
        <r>
          <rPr>
            <sz val="8"/>
            <color indexed="81"/>
            <rFont val="Tahoma"/>
            <family val="2"/>
          </rPr>
          <t>Qty/Price Breaks (USD):
  Qty  -  Unit$  -  Ext$
================
     1   $0.21      $0.21
    10   $0.08      $0.80
    50   $0.06      $3.08
   100   $0.06      $5.54
   500   $0.04     $22.05
  1000   $0.04     $40.20
  2000   $0.04     $73.60
  4000   $0.03    $136.00
  8000   $0.03    $251.20
 12000   $0.03    $361.20</t>
        </r>
      </text>
    </comment>
    <comment ref="Z18" authorId="0">
      <text>
        <r>
          <rPr>
            <sz val="8"/>
            <color indexed="81"/>
            <rFont val="Tahoma"/>
            <family val="2"/>
          </rPr>
          <t>Desc: Capacitor: ceramic; MLCC; 100nF; 100V; X7R; ±10%; SMD; 1206
Manf: KEMET
Tolerance: ±10%
Value: 0.1µF 
Voltage: 100V</t>
        </r>
      </text>
    </comment>
    <comment ref="I19" authorId="0">
      <text>
        <r>
          <rPr>
            <sz val="8"/>
            <color indexed="81"/>
            <rFont val="Tahoma"/>
            <family val="2"/>
          </rPr>
          <t>141969 In Stock</t>
        </r>
      </text>
    </comment>
    <comment ref="K19" authorId="0">
      <text>
        <r>
          <rPr>
            <sz val="8"/>
            <color indexed="81"/>
            <rFont val="Tahoma"/>
            <family val="2"/>
          </rPr>
          <t>Qty/Price Breaks (CHF):
  Qty  -  UnitCHF  -  ExtCHF
================
     1 CHF0.23    CHF0.23
    10 CHF0.09    CHF0.93
   100 CHF0.06    CHF5.90
  1000 CHF0.05   CHF46.00
  4000 CHF0.04  CHF176.00
  8000 CHF0.04  CHF280.00
 24000 CHF0.03  CHF792.00
100000 CHF0.03 CHF3,200.00</t>
        </r>
      </text>
    </comment>
    <comment ref="N19" authorId="0">
      <text>
        <r>
          <rPr>
            <sz val="8"/>
            <color indexed="81"/>
            <rFont val="Tahoma"/>
            <family val="2"/>
          </rPr>
          <t>Desc: Multilayer Ceramic Capacitors MLCC - SMD/SMT 963-MCASH168SC7224KT RPLCMT PN 100V 0.22uF X7S 0603 AEC-Q200</t>
        </r>
      </text>
    </comment>
    <comment ref="Q19" authorId="0">
      <text>
        <r>
          <rPr>
            <sz val="8"/>
            <color indexed="81"/>
            <rFont val="Tahoma"/>
            <family val="2"/>
          </rPr>
          <t>Qty/Price Breaks (USD):
  Qty  -  Unit$  -  Ext$
================
     1   $0.25      $0.25
    10   $0.14      $1.43
    50   $0.10      $5.09
   100   $0.09      $8.89
   500   $0.07     $33.52
  1000   $0.06     $60.24</t>
        </r>
      </text>
    </comment>
    <comment ref="T19" authorId="0">
      <text>
        <r>
          <rPr>
            <sz val="8"/>
            <color indexed="81"/>
            <rFont val="Tahoma"/>
            <family val="2"/>
          </rPr>
          <t>Desc: CAP CER 0.22UF 100V X7S 0603
Footprint: 0603 (1608 Metric)
Size: 0.063" L x 0.031" W (1.60mm x 0.80mm)
Temp_coeff: X7S
Tolerance: ±10%
Value: 0.22 µF 
Voltage: 100V</t>
        </r>
      </text>
    </comment>
    <comment ref="I20" authorId="0">
      <text>
        <r>
          <rPr>
            <sz val="8"/>
            <color indexed="81"/>
            <rFont val="Tahoma"/>
            <family val="2"/>
          </rPr>
          <t>This part is listed but is not stocked.</t>
        </r>
      </text>
    </comment>
    <comment ref="K20" authorId="0">
      <text>
        <r>
          <rPr>
            <sz val="8"/>
            <color indexed="81"/>
            <rFont val="Tahoma"/>
            <family val="2"/>
          </rPr>
          <t>Qty/Price Breaks (CHF):
  Qty  -  UnitCHF  -  ExtCHF
================
     1 CHF0.09    CHF0.09
    10 CHF0.04    CHF0.37
   100 CHF0.02    CHF2.20
  1000 CHF0.02   CHF18.00
  2500 CHF0.02   CHF42.50
 10000 CHF0.01  CHF140.00
 40000 CHF0.01  CHF480.00</t>
        </r>
      </text>
    </comment>
    <comment ref="N20" authorId="0">
      <text>
        <r>
          <rPr>
            <sz val="8"/>
            <color indexed="81"/>
            <rFont val="Tahoma"/>
            <family val="2"/>
          </rPr>
          <t>Desc: Multilayer Ceramic Capacitors MLCC - SMD/SMT 1 uF 10 VDC 10% 0402 X7R</t>
        </r>
      </text>
    </comment>
    <comment ref="Q20" authorId="0">
      <text>
        <r>
          <rPr>
            <sz val="8"/>
            <color indexed="81"/>
            <rFont val="Tahoma"/>
            <family val="2"/>
          </rPr>
          <t>Qty/Price Breaks (USD):
  Qty  -  Unit$  -  Ext$
================
     1   $0.10      $0.10
    10   $0.06      $0.58
    50   $0.04      $2.01
   100   $0.03      $3.45
   500   $0.03     $12.55
  1000   $0.02     $22.16
  2500   $0.02     $47.65
  5000   $0.02     $85.85</t>
        </r>
      </text>
    </comment>
    <comment ref="T20" authorId="0">
      <text>
        <r>
          <rPr>
            <sz val="8"/>
            <color indexed="81"/>
            <rFont val="Tahoma"/>
            <family val="2"/>
          </rPr>
          <t>Desc: CAP CER 1UF 10V X7R 0402
Footprint: 0402 (1005 Metric)
Size: 0.039" L x 0.020" W (1.00mm x 0.50mm)
Temp_coeff: X7R
Tolerance: ±10%
Value: 1 µF 
Voltage: 10V</t>
        </r>
      </text>
    </comment>
    <comment ref="U20" authorId="0">
      <text>
        <r>
          <rPr>
            <sz val="8"/>
            <color indexed="81"/>
            <rFont val="Tahoma"/>
            <family val="2"/>
          </rPr>
          <t>This part is listed but is not stocked.</t>
        </r>
      </text>
    </comment>
    <comment ref="W20" authorId="0">
      <text>
        <r>
          <rPr>
            <sz val="8"/>
            <color indexed="81"/>
            <rFont val="Tahoma"/>
            <family val="2"/>
          </rPr>
          <t>Qty/Price Breaks (USD):
  Qty  -  Unit$  -  Ext$
================
 40000   $0.01    $404.00</t>
        </r>
      </text>
    </comment>
    <comment ref="Z20" authorId="0">
      <text>
        <r>
          <rPr>
            <sz val="8"/>
            <color indexed="81"/>
            <rFont val="Tahoma"/>
            <family val="2"/>
          </rPr>
          <t>Desc: Capacitor: ceramic; MLCC; 1uF; 10V; X7R; ±10%; SMD; 0402
Manf: MURATA
Tolerance: ±10%
Value: 1µF 
Voltage: 10V</t>
        </r>
      </text>
    </comment>
    <comment ref="I21" authorId="0">
      <text>
        <r>
          <rPr>
            <sz val="8"/>
            <color indexed="81"/>
            <rFont val="Tahoma"/>
            <family val="2"/>
          </rPr>
          <t>167430 In Stock</t>
        </r>
      </text>
    </comment>
    <comment ref="K21" authorId="0">
      <text>
        <r>
          <rPr>
            <sz val="8"/>
            <color indexed="81"/>
            <rFont val="Tahoma"/>
            <family val="2"/>
          </rPr>
          <t>Qty/Price Breaks (CHF):
  Qty  -  UnitCHF  -  ExtCHF
================
     1 CHF0.11    CHF0.11
    10 CHF0.05    CHF0.46
   100 CHF0.03    CHF2.60
  1000 CHF0.02   CHF20.00
  4000 CHF0.02   CHF68.00
  8000 CHF0.02  CHF128.00
 24000 CHF0.01  CHF336.00
100000 CHF0.01 CHF1,200.00</t>
        </r>
      </text>
    </comment>
    <comment ref="N21" authorId="0">
      <text>
        <r>
          <rPr>
            <sz val="8"/>
            <color indexed="81"/>
            <rFont val="Tahoma"/>
            <family val="2"/>
          </rPr>
          <t>Desc: Multilayer Ceramic Capacitors MLCC - SMD/SMT 963-MCAST168AB7105KT RPLCMT PN 25V 1uF X7R 0603 10% AEC-Q200</t>
        </r>
      </text>
    </comment>
    <comment ref="Q21" authorId="0">
      <text>
        <r>
          <rPr>
            <sz val="8"/>
            <color indexed="81"/>
            <rFont val="Tahoma"/>
            <family val="2"/>
          </rPr>
          <t>Qty/Price Breaks (USD):
  Qty  -  Unit$  -  Ext$
================
     1   $0.12      $0.12
    10   $0.07      $0.66
    50   $0.05      $2.29
   100   $0.04      $3.95
   500   $0.03     $14.41
  1000   $0.03     $25.52</t>
        </r>
      </text>
    </comment>
    <comment ref="T21" authorId="0">
      <text>
        <r>
          <rPr>
            <sz val="8"/>
            <color indexed="81"/>
            <rFont val="Tahoma"/>
            <family val="2"/>
          </rPr>
          <t>Desc: CAP CER 1UF 25V X7R 0603
Footprint: 0603 (1608 Metric)
Size: 0.063" L x 0.031" W (1.60mm x 0.80mm)
Temp_coeff: X7R
Tolerance: ±10%
Value: 1 µF 
Voltage: 25V</t>
        </r>
      </text>
    </comment>
    <comment ref="I22" authorId="0">
      <text>
        <r>
          <rPr>
            <sz val="8"/>
            <color indexed="81"/>
            <rFont val="Tahoma"/>
            <family val="2"/>
          </rPr>
          <t>17460 In Stock</t>
        </r>
      </text>
    </comment>
    <comment ref="K22" authorId="0">
      <text>
        <r>
          <rPr>
            <sz val="8"/>
            <color indexed="81"/>
            <rFont val="Tahoma"/>
            <family val="2"/>
          </rPr>
          <t>Qty/Price Breaks (CHF):
  Qty  -  UnitCHF  -  ExtCHF
================
     1 CHF0.09    CHF0.09
    10 CHF0.03    CHF0.32
   100 CHF0.02    CHF2.00
  1000 CHF0.02   CHF17.00
  2500 CHF0.01   CHF37.50
 10000 CHF0.01  CHF120.00
 20000 CHF0.01  CHF220.00
 50000 CHF0.01  CHF450.00
100000 CHF0.01  CHF800.00</t>
        </r>
      </text>
    </comment>
    <comment ref="N22" authorId="0">
      <text>
        <r>
          <rPr>
            <sz val="8"/>
            <color indexed="81"/>
            <rFont val="Tahoma"/>
            <family val="2"/>
          </rPr>
          <t>Desc: Multilayer Ceramic Capacitors MLCC - SMD/SMT 1 uF 6.3 VDC 10% 0402 X7R AEC-Q200</t>
        </r>
      </text>
    </comment>
    <comment ref="Q22" authorId="0">
      <text>
        <r>
          <rPr>
            <sz val="8"/>
            <color indexed="81"/>
            <rFont val="Tahoma"/>
            <family val="2"/>
          </rPr>
          <t>Qty/Price Breaks (USD):
  Qty  -  Unit$  -  Ext$
================
     1   $0.10      $0.10
    10   $0.05      $0.53
    50   $0.04      $1.83
   100   $0.03      $3.14
   500   $0.02     $11.37
  1000   $0.02     $20.04
  2500   $0.02     $42.95
  5000   $0.02     $77.30</t>
        </r>
      </text>
    </comment>
    <comment ref="T22" authorId="0">
      <text>
        <r>
          <rPr>
            <sz val="8"/>
            <color indexed="81"/>
            <rFont val="Tahoma"/>
            <family val="2"/>
          </rPr>
          <t>Desc: CAP CER 1UF 6.3V X7R 0402
Footprint: 0402 (1005 Metric)
Size: 0.039" L x 0.020" W (1.00mm x 0.50mm)
Temp_coeff: X7R
Tolerance: ±10%
Value: 1 µF 
Voltage: 6.3V</t>
        </r>
      </text>
    </comment>
    <comment ref="W22" authorId="0">
      <text>
        <r>
          <rPr>
            <sz val="8"/>
            <color indexed="81"/>
            <rFont val="Tahoma"/>
            <family val="2"/>
          </rPr>
          <t>Qty/Price Breaks (USD):
  Qty  -  Unit$  -  Ext$
================
     1   $0.09      $0.09
    10   $0.03      $0.35
    50   $0.03      $1.31
   100   $0.02      $2.36
  1000   $0.02     $16.40
  2500   $0.01     $35.75
 10000   $0.01    $117.00
 50000   $0.01    $460.00
 70000   $0.01    $616.00
100000   $0.01    $840.00</t>
        </r>
      </text>
    </comment>
    <comment ref="Z22" authorId="0">
      <text>
        <r>
          <rPr>
            <sz val="8"/>
            <color indexed="81"/>
            <rFont val="Tahoma"/>
            <family val="2"/>
          </rPr>
          <t>Desc: Capacitor: ceramic; MLCC; 1uF; 6.3V; X7R; ±10%; SMD; 0402
Manf: MURATA
Tolerance: ±10%
Value: 1µF 
Voltage: 6.3V</t>
        </r>
      </text>
    </comment>
    <comment ref="I23" authorId="0">
      <text>
        <r>
          <rPr>
            <sz val="8"/>
            <color indexed="81"/>
            <rFont val="Tahoma"/>
            <family val="2"/>
          </rPr>
          <t>41381 In Stock</t>
        </r>
      </text>
    </comment>
    <comment ref="K23" authorId="0">
      <text>
        <r>
          <rPr>
            <sz val="8"/>
            <color indexed="81"/>
            <rFont val="Tahoma"/>
            <family val="2"/>
          </rPr>
          <t>Qty/Price Breaks (CHF):
  Qty  -  UnitCHF  -  ExtCHF
================
     1 CHF0.67    CHF0.67
    10 CHF0.31    CHF3.07
   100 CHF0.22   CHF21.70
  1000 CHF0.20  CHF198.00
  2000 CHF0.17  CHF332.00
 10000 CHF0.15 CHF1,510.00
 24000 CHF0.15 CHF3,600.00
 50000 CHF0.14 CHF7,100.00</t>
        </r>
      </text>
    </comment>
    <comment ref="N23" authorId="0">
      <text>
        <r>
          <rPr>
            <sz val="8"/>
            <color indexed="81"/>
            <rFont val="Tahoma"/>
            <family val="2"/>
          </rPr>
          <t>Desc: Multilayer Ceramic Capacitors MLCC - SMD/SMT 0805 100VDC 2.2uF 10% 1.25mm AEC-Q200</t>
        </r>
      </text>
    </comment>
    <comment ref="Q23" authorId="0">
      <text>
        <r>
          <rPr>
            <sz val="8"/>
            <color indexed="81"/>
            <rFont val="Tahoma"/>
            <family val="2"/>
          </rPr>
          <t>Qty/Price Breaks (USD):
  Qty  -  Unit$  -  Ext$
================
     1   $0.75      $0.75
    10   $0.46      $4.57
    50   $0.34     $16.94
   100   $0.30     $30.19
   500   $0.24    $119.56
  1000   $0.22    $219.50</t>
        </r>
      </text>
    </comment>
    <comment ref="T23" authorId="0">
      <text>
        <r>
          <rPr>
            <sz val="8"/>
            <color indexed="81"/>
            <rFont val="Tahoma"/>
            <family val="2"/>
          </rPr>
          <t>Desc: AUTOMOTIVE GRADE,MLCC,0805,100V,
Footprint: 0805 (2012 Metric)
Size: 0.079" L x 0.049" W (2.00mm x 1.25mm)
Temp_coeff: X7R
Tolerance: ±10%
Value: 2.2 µF 
Voltage: 100V</t>
        </r>
      </text>
    </comment>
    <comment ref="I24" authorId="0">
      <text>
        <r>
          <rPr>
            <sz val="8"/>
            <color indexed="81"/>
            <rFont val="Tahoma"/>
            <family val="2"/>
          </rPr>
          <t>80 In Stock</t>
        </r>
      </text>
    </comment>
    <comment ref="K24" authorId="0">
      <text>
        <r>
          <rPr>
            <sz val="8"/>
            <color indexed="81"/>
            <rFont val="Tahoma"/>
            <family val="2"/>
          </rPr>
          <t>Qty/Price Breaks (CHF):
  Qty  -  UnitCHF  -  ExtCHF
================
     1 CHF0.24    CHF0.24
    10 CHF0.10    CHF1.00
   100 CHF0.07    CHF6.60
  1000 CHF0.06   CHF58.00
  2500 CHF0.05  CHF122.50
 10000 CHF0.04  CHF450.00
 20000 CHF0.04  CHF800.00
 50000 CHF0.04 CHF1,850.00
100000 CHF0.04 CHF3,500.00</t>
        </r>
      </text>
    </comment>
    <comment ref="N24" authorId="0">
      <text>
        <r>
          <rPr>
            <sz val="8"/>
            <color indexed="81"/>
            <rFont val="Tahoma"/>
            <family val="2"/>
          </rPr>
          <t>Desc: Multilayer Ceramic Capacitors MLCC - SMD/SMT 4.7 uF 16 VDC 10% 0603 X7R</t>
        </r>
      </text>
    </comment>
    <comment ref="Q24" authorId="0">
      <text>
        <r>
          <rPr>
            <sz val="8"/>
            <color indexed="81"/>
            <rFont val="Tahoma"/>
            <family val="2"/>
          </rPr>
          <t>Qty/Price Breaks (USD):
  Qty  -  Unit$  -  Ext$
================
     1   $0.27      $0.27
    10   $0.16      $1.56
    50   $0.11      $5.55
   100   $0.10      $9.71
   500   $0.07     $36.75
  1000   $0.07     $66.12
  2500   $0.06    $145.75
  5000   $0.05    $267.80</t>
        </r>
      </text>
    </comment>
    <comment ref="T24" authorId="0">
      <text>
        <r>
          <rPr>
            <sz val="8"/>
            <color indexed="81"/>
            <rFont val="Tahoma"/>
            <family val="2"/>
          </rPr>
          <t>Desc: CAP CER 4.7UF 16V X7R 0603
Footprint: 0603 (1608 Metric)
Size: 0.063" L x 0.031" W (1.60mm x 0.80mm)
Temp_coeff: X7R
Tolerance: ±10%
Value: 4.7 µF 
Voltage: 16V</t>
        </r>
      </text>
    </comment>
    <comment ref="W24" authorId="0">
      <text>
        <r>
          <rPr>
            <sz val="8"/>
            <color indexed="81"/>
            <rFont val="Tahoma"/>
            <family val="2"/>
          </rPr>
          <t>Qty/Price Breaks (USD):
  Qty  -  Unit$  -  Ext$
================
     1   $0.24      $0.24
    10   $0.10      $1.03
    50   $0.08      $4.08
   100   $0.07      $7.42
  1000   $0.06     $56.20
  2500   $0.05    $127.50
 10000   $0.04    $446.00
 20000   $0.04    $840.00
 50000   $0.04  $1,950.00
100000   $0.04  $3,710.00</t>
        </r>
      </text>
    </comment>
    <comment ref="Z24" authorId="0">
      <text>
        <r>
          <rPr>
            <sz val="8"/>
            <color indexed="81"/>
            <rFont val="Tahoma"/>
            <family val="2"/>
          </rPr>
          <t>Desc: Capacitor: ceramic; MLCC; 4.7uF; 16V; X7R; ±10%; SMD; 0603
Manf: MURATA
Tolerance: ±10%
Value: 4.7µF 
Voltage: 16V</t>
        </r>
      </text>
    </comment>
    <comment ref="I25" authorId="0">
      <text>
        <r>
          <rPr>
            <sz val="8"/>
            <color indexed="81"/>
            <rFont val="Tahoma"/>
            <family val="2"/>
          </rPr>
          <t>18768 In Stock</t>
        </r>
      </text>
    </comment>
    <comment ref="K25" authorId="0">
      <text>
        <r>
          <rPr>
            <sz val="8"/>
            <color indexed="81"/>
            <rFont val="Tahoma"/>
            <family val="2"/>
          </rPr>
          <t>Qty/Price Breaks (CHF):
  Qty  -  UnitCHF  -  ExtCHF
================
     1 CHF0.87    CHF0.87
    10 CHF0.41    CHF4.05
   100 CHF0.36   CHF35.90
   500 CHF0.29  CHF145.50
  1000 CHF0.27  CHF265.00
  2000 CHF0.23  CHF452.00
 10000 CHF0.21 CHF2,070.00</t>
        </r>
      </text>
    </comment>
    <comment ref="N25" authorId="0">
      <text>
        <r>
          <rPr>
            <sz val="8"/>
            <color indexed="81"/>
            <rFont val="Tahoma"/>
            <family val="2"/>
          </rPr>
          <t>Desc: Multilayer Ceramic Capacitors MLCC - SMD/SMT 4.7 uF 100 VDC 10% 1206 X7R</t>
        </r>
      </text>
    </comment>
    <comment ref="Q25" authorId="0">
      <text>
        <r>
          <rPr>
            <sz val="8"/>
            <color indexed="81"/>
            <rFont val="Tahoma"/>
            <family val="2"/>
          </rPr>
          <t>Qty/Price Breaks (USD):
  Qty  -  Unit$  -  Ext$
================
     1   $0.97      $0.97
    10   $0.59      $5.94
    50   $0.45     $22.26
   100   $0.40     $39.88
   500   $0.32    $159.80
  1000   $0.29    $294.87</t>
        </r>
      </text>
    </comment>
    <comment ref="T25" authorId="0">
      <text>
        <r>
          <rPr>
            <sz val="8"/>
            <color indexed="81"/>
            <rFont val="Tahoma"/>
            <family val="2"/>
          </rPr>
          <t>Desc: CAP CER 4.7UF 100V X7R 1206
Footprint: 1206 (3216 Metric)
Size: 0.126" L x 0.063" W (3.20mm x 1.60mm)
Temp_coeff: X7R
Tolerance: ±10%
Value: 4.7 µF 
Voltage: 100V</t>
        </r>
      </text>
    </comment>
    <comment ref="W25" authorId="0">
      <text>
        <r>
          <rPr>
            <sz val="8"/>
            <color indexed="81"/>
            <rFont val="Tahoma"/>
            <family val="2"/>
          </rPr>
          <t>Qty/Price Breaks (USD):
  Qty  -  Unit$  -  Ext$
================
     1   $0.87      $0.87
     5   $0.48      $2.42
    10   $0.45      $4.48
    50   $0.37     $18.70
   100   $0.34     $34.30
   250   $0.30     $75.50
   500   $0.27    $136.00
  1000   $0.24    $241.00
  2000   $0.21    $420.00</t>
        </r>
      </text>
    </comment>
    <comment ref="Z25" authorId="0">
      <text>
        <r>
          <rPr>
            <sz val="8"/>
            <color indexed="81"/>
            <rFont val="Tahoma"/>
            <family val="2"/>
          </rPr>
          <t>Desc: Capacitor: ceramic; MLCC; 4.7uF; 100V; X7R; ±10%; SMD; 1206
Manf: MURATA
Tolerance: ±10%
Value: 4.7µF 
Voltage: 100V</t>
        </r>
      </text>
    </comment>
    <comment ref="I26" authorId="0">
      <text>
        <r>
          <rPr>
            <sz val="8"/>
            <color indexed="81"/>
            <rFont val="Tahoma"/>
            <family val="2"/>
          </rPr>
          <t>18768 In Stock</t>
        </r>
      </text>
    </comment>
    <comment ref="K26" authorId="0">
      <text>
        <r>
          <rPr>
            <sz val="8"/>
            <color indexed="81"/>
            <rFont val="Tahoma"/>
            <family val="2"/>
          </rPr>
          <t>Qty/Price Breaks (CHF):
  Qty  -  UnitCHF  -  ExtCHF
================
     1 CHF0.87    CHF0.87
    10 CHF0.41    CHF4.05
   100 CHF0.36   CHF35.90
   500 CHF0.29  CHF145.50
  1000 CHF0.27  CHF265.00
  2000 CHF0.23  CHF452.00
 10000 CHF0.21 CHF2,070.00</t>
        </r>
      </text>
    </comment>
    <comment ref="N26" authorId="0">
      <text>
        <r>
          <rPr>
            <sz val="8"/>
            <color indexed="81"/>
            <rFont val="Tahoma"/>
            <family val="2"/>
          </rPr>
          <t>Desc: Multilayer Ceramic Capacitors MLCC - SMD/SMT 4.7 uF 100 VDC 10% 1206 X7R</t>
        </r>
      </text>
    </comment>
    <comment ref="Q26" authorId="0">
      <text>
        <r>
          <rPr>
            <sz val="8"/>
            <color indexed="81"/>
            <rFont val="Tahoma"/>
            <family val="2"/>
          </rPr>
          <t>Qty/Price Breaks (USD):
  Qty  -  Unit$  -  Ext$
================
     1   $0.97      $0.97
    10   $0.59      $5.94
    50   $0.45     $22.26
   100   $0.40     $39.88
   500   $0.32    $159.80
  1000   $0.29    $294.87</t>
        </r>
      </text>
    </comment>
    <comment ref="T26" authorId="0">
      <text>
        <r>
          <rPr>
            <sz val="8"/>
            <color indexed="81"/>
            <rFont val="Tahoma"/>
            <family val="2"/>
          </rPr>
          <t>Desc: CAP CER 4.7UF 100V X7R 1206
Footprint: 1206 (3216 Metric)
Size: 0.126" L x 0.063" W (3.20mm x 1.60mm)
Temp_coeff: X7R
Tolerance: ±10%
Value: 4.7 µF 
Voltage: 100V</t>
        </r>
      </text>
    </comment>
    <comment ref="W26" authorId="0">
      <text>
        <r>
          <rPr>
            <sz val="8"/>
            <color indexed="81"/>
            <rFont val="Tahoma"/>
            <family val="2"/>
          </rPr>
          <t>Qty/Price Breaks (USD):
  Qty  -  Unit$  -  Ext$
================
     1   $0.87      $0.87
     5   $0.48      $2.42
    10   $0.45      $4.48
    50   $0.37     $18.70
   100   $0.34     $34.30
   250   $0.30     $75.50
   500   $0.27    $136.00
  1000   $0.24    $241.00
  2000   $0.21    $420.00</t>
        </r>
      </text>
    </comment>
    <comment ref="Z26" authorId="0">
      <text>
        <r>
          <rPr>
            <sz val="8"/>
            <color indexed="81"/>
            <rFont val="Tahoma"/>
            <family val="2"/>
          </rPr>
          <t>Desc: Capacitor: ceramic; MLCC; 4.7uF; 100V; X7R; ±10%; SMD; 1206
Manf: MURATA
Tolerance: ±10%
Value: 4.7µF 
Voltage: 100V</t>
        </r>
      </text>
    </comment>
    <comment ref="I27" authorId="0">
      <text>
        <r>
          <rPr>
            <sz val="8"/>
            <color indexed="81"/>
            <rFont val="Tahoma"/>
            <family val="2"/>
          </rPr>
          <t>This part is listed but is not stocked.</t>
        </r>
      </text>
    </comment>
    <comment ref="K27" authorId="0">
      <text>
        <r>
          <rPr>
            <sz val="8"/>
            <color indexed="81"/>
            <rFont val="Tahoma"/>
            <family val="2"/>
          </rPr>
          <t>Qty/Price Breaks (CHF):
  Qty  -  UnitCHF  -  ExtCHF
================
     1 CHF0.27    CHF0.27
    10 CHF0.12    CHF1.15
   100 CHF0.08    CHF7.70
  1000 CHF0.07   CHF68.00
  2500 CHF0.06  CHF145.00
 10000 CHF0.05  CHF490.00
 20000 CHF0.05  CHF940.00
 50000 CHF0.04 CHF2,250.00
100000 CHF0.04 CHF4,200.00</t>
        </r>
      </text>
    </comment>
    <comment ref="N27" authorId="0">
      <text>
        <r>
          <rPr>
            <sz val="8"/>
            <color indexed="81"/>
            <rFont val="Tahoma"/>
            <family val="2"/>
          </rPr>
          <t>Desc: Multilayer Ceramic Capacitors MLCC - SMD/SMT HICV JAPAN - FN</t>
        </r>
      </text>
    </comment>
    <comment ref="O27" authorId="0">
      <text>
        <r>
          <rPr>
            <sz val="8"/>
            <color indexed="81"/>
            <rFont val="Tahoma"/>
            <family val="2"/>
          </rPr>
          <t>This part is listed but is not stocked.</t>
        </r>
      </text>
    </comment>
    <comment ref="Q27" authorId="0">
      <text>
        <r>
          <rPr>
            <sz val="8"/>
            <color indexed="81"/>
            <rFont val="Tahoma"/>
            <family val="2"/>
          </rPr>
          <t>Qty/Price Breaks (USD):
  Qty  -  Unit$  -  Ext$
================
     1   $0.31      $0.31
    10   $0.18      $1.78
    50   $0.13      $6.37
   100   $0.11     $11.16
   500   $0.08     $42.43
  1000   $0.08     $76.53
  2500   $0.07    $169.20
  5000   $0.06    $311.60</t>
        </r>
      </text>
    </comment>
    <comment ref="T27" authorId="0">
      <text>
        <r>
          <rPr>
            <sz val="8"/>
            <color indexed="81"/>
            <rFont val="Tahoma"/>
            <family val="2"/>
          </rPr>
          <t>Desc: 0402 X5R 4.7UF20% 25V
Footprint: 0402 (1005 Metric)
Size: 0.039" L x 0.020" W (1.00mm x 0.50mm)
Temp_coeff: X5R
Tolerance: ±20%
Value: 4.7 µF 
Voltage: 25V</t>
        </r>
      </text>
    </comment>
    <comment ref="I28" authorId="0">
      <text>
        <r>
          <rPr>
            <sz val="8"/>
            <color indexed="81"/>
            <rFont val="Tahoma"/>
            <family val="2"/>
          </rPr>
          <t>135928 In Stock</t>
        </r>
      </text>
    </comment>
    <comment ref="K28" authorId="0">
      <text>
        <r>
          <rPr>
            <sz val="8"/>
            <color indexed="81"/>
            <rFont val="Tahoma"/>
            <family val="2"/>
          </rPr>
          <t>Qty/Price Breaks (CHF):
  Qty  -  UnitCHF  -  ExtCHF
================
     1 CHF0.31    CHF0.31
    10 CHF0.13    CHF1.29
   100 CHF0.09    CHF8.70
  1000 CHF0.08   CHF77.00
  3000 CHF0.07  CHF198.00
  9000 CHF0.06  CHF531.00
 24000 CHF0.06 CHF1,320.00
 45000 CHF0.05 CHF2,340.00</t>
        </r>
      </text>
    </comment>
    <comment ref="N28" authorId="0">
      <text>
        <r>
          <rPr>
            <sz val="8"/>
            <color indexed="81"/>
            <rFont val="Tahoma"/>
            <family val="2"/>
          </rPr>
          <t>Desc: Multilayer Ceramic Capacitors MLCC - SMD/SMT 10 uF 25 VDC 10% 0805 X7R</t>
        </r>
      </text>
    </comment>
    <comment ref="Q28" authorId="0">
      <text>
        <r>
          <rPr>
            <sz val="8"/>
            <color indexed="81"/>
            <rFont val="Tahoma"/>
            <family val="2"/>
          </rPr>
          <t>Qty/Price Breaks (USD):
  Qty  -  Unit$  -  Ext$
================
     1   $0.34      $0.34
    10   $0.20      $1.98
    50   $0.14      $7.10
   100   $0.12     $12.47
   500   $0.10     $47.62
  1000   $0.09     $86.07</t>
        </r>
      </text>
    </comment>
    <comment ref="T28" authorId="0">
      <text>
        <r>
          <rPr>
            <sz val="8"/>
            <color indexed="81"/>
            <rFont val="Tahoma"/>
            <family val="2"/>
          </rPr>
          <t>Desc: CAP CER 10UF 25V X7R 0805
Footprint: 0805 (2012 Metric)
Size: 0.079" L x 0.049" W (2.00mm x 1.25mm)
Temp_coeff: X7R
Tolerance: ±10%
Value: 10 µF 
Voltage: 25V</t>
        </r>
      </text>
    </comment>
    <comment ref="U28" authorId="0">
      <text>
        <r>
          <rPr>
            <sz val="8"/>
            <color indexed="81"/>
            <rFont val="Tahoma"/>
            <family val="2"/>
          </rPr>
          <t>This part is listed but is not stocked.</t>
        </r>
      </text>
    </comment>
    <comment ref="W28" authorId="0">
      <text>
        <r>
          <rPr>
            <sz val="8"/>
            <color indexed="81"/>
            <rFont val="Tahoma"/>
            <family val="2"/>
          </rPr>
          <t>Qty/Price Breaks (USD):
  Qty  -  Unit$  -  Ext$
================
     1   $0.35      $0.35
    10   $0.23      $2.31
    50   $0.16      $7.80
   100   $0.13     $13.30
   500   $0.10     $48.00
  1000   $0.09     $87.00
  3000   $0.07    $225.00
 15000   $0.07    $975.00
 75000   $0.06  $4,650.00</t>
        </r>
      </text>
    </comment>
    <comment ref="Z28" authorId="0">
      <text>
        <r>
          <rPr>
            <sz val="8"/>
            <color indexed="81"/>
            <rFont val="Tahoma"/>
            <family val="2"/>
          </rPr>
          <t>Desc: Capacitor: ceramic; MLCC; 10uF; 25V; X7R; ±10%; SMD; 0805
Manf: MURATA
Tolerance: ±10%
Value: 10µF 
Voltage: 25V</t>
        </r>
      </text>
    </comment>
    <comment ref="I29" authorId="0">
      <text>
        <r>
          <rPr>
            <sz val="8"/>
            <color indexed="81"/>
            <rFont val="Tahoma"/>
            <family val="2"/>
          </rPr>
          <t>2414 In Stock</t>
        </r>
      </text>
    </comment>
    <comment ref="K29" authorId="0">
      <text>
        <r>
          <rPr>
            <sz val="8"/>
            <color indexed="81"/>
            <rFont val="Tahoma"/>
            <family val="2"/>
          </rPr>
          <t>Qty/Price Breaks (CHF):
  Qty  -  UnitCHF  -  ExtCHF
================
     1 CHF1.44    CHF1.44
    10 CHF0.81    CHF8.14
   100 CHF0.75   CHF74.70
   500 CHF0.59  CHF296.50
  1000 CHF0.55  CHF549.00
  2000 CHF0.53 CHF1,056.00</t>
        </r>
      </text>
    </comment>
    <comment ref="N29" authorId="0">
      <text>
        <r>
          <rPr>
            <sz val="8"/>
            <color indexed="81"/>
            <rFont val="Tahoma"/>
            <family val="2"/>
          </rPr>
          <t>Desc: Multilayer Ceramic Capacitors MLCC - SMD/SMT 1210 25V 15uF 20% X7R AEC-Q200</t>
        </r>
      </text>
    </comment>
    <comment ref="Q29" authorId="0">
      <text>
        <r>
          <rPr>
            <sz val="8"/>
            <color indexed="81"/>
            <rFont val="Tahoma"/>
            <family val="2"/>
          </rPr>
          <t>Qty/Price Breaks (USD):
  Qty  -  Unit$  -  Ext$
================
     1   $1.86      $1.86
    10   $1.18     $11.83
    50   $0.91     $45.53
   100   $0.83     $82.56
   500   $0.68    $340.30</t>
        </r>
      </text>
    </comment>
    <comment ref="T29" authorId="0">
      <text>
        <r>
          <rPr>
            <sz val="8"/>
            <color indexed="81"/>
            <rFont val="Tahoma"/>
            <family val="2"/>
          </rPr>
          <t>Desc: CAP CER 15UF 25V X7R 1210
Footprint: 1210 (3225 Metric)
Size: 0.126" L x 0.098" W (3.20mm x 2.50mm)
Temp_coeff: X7R
Tolerance: ±20%
Value: 15 µF 
Voltage: 25V</t>
        </r>
      </text>
    </comment>
    <comment ref="U29" authorId="0">
      <text>
        <r>
          <rPr>
            <sz val="8"/>
            <color indexed="81"/>
            <rFont val="Tahoma"/>
            <family val="2"/>
          </rPr>
          <t>This part is listed but is not stocked.</t>
        </r>
      </text>
    </comment>
    <comment ref="W29" authorId="0">
      <text>
        <r>
          <rPr>
            <sz val="8"/>
            <color indexed="81"/>
            <rFont val="Tahoma"/>
            <family val="2"/>
          </rPr>
          <t>Qty/Price Breaks (USD):
  Qty  -  Unit$  -  Ext$
================
  1000   $0.54    $543.00
  7000   $0.52  $3,605.00</t>
        </r>
      </text>
    </comment>
    <comment ref="Z29" authorId="0">
      <text>
        <r>
          <rPr>
            <sz val="8"/>
            <color indexed="81"/>
            <rFont val="Tahoma"/>
            <family val="2"/>
          </rPr>
          <t>Desc: Capacitor: ceramic; MLCC; 15uF; 25V; X7R; ±20%; SMD; 1210
Manf: TDK
Tolerance: ±20%
Value: 15µF 
Voltage: 25V</t>
        </r>
      </text>
    </comment>
    <comment ref="I30" authorId="0">
      <text>
        <r>
          <rPr>
            <sz val="8"/>
            <color indexed="81"/>
            <rFont val="Tahoma"/>
            <family val="2"/>
          </rPr>
          <t>21268 In Stock</t>
        </r>
      </text>
    </comment>
    <comment ref="K30" authorId="0">
      <text>
        <r>
          <rPr>
            <sz val="8"/>
            <color indexed="81"/>
            <rFont val="Tahoma"/>
            <family val="2"/>
          </rPr>
          <t>Qty/Price Breaks (CHF):
  Qty  -  UnitCHF  -  ExtCHF
================
     1 CHF0.37    CHF0.37
    10 CHF0.16    CHF1.58
   100 CHF0.11   CHF10.80
  1000 CHF0.10   CHF98.00
  3000 CHF0.08  CHF243.00
  9000 CHF0.08  CHF711.00
 45000 CHF0.06 CHF2,745.00
 99000 CHF0.06 CHF5,841.00</t>
        </r>
      </text>
    </comment>
    <comment ref="N30" authorId="0">
      <text>
        <r>
          <rPr>
            <sz val="8"/>
            <color indexed="81"/>
            <rFont val="Tahoma"/>
            <family val="2"/>
          </rPr>
          <t>Desc: Multilayer Ceramic Capacitors MLCC - SMD/SMT 22 uF 10 VDC 20% 0805 X7R</t>
        </r>
      </text>
    </comment>
    <comment ref="Q30" authorId="0">
      <text>
        <r>
          <rPr>
            <sz val="8"/>
            <color indexed="81"/>
            <rFont val="Tahoma"/>
            <family val="2"/>
          </rPr>
          <t>Qty/Price Breaks (USD):
  Qty  -  Unit$  -  Ext$
================
     1   $0.40      $0.40
    10   $0.23      $2.35
    50   $0.17      $8.48
   100   $0.15     $14.93
   500   $0.11     $57.44
  1000   $0.10    $104.15</t>
        </r>
      </text>
    </comment>
    <comment ref="T30" authorId="0">
      <text>
        <r>
          <rPr>
            <sz val="8"/>
            <color indexed="81"/>
            <rFont val="Tahoma"/>
            <family val="2"/>
          </rPr>
          <t>Desc: CAP CER 22UF 10V X7R 0805
Footprint: 0805 (2012 Metric)
Size: 0.079" L x 0.049" W (2.00mm x 1.25mm)
Temp_coeff: X7R
Tolerance: ±20%
Value: 22 µF 
Voltage: 10V</t>
        </r>
      </text>
    </comment>
    <comment ref="U30" authorId="0">
      <text>
        <r>
          <rPr>
            <sz val="8"/>
            <color indexed="81"/>
            <rFont val="Tahoma"/>
            <family val="2"/>
          </rPr>
          <t>This part is listed but is not stocked.</t>
        </r>
      </text>
    </comment>
    <comment ref="W30" authorId="0">
      <text>
        <r>
          <rPr>
            <sz val="8"/>
            <color indexed="81"/>
            <rFont val="Tahoma"/>
            <family val="2"/>
          </rPr>
          <t>Qty/Price Breaks (USD):
  Qty  -  Unit$  -  Ext$
================
     1   $0.32      $0.32
     5   $0.23      $1.13
    10   $0.18      $1.85
    50   $0.12      $6.00
   100   $0.10     $10.40
  1000   $0.08     $78.00
  3000   $0.07    $222.00
  6000   $0.07    $432.00
  9000   $0.07    $639.00
 45000   $0.07  $3,105.00</t>
        </r>
      </text>
    </comment>
    <comment ref="Z30" authorId="0">
      <text>
        <r>
          <rPr>
            <sz val="8"/>
            <color indexed="81"/>
            <rFont val="Tahoma"/>
            <family val="2"/>
          </rPr>
          <t>Desc: Capacitor: ceramic; MLCC; 22uF; 10V; X7R; ±20%; SMD; 0805
Manf: MURATA
Tolerance: ±20%
Value: 22µF 
Voltage: 10V</t>
        </r>
      </text>
    </comment>
    <comment ref="I31" authorId="0">
      <text>
        <r>
          <rPr>
            <sz val="8"/>
            <color indexed="81"/>
            <rFont val="Tahoma"/>
            <family val="2"/>
          </rPr>
          <t>This part is listed but is not stocked.</t>
        </r>
      </text>
    </comment>
    <comment ref="N31" authorId="0">
      <text>
        <r>
          <rPr>
            <sz val="8"/>
            <color indexed="81"/>
            <rFont val="Tahoma"/>
            <family val="2"/>
          </rPr>
          <t>Desc: Multilayer Ceramic Capacitors MLCC - SMD/SMT 1000PF   1KV   10%        0603</t>
        </r>
      </text>
    </comment>
    <comment ref="Q31" authorId="0">
      <text>
        <r>
          <rPr>
            <sz val="8"/>
            <color indexed="81"/>
            <rFont val="Tahoma"/>
            <family val="2"/>
          </rPr>
          <t>Qty/Price Breaks (USD):
  Qty  -  Unit$  -  Ext$
================
     1   $0.47      $0.47
    10   $0.28      $2.78
    50   $0.20     $10.13
   100   $0.18     $17.91
   500   $0.14     $69.50
  1000   $0.13    $126.51</t>
        </r>
      </text>
    </comment>
    <comment ref="T31" authorId="0">
      <text>
        <r>
          <rPr>
            <sz val="8"/>
            <color indexed="81"/>
            <rFont val="Tahoma"/>
            <family val="2"/>
          </rPr>
          <t>Desc: CAP CER 1000PF 1KV X7R 0603
Footprint: 0603 (1608 Metric)
Size: 0.063" L x 0.031" W (1.60mm x 0.80mm)
Temp_coeff: X7R
Tolerance: ±10%
Value: 1000 pF 
Voltage: 1000V (1kV)</t>
        </r>
      </text>
    </comment>
    <comment ref="W31" authorId="0">
      <text>
        <r>
          <rPr>
            <sz val="8"/>
            <color indexed="81"/>
            <rFont val="Tahoma"/>
            <family val="2"/>
          </rPr>
          <t>Qty/Price Breaks (USD):
  Qty  -  Unit$  -  Ext$
================
     1   $0.38      $0.38
    10   $0.18      $1.80
    50   $0.13      $6.70
   100   $0.12     $12.10
  1000   $0.10     $96.00
  4000   $0.09    $356.00
  8000   $0.09    $696.00
 24000   $0.08  $1,992.00
100000   $0.08  $8,100.00</t>
        </r>
      </text>
    </comment>
    <comment ref="Z31" authorId="0">
      <text>
        <r>
          <rPr>
            <sz val="8"/>
            <color indexed="81"/>
            <rFont val="Tahoma"/>
            <family val="2"/>
          </rPr>
          <t>Desc: Capacitor: ceramic; MLCC; 1nF; 1kV; X7R; ±10%; SMD; 0603
Manf: KEMET
Tolerance: ±10%
Value: 1nF 
Voltage: 1kV</t>
        </r>
      </text>
    </comment>
    <comment ref="I32" authorId="0">
      <text>
        <r>
          <rPr>
            <sz val="8"/>
            <color indexed="81"/>
            <rFont val="Tahoma"/>
            <family val="2"/>
          </rPr>
          <t>211339 In Stock</t>
        </r>
      </text>
    </comment>
    <comment ref="K32" authorId="0">
      <text>
        <r>
          <rPr>
            <sz val="8"/>
            <color indexed="81"/>
            <rFont val="Tahoma"/>
            <family val="2"/>
          </rPr>
          <t>Qty/Price Breaks (CHF):
  Qty  -  UnitCHF  -  ExtCHF
================
     1 CHF0.25    CHF0.25
    10 CHF0.17    CHF1.67
   100 CHF0.08    CHF8.40
  1000 CHF0.07   CHF67.00
  3000 CHF0.05  CHF156.00
  9000 CHF0.04  CHF405.00
 24000 CHF0.04 CHF1,032.00
 45000 CHF0.04 CHF1,845.00</t>
        </r>
      </text>
    </comment>
    <comment ref="N32" authorId="0">
      <text>
        <r>
          <rPr>
            <sz val="8"/>
            <color indexed="81"/>
            <rFont val="Tahoma"/>
            <family val="2"/>
          </rPr>
          <t>Desc: Schottky Diodes &amp; Rectifiers schottky diode</t>
        </r>
      </text>
    </comment>
    <comment ref="Q32" authorId="0">
      <text>
        <r>
          <rPr>
            <sz val="8"/>
            <color indexed="81"/>
            <rFont val="Tahoma"/>
            <family val="2"/>
          </rPr>
          <t>Qty/Price Breaks (USD):
  Qty  -  Unit$  -  Ext$
================
     1   $0.34      $0.34
    10   $0.21      $2.06
   100   $0.13     $12.90
   500   $0.10     $47.76
  1000   $0.08     $84.68</t>
        </r>
      </text>
    </comment>
    <comment ref="T32" authorId="0">
      <text>
        <r>
          <rPr>
            <sz val="8"/>
            <color indexed="81"/>
            <rFont val="Tahoma"/>
            <family val="2"/>
          </rPr>
          <t>Desc: DIODE SCHOTTKY 100V 200MA SOD523
Footprint: SC-79, SOD-523</t>
        </r>
      </text>
    </comment>
    <comment ref="W32" authorId="0">
      <text>
        <r>
          <rPr>
            <sz val="8"/>
            <color indexed="81"/>
            <rFont val="Tahoma"/>
            <family val="2"/>
          </rPr>
          <t>Qty/Price Breaks (USD):
  Qty  -  Unit$  -  Ext$
================
     1   $0.28      $0.28
    10   $0.18      $1.84
    50   $0.14      $7.24
   100   $0.10      $9.55
  1000   $0.08     $84.80
  2500   $0.07    $176.25
  3000   $0.07    $200.70
  6000   $0.06    $373.80
  9000   $0.06    $517.50
 45000   $0.06  $2,529.00</t>
        </r>
      </text>
    </comment>
    <comment ref="Z32" authorId="0">
      <text>
        <r>
          <rPr>
            <sz val="8"/>
            <color indexed="81"/>
            <rFont val="Tahoma"/>
            <family val="2"/>
          </rPr>
          <t>Desc: Diode: Schottky rectifying; SOD523; SMD; 100V; 0.2A; reel,tape
Manf: STMicroelectronics</t>
        </r>
      </text>
    </comment>
    <comment ref="I33" authorId="0">
      <text>
        <r>
          <rPr>
            <sz val="8"/>
            <color indexed="81"/>
            <rFont val="Tahoma"/>
            <family val="2"/>
          </rPr>
          <t>40692 In Stock</t>
        </r>
      </text>
    </comment>
    <comment ref="K33" authorId="0">
      <text>
        <r>
          <rPr>
            <sz val="8"/>
            <color indexed="81"/>
            <rFont val="Tahoma"/>
            <family val="2"/>
          </rPr>
          <t>Qty/Price Breaks (CHF):
  Qty  -  UnitCHF  -  ExtCHF
================
     1 CHF1.37    CHF1.37
    10 CHF1.04   CHF10.40
   100 CHF0.74   CHF73.60
   500 CHF0.60  CHF300.00
  1000 CHF0.60  CHF598.00
  3000 CHF0.55 CHF1,656.00
  6000 CHF0.53 CHF3,186.00</t>
        </r>
      </text>
    </comment>
    <comment ref="N33" authorId="0">
      <text>
        <r>
          <rPr>
            <sz val="8"/>
            <color indexed="81"/>
            <rFont val="Tahoma"/>
            <family val="2"/>
          </rPr>
          <t>Desc: ESD Protection Diodes / TVS Diodes SOT-23 7V400W Low Capacitance</t>
        </r>
      </text>
    </comment>
    <comment ref="Q33" authorId="0">
      <text>
        <r>
          <rPr>
            <sz val="8"/>
            <color indexed="81"/>
            <rFont val="Tahoma"/>
            <family val="2"/>
          </rPr>
          <t>Qty/Price Breaks (USD):
  Qty  -  Unit$  -  Ext$
================
     1   $1.50      $1.50
    10   $1.15     $11.50
   100   $0.81     $81.20
   500   $0.66    $330.50</t>
        </r>
      </text>
    </comment>
    <comment ref="T33" authorId="0">
      <text>
        <r>
          <rPr>
            <sz val="8"/>
            <color indexed="81"/>
            <rFont val="Tahoma"/>
            <family val="2"/>
          </rPr>
          <t>Desc: TVS DIODE 7V/12V 14V/26V SOT23-3
Footprint: TO-236-3, SC-59, SOT-23-3</t>
        </r>
      </text>
    </comment>
    <comment ref="W33" authorId="0">
      <text>
        <r>
          <rPr>
            <sz val="8"/>
            <color indexed="81"/>
            <rFont val="Tahoma"/>
            <family val="2"/>
          </rPr>
          <t>Qty/Price Breaks (USD):
  Qty  -  Unit$  -  Ext$
================
     1   $1.84      $1.84
    10   $0.84      $8.41
   100   $0.64     $64.10
   500   $0.55    $276.00
  1000   $0.52    $523.00
  1500   $0.51    $760.50
  3000   $0.48  $1,452.00
  6000   $0.46  $2,778.00</t>
        </r>
      </text>
    </comment>
    <comment ref="Z33" authorId="0">
      <text>
        <r>
          <rPr>
            <sz val="8"/>
            <color indexed="81"/>
            <rFont val="Tahoma"/>
            <family val="2"/>
          </rPr>
          <t xml:space="preserve">Desc: Diode: TVS array; 7.5÷13V; 17A; 400W; asymmetric,bidirectional
Manf: BOURNS
Value: 75pF </t>
        </r>
      </text>
    </comment>
    <comment ref="I34" authorId="0">
      <text>
        <r>
          <rPr>
            <sz val="8"/>
            <color indexed="81"/>
            <rFont val="Tahoma"/>
            <family val="2"/>
          </rPr>
          <t>13255 In Stock</t>
        </r>
      </text>
    </comment>
    <comment ref="K34" authorId="0">
      <text>
        <r>
          <rPr>
            <sz val="8"/>
            <color indexed="81"/>
            <rFont val="Tahoma"/>
            <family val="2"/>
          </rPr>
          <t>Qty/Price Breaks (CHF):
  Qty  -  UnitCHF  -  ExtCHF
================
     1 CHF0.96    CHF0.96
    10 CHF0.63    CHF6.28
   100 CHF0.47   CHF46.70
   500 CHF0.43  CHF216.00
  1000 CHF0.37  CHF371.00
  3000 CHF0.37 CHF1,113.00
 24000 CHF0.34 CHF8,232.00</t>
        </r>
      </text>
    </comment>
    <comment ref="N34" authorId="0">
      <text>
        <r>
          <rPr>
            <sz val="8"/>
            <color indexed="81"/>
            <rFont val="Tahoma"/>
            <family val="2"/>
          </rPr>
          <t>Desc: Standard LEDs - SMD SM LED 1206 Pure Green 523nm W/C</t>
        </r>
      </text>
    </comment>
    <comment ref="Q34" authorId="0">
      <text>
        <r>
          <rPr>
            <sz val="8"/>
            <color indexed="81"/>
            <rFont val="Tahoma"/>
            <family val="2"/>
          </rPr>
          <t>Qty/Price Breaks (USD):
  Qty  -  Unit$  -  Ext$
================
     1   $1.33      $1.33
    10   $0.83      $8.32
   100   $0.58     $57.66
   500   $0.48    $238.00
  1000   $0.45    $445.12</t>
        </r>
      </text>
    </comment>
    <comment ref="T34" authorId="0">
      <text>
        <r>
          <rPr>
            <sz val="8"/>
            <color indexed="81"/>
            <rFont val="Tahoma"/>
            <family val="2"/>
          </rPr>
          <t>Desc: LED GREEN CLEAR 1206 SMD
Footprint: 1206 (3216 Metric)
Size: 3.20mm L x 1.60mm W</t>
        </r>
      </text>
    </comment>
    <comment ref="I35" authorId="0">
      <text>
        <r>
          <rPr>
            <sz val="8"/>
            <color indexed="81"/>
            <rFont val="Tahoma"/>
            <family val="2"/>
          </rPr>
          <t>11091 In Stock</t>
        </r>
      </text>
    </comment>
    <comment ref="K35" authorId="0">
      <text>
        <r>
          <rPr>
            <sz val="8"/>
            <color indexed="81"/>
            <rFont val="Tahoma"/>
            <family val="2"/>
          </rPr>
          <t>Qty/Price Breaks (CHF):
  Qty  -  UnitCHF  -  ExtCHF
================
     1 CHF0.22    CHF0.22
    10 CHF0.15    CHF1.49
   100 CHF0.08    CHF7.70
  1000 CHF0.07   CHF69.00
  3000 CHF0.05  CHF162.00
  9000 CHF0.05  CHF441.00
 24000 CHF0.04 CHF1,056.00
 45000 CHF0.04 CHF1,845.00</t>
        </r>
      </text>
    </comment>
    <comment ref="N35" authorId="0">
      <text>
        <r>
          <rPr>
            <sz val="8"/>
            <color indexed="81"/>
            <rFont val="Tahoma"/>
            <family val="2"/>
          </rPr>
          <t>Desc: ESD Protection Diodes / TVS Diodes PESD2CANFD24V-U/SOT323/SC-70</t>
        </r>
      </text>
    </comment>
    <comment ref="Q35" authorId="0">
      <text>
        <r>
          <rPr>
            <sz val="8"/>
            <color indexed="81"/>
            <rFont val="Tahoma"/>
            <family val="2"/>
          </rPr>
          <t>Qty/Price Breaks (USD):
  Qty  -  Unit$  -  Ext$
================
     1   $0.24      $0.24
    10   $0.16      $1.64
   100   $0.09      $8.50
   500   $0.08     $40.25
  1000   $0.08     $76.00</t>
        </r>
      </text>
    </comment>
    <comment ref="T35" authorId="0">
      <text>
        <r>
          <rPr>
            <sz val="8"/>
            <color indexed="81"/>
            <rFont val="Tahoma"/>
            <family val="2"/>
          </rPr>
          <t>Desc: TVS DIODE 24VWM 42VC SOT323
Footprint: SC-70, SOT-323</t>
        </r>
      </text>
    </comment>
    <comment ref="I36" authorId="0">
      <text>
        <r>
          <rPr>
            <sz val="8"/>
            <color indexed="81"/>
            <rFont val="Tahoma"/>
            <family val="2"/>
          </rPr>
          <t>5215 In Stock</t>
        </r>
      </text>
    </comment>
    <comment ref="K36" authorId="0">
      <text>
        <r>
          <rPr>
            <sz val="8"/>
            <color indexed="81"/>
            <rFont val="Tahoma"/>
            <family val="2"/>
          </rPr>
          <t>Qty/Price Breaks (CHF):
  Qty  -  UnitCHF  -  ExtCHF
================
     1 CHF0.50    CHF0.50
    10 CHF0.35    CHF3.47
   100 CHF0.21   CHF21.50
   500 CHF0.17   CHF86.50
  1000 CHF0.13  CHF128.00
  4000 CHF0.12  CHF488.00
  8000 CHF0.10  CHF816.00
 24000 CHF0.10 CHF2,400.00</t>
        </r>
      </text>
    </comment>
    <comment ref="N36" authorId="0">
      <text>
        <r>
          <rPr>
            <sz val="8"/>
            <color indexed="81"/>
            <rFont val="Tahoma"/>
            <family val="2"/>
          </rPr>
          <t>Desc: ESD Protection Diodes / TVS Diodes PESD4USB3U-TBS/SOT1176D/DFN251</t>
        </r>
      </text>
    </comment>
    <comment ref="Q36" authorId="0">
      <text>
        <r>
          <rPr>
            <sz val="8"/>
            <color indexed="81"/>
            <rFont val="Tahoma"/>
            <family val="2"/>
          </rPr>
          <t>Qty/Price Breaks (USD):
  Qty  -  Unit$  -  Ext$
================
     1   $0.55      $0.55
    10   $0.38      $3.83
   100   $0.24     $23.70
   500   $0.19     $95.00
  1000   $0.14    $141.00</t>
        </r>
      </text>
    </comment>
    <comment ref="T36" authorId="0">
      <text>
        <r>
          <rPr>
            <sz val="8"/>
            <color indexed="81"/>
            <rFont val="Tahoma"/>
            <family val="2"/>
          </rPr>
          <t>Desc: TVS DIODE 3.3VWM 3.5VC 10DFN
Footprint: 10-WFDFN</t>
        </r>
      </text>
    </comment>
    <comment ref="I37" authorId="0">
      <text>
        <r>
          <rPr>
            <sz val="8"/>
            <color indexed="81"/>
            <rFont val="Tahoma"/>
            <family val="2"/>
          </rPr>
          <t>9714 In Stock</t>
        </r>
      </text>
    </comment>
    <comment ref="K37" authorId="0">
      <text>
        <r>
          <rPr>
            <sz val="8"/>
            <color indexed="81"/>
            <rFont val="Tahoma"/>
            <family val="2"/>
          </rPr>
          <t>Qty/Price Breaks (CHF):
  Qty  -  UnitCHF  -  ExtCHF
================
     1 CHF0.43    CHF0.43
    10 CHF0.30    CHF3.01
   100 CHF0.20   CHF20.40
   500 CHF0.16   CHF80.00
  1000 CHF0.14  CHF145.00
  2000 CHF0.13  CHF266.00
  4000 CHF0.12  CHF484.00
  8000 CHF0.11  CHF848.00</t>
        </r>
      </text>
    </comment>
    <comment ref="N37" authorId="0">
      <text>
        <r>
          <rPr>
            <sz val="8"/>
            <color indexed="81"/>
            <rFont val="Tahoma"/>
            <family val="2"/>
          </rPr>
          <t>Desc: ESD Protection Diodes / TVS Diodes PESD4USB5B-TBS/SOT1176D/DFN251</t>
        </r>
      </text>
    </comment>
    <comment ref="Q37" authorId="0">
      <text>
        <r>
          <rPr>
            <sz val="8"/>
            <color indexed="81"/>
            <rFont val="Tahoma"/>
            <family val="2"/>
          </rPr>
          <t>Qty/Price Breaks (USD):
  Qty  -  Unit$  -  Ext$
================
     1   $0.48      $0.48
    10   $0.33      $3.32
   100   $0.23     $22.50
   500   $0.18     $88.00
  1000   $0.16    $160.00
  2000   $0.15    $292.00</t>
        </r>
      </text>
    </comment>
    <comment ref="T37" authorId="0">
      <text>
        <r>
          <rPr>
            <sz val="8"/>
            <color indexed="81"/>
            <rFont val="Tahoma"/>
            <family val="2"/>
          </rPr>
          <t>Desc: TVS DIODE 5VWM 5.5VC DFN2510D-10
Footprint: 10-WFDFN</t>
        </r>
      </text>
    </comment>
    <comment ref="I38" authorId="0">
      <text>
        <r>
          <rPr>
            <sz val="8"/>
            <color indexed="81"/>
            <rFont val="Tahoma"/>
            <family val="2"/>
          </rPr>
          <t>5913 In Stock</t>
        </r>
      </text>
    </comment>
    <comment ref="K38" authorId="0">
      <text>
        <r>
          <rPr>
            <sz val="8"/>
            <color indexed="81"/>
            <rFont val="Tahoma"/>
            <family val="2"/>
          </rPr>
          <t>Qty/Price Breaks (CHF):
  Qty  -  UnitCHF  -  ExtCHF
================
     1 CHF0.34    CHF0.34
    10 CHF0.23    CHF2.34
   100 CHF0.11   CHF11.00
   750 CHF0.09   CHF65.25
  2250 CHF0.09  CHF191.25
  9750 CHF0.08  CHF819.00</t>
        </r>
      </text>
    </comment>
    <comment ref="N38" authorId="0">
      <text>
        <r>
          <rPr>
            <sz val="8"/>
            <color indexed="81"/>
            <rFont val="Tahoma"/>
            <family val="2"/>
          </rPr>
          <t>Desc: ESD Protection Diodes / TVS Diodes 51V 600W Bidir TransZorb 3.5% Tol</t>
        </r>
      </text>
    </comment>
    <comment ref="Q38" authorId="0">
      <text>
        <r>
          <rPr>
            <sz val="8"/>
            <color indexed="81"/>
            <rFont val="Tahoma"/>
            <family val="2"/>
          </rPr>
          <t>Qty/Price Breaks (USD):
  Qty  -  Unit$  -  Ext$
================
     1   $0.38      $0.38
    10   $0.26      $2.58
   100   $0.14     $14.20</t>
        </r>
      </text>
    </comment>
    <comment ref="T38" authorId="0">
      <text>
        <r>
          <rPr>
            <sz val="8"/>
            <color indexed="81"/>
            <rFont val="Tahoma"/>
            <family val="2"/>
          </rPr>
          <t>Desc: TVS DIODE 51VWM 81.2VC DO214AA
Footprint: DO-214AA, SMB</t>
        </r>
      </text>
    </comment>
    <comment ref="U38" authorId="0">
      <text>
        <r>
          <rPr>
            <sz val="8"/>
            <color indexed="81"/>
            <rFont val="Tahoma"/>
            <family val="2"/>
          </rPr>
          <t>This part is listed but is not stocked.</t>
        </r>
      </text>
    </comment>
    <comment ref="W38" authorId="0">
      <text>
        <r>
          <rPr>
            <sz val="8"/>
            <color indexed="81"/>
            <rFont val="Tahoma"/>
            <family val="2"/>
          </rPr>
          <t>Qty/Price Breaks (USD):
  Qty  -  Unit$  -  Ext$
================
     1   $0.38      $0.38
    10   $0.28      $2.84
   100   $0.19     $19.30
   500   $0.14     $71.50
   750   $0.13     $98.25
  1500   $0.11    $168.00
  2250   $0.10    $231.75</t>
        </r>
      </text>
    </comment>
    <comment ref="Z38" authorId="0">
      <text>
        <r>
          <rPr>
            <sz val="8"/>
            <color indexed="81"/>
            <rFont val="Tahoma"/>
            <family val="2"/>
          </rPr>
          <t>Desc: Diode: TVS; 600W; 57.6V; 7.4A; bidirectional; SMB; reel,tape; SMBJ
Manf: VISHAY</t>
        </r>
      </text>
    </comment>
    <comment ref="I39" authorId="0">
      <text>
        <r>
          <rPr>
            <sz val="8"/>
            <color indexed="81"/>
            <rFont val="Tahoma"/>
            <family val="2"/>
          </rPr>
          <t>4669 In Stock</t>
        </r>
      </text>
    </comment>
    <comment ref="K39" authorId="0">
      <text>
        <r>
          <rPr>
            <sz val="8"/>
            <color indexed="81"/>
            <rFont val="Tahoma"/>
            <family val="2"/>
          </rPr>
          <t>Qty/Price Breaks (CHF):
  Qty  -  UnitCHF  -  ExtCHF
================
     1 CHF0.48    CHF0.48
    10 CHF0.33    CHF3.32
   100 CHF0.19   CHF19.20
  1000 CHF0.18  CHF176.00
  3000 CHF0.15  CHF441.00
  9000 CHF0.14 CHF1,296.00
 24000 CHF0.14 CHF3,240.00</t>
        </r>
      </text>
    </comment>
    <comment ref="N39" authorId="0">
      <text>
        <r>
          <rPr>
            <sz val="8"/>
            <color indexed="81"/>
            <rFont val="Tahoma"/>
            <family val="2"/>
          </rPr>
          <t>Desc: Standard LEDs - SMD SM LED 1206 Yellow 590nm, W/C</t>
        </r>
      </text>
    </comment>
    <comment ref="Q39" authorId="0">
      <text>
        <r>
          <rPr>
            <sz val="8"/>
            <color indexed="81"/>
            <rFont val="Tahoma"/>
            <family val="2"/>
          </rPr>
          <t>Qty/Price Breaks (USD):
  Qty  -  Unit$  -  Ext$
================
     1   $0.69      $0.69
    10   $0.41      $4.11
   100   $0.27     $26.93
   500   $0.21    $106.83
  1000   $0.20    $196.58</t>
        </r>
      </text>
    </comment>
    <comment ref="T39" authorId="0">
      <text>
        <r>
          <rPr>
            <sz val="8"/>
            <color indexed="81"/>
            <rFont val="Tahoma"/>
            <family val="2"/>
          </rPr>
          <t>Desc: LED YELLOW CLEAR 1206 SMD
Footprint: 1206 (3216 Metric)
Size: 3.20mm L x 1.60mm W</t>
        </r>
      </text>
    </comment>
    <comment ref="Z39" authorId="0">
      <text>
        <r>
          <rPr>
            <sz val="8"/>
            <color indexed="81"/>
            <rFont val="Tahoma"/>
            <family val="2"/>
          </rPr>
          <t>Desc: LED; SMD; 1206; yellow; 1000mcd; 3.2x1.6mm; 30°; 20mA; λd: 592nm; 78mW
Manf: BIVAR
Power: 78mW
Voltage: 2...2.6V DC</t>
        </r>
      </text>
    </comment>
    <comment ref="I40" authorId="0">
      <text>
        <r>
          <rPr>
            <sz val="8"/>
            <color indexed="81"/>
            <rFont val="Tahoma"/>
            <family val="2"/>
          </rPr>
          <t>20255 In Stock</t>
        </r>
      </text>
    </comment>
    <comment ref="K40" authorId="0">
      <text>
        <r>
          <rPr>
            <sz val="8"/>
            <color indexed="81"/>
            <rFont val="Tahoma"/>
            <family val="2"/>
          </rPr>
          <t>Qty/Price Breaks (CHF):
  Qty  -  UnitCHF  -  ExtCHF
================
     1 CHF0.21    CHF0.21
    50 CHF0.20   CHF10.15
   100 CHF0.19   CHF18.70
   500 CHF0.18   CHF89.00
  1000 CHF0.16  CHF162.00
  2500 CHF0.14  CHF342.50
  4000 CHF0.14  CHF548.00</t>
        </r>
      </text>
    </comment>
    <comment ref="N40" authorId="0">
      <text>
        <r>
          <rPr>
            <sz val="8"/>
            <color indexed="81"/>
            <rFont val="Tahoma"/>
            <family val="2"/>
          </rPr>
          <t>Desc: Ferrite Beads WE-CBF 0805 100MHz 1KOhm 1KmA AEC-Q200</t>
        </r>
      </text>
    </comment>
    <comment ref="Q40" authorId="0">
      <text>
        <r>
          <rPr>
            <sz val="8"/>
            <color indexed="81"/>
            <rFont val="Tahoma"/>
            <family val="2"/>
          </rPr>
          <t>Qty/Price Breaks (USD):
  Qty  -  Unit$  -  Ext$
================
     1   $0.23      $0.23
    50   $0.22     $11.20
   100   $0.21     $20.60
   500   $0.20     $98.50
  1000   $0.19    $187.00
  2000   $0.18    $358.00</t>
        </r>
      </text>
    </comment>
    <comment ref="T40" authorId="0">
      <text>
        <r>
          <rPr>
            <sz val="8"/>
            <color indexed="81"/>
            <rFont val="Tahoma"/>
            <family val="2"/>
          </rPr>
          <t>Desc: FERRITE BEAD 1K OHM 0805 1LN
Footprint: 0805 (2012 Metric)
Size: 0.079" L x 0.047" W (2.00mm x 1.20mm)</t>
        </r>
      </text>
    </comment>
    <comment ref="I41" authorId="0">
      <text>
        <r>
          <rPr>
            <sz val="8"/>
            <color indexed="81"/>
            <rFont val="Tahoma"/>
            <family val="2"/>
          </rPr>
          <t>916 In Stock</t>
        </r>
      </text>
    </comment>
    <comment ref="K41" authorId="0">
      <text>
        <r>
          <rPr>
            <sz val="8"/>
            <color indexed="81"/>
            <rFont val="Tahoma"/>
            <family val="2"/>
          </rPr>
          <t>Qty/Price Breaks (CHF):
  Qty  -  UnitCHF  -  ExtCHF
================
     1 CHF1.87    CHF1.87
    10 CHF1.65   CHF16.50
   100 CHF1.37  CHF137.00
   500 CHF1.37  CHF685.00</t>
        </r>
      </text>
    </comment>
    <comment ref="N41" authorId="0">
      <text>
        <r>
          <rPr>
            <sz val="8"/>
            <color indexed="81"/>
            <rFont val="Tahoma"/>
            <family val="2"/>
          </rPr>
          <t>Desc: Headers &amp; Wire Housings NANO-FIT HDR SMT RA SGL 3CKT 15AU BLK</t>
        </r>
      </text>
    </comment>
    <comment ref="Q41" authorId="0">
      <text>
        <r>
          <rPr>
            <sz val="8"/>
            <color indexed="81"/>
            <rFont val="Tahoma"/>
            <family val="2"/>
          </rPr>
          <t>Qty/Price Breaks (USD):
  Qty  -  Unit$  -  Ext$
================
     1   $2.75      $2.75
    10   $2.09     $20.89
   100   $1.65    $164.86</t>
        </r>
      </text>
    </comment>
    <comment ref="T41" authorId="0">
      <text>
        <r>
          <rPr>
            <sz val="8"/>
            <color indexed="81"/>
            <rFont val="Tahoma"/>
            <family val="2"/>
          </rPr>
          <t>Desc: CONN HEADER SMD R/A 3POS 2.5MM</t>
        </r>
      </text>
    </comment>
    <comment ref="I42" authorId="0">
      <text>
        <r>
          <rPr>
            <sz val="8"/>
            <color indexed="81"/>
            <rFont val="Tahoma"/>
            <family val="2"/>
          </rPr>
          <t>This part is listed but is not stocked.</t>
        </r>
      </text>
    </comment>
    <comment ref="Q42" authorId="0">
      <text>
        <r>
          <rPr>
            <sz val="8"/>
            <color indexed="81"/>
            <rFont val="Tahoma"/>
            <family val="2"/>
          </rPr>
          <t>Qty/Price Breaks (USD):
  Qty  -  Unit$  -  Ext$
================
     1   $0.69      $0.69
    10   $0.52      $5.21
   100   $0.40     $39.77
   500   $0.33    $166.16</t>
        </r>
      </text>
    </comment>
    <comment ref="T42" authorId="0">
      <text>
        <r>
          <rPr>
            <sz val="8"/>
            <color indexed="81"/>
            <rFont val="Tahoma"/>
            <family val="2"/>
          </rPr>
          <t>Desc: CONN HEADER SMD R/A 2POS 2MM</t>
        </r>
      </text>
    </comment>
    <comment ref="W42" authorId="0">
      <text>
        <r>
          <rPr>
            <sz val="8"/>
            <color indexed="81"/>
            <rFont val="Tahoma"/>
            <family val="2"/>
          </rPr>
          <t>Qty/Price Breaks (USD):
  Qty  -  Unit$  -  Ext$
================
     5   $0.30      $1.48
    20   $0.25      $5.08
   100   $0.21     $21.20
   500   $0.17     $85.00</t>
        </r>
      </text>
    </comment>
    <comment ref="Z42" authorId="0">
      <text>
        <r>
          <rPr>
            <sz val="8"/>
            <color indexed="81"/>
            <rFont val="Tahoma"/>
            <family val="2"/>
          </rPr>
          <t>Desc: Connector: wire-board; socket; male; PIN: 2; PH; Pitch: 2mm; SMT; 100V
Manf: JST</t>
        </r>
      </text>
    </comment>
    <comment ref="I43" authorId="0">
      <text>
        <r>
          <rPr>
            <sz val="8"/>
            <color indexed="81"/>
            <rFont val="Tahoma"/>
            <family val="2"/>
          </rPr>
          <t>This part is listed but is not stocked.</t>
        </r>
      </text>
    </comment>
    <comment ref="N43" authorId="0">
      <text>
        <r>
          <rPr>
            <sz val="8"/>
            <color indexed="81"/>
            <rFont val="Tahoma"/>
            <family val="2"/>
          </rPr>
          <t>Desc: Automotive Connectors Not Available at Mouser</t>
        </r>
      </text>
    </comment>
    <comment ref="Q43" authorId="0">
      <text>
        <r>
          <rPr>
            <sz val="8"/>
            <color indexed="81"/>
            <rFont val="Tahoma"/>
            <family val="2"/>
          </rPr>
          <t>Qty/Price Breaks (USD):
  Qty  -  Unit$  -  Ext$
================
     1   $0.57      $0.57
    10   $0.43      $4.33
   100   $0.33     $33.13
   500   $0.28    $138.34
  1000   $0.26    $256.64</t>
        </r>
      </text>
    </comment>
    <comment ref="T43" authorId="0">
      <text>
        <r>
          <rPr>
            <sz val="8"/>
            <color indexed="81"/>
            <rFont val="Tahoma"/>
            <family val="2"/>
          </rPr>
          <t>Desc: CONN HEADER SMD R/A 5POS 1.25MM</t>
        </r>
      </text>
    </comment>
    <comment ref="W43" authorId="0">
      <text>
        <r>
          <rPr>
            <sz val="8"/>
            <color indexed="81"/>
            <rFont val="Tahoma"/>
            <family val="2"/>
          </rPr>
          <t>Qty/Price Breaks (USD):
  Qty  -  Unit$  -  Ext$
================
     2   $0.42      $0.85
    50   $0.39     $19.40
   200   $0.35     $69.60
  1000   $0.31    $309.00</t>
        </r>
      </text>
    </comment>
    <comment ref="Z43" authorId="0">
      <text>
        <r>
          <rPr>
            <sz val="8"/>
            <color indexed="81"/>
            <rFont val="Tahoma"/>
            <family val="2"/>
          </rPr>
          <t>Desc: Connector: wire-board; socket; male; GH; 1.25mm; PIN: 5; SMT; 50V; 1A
Manf: JST</t>
        </r>
      </text>
    </comment>
    <comment ref="I44" authorId="0">
      <text>
        <r>
          <rPr>
            <sz val="8"/>
            <color indexed="81"/>
            <rFont val="Tahoma"/>
            <family val="2"/>
          </rPr>
          <t>This part is listed but is not stocked.</t>
        </r>
      </text>
    </comment>
    <comment ref="K44" authorId="0">
      <text>
        <r>
          <rPr>
            <sz val="8"/>
            <color indexed="81"/>
            <rFont val="Tahoma"/>
            <family val="2"/>
          </rPr>
          <t>Qty/Price Breaks (CHF):
  Qty  -  UnitCHF  -  ExtCHF
================
     1 CHF0.61    CHF0.61
    10 CHF0.46    CHF4.62
   100 CHF0.36   CHF35.90
   500 CHF0.30  CHF150.00
  1000 CHF0.28  CHF275.00
  2500 CHF0.25  CHF625.00
  5000 CHF0.23 CHF1,135.00
 10000 CHF0.21 CHF2,090.00
 25000 CHF0.20 CHF5,050.00</t>
        </r>
      </text>
    </comment>
    <comment ref="N44" authorId="0">
      <text>
        <r>
          <rPr>
            <sz val="8"/>
            <color indexed="81"/>
            <rFont val="Tahoma"/>
            <family val="2"/>
          </rPr>
          <t>Desc: Headers &amp; Wire Housings</t>
        </r>
      </text>
    </comment>
    <comment ref="Q44" authorId="0">
      <text>
        <r>
          <rPr>
            <sz val="8"/>
            <color indexed="81"/>
            <rFont val="Tahoma"/>
            <family val="2"/>
          </rPr>
          <t>Qty/Price Breaks (USD):
  Qty  -  Unit$  -  Ext$
================
     1   $0.50      $0.50
    10   $0.41      $4.10
   100   $0.33     $33.44
   500   $0.29    $144.92
  1000   $0.27    $272.55</t>
        </r>
      </text>
    </comment>
    <comment ref="T44" authorId="0">
      <text>
        <r>
          <rPr>
            <sz val="8"/>
            <color indexed="81"/>
            <rFont val="Tahoma"/>
            <family val="2"/>
          </rPr>
          <t>Desc: CONN HEADER SMD R/A 6POS 1.25MM</t>
        </r>
      </text>
    </comment>
    <comment ref="W44" authorId="0">
      <text>
        <r>
          <rPr>
            <sz val="8"/>
            <color indexed="81"/>
            <rFont val="Tahoma"/>
            <family val="2"/>
          </rPr>
          <t>Qty/Price Breaks (USD):
  Qty  -  Unit$  -  Ext$
================
     1   $0.82      $0.82
    10   $0.72      $7.16
   100   $0.62     $61.60
   500   $0.51    $256.50
  1000   $0.41    $410.00</t>
        </r>
      </text>
    </comment>
    <comment ref="Z44" authorId="0">
      <text>
        <r>
          <rPr>
            <sz val="8"/>
            <color indexed="81"/>
            <rFont val="Tahoma"/>
            <family val="2"/>
          </rPr>
          <t>Desc: Connector: wire-board; socket; male; GH; 1.25mm; PIN: 6; SMT; 50V; 1A
Manf: JST</t>
        </r>
      </text>
    </comment>
    <comment ref="I45" authorId="0">
      <text>
        <r>
          <rPr>
            <sz val="8"/>
            <color indexed="81"/>
            <rFont val="Tahoma"/>
            <family val="2"/>
          </rPr>
          <t>This part is listed but is not stocked.</t>
        </r>
      </text>
    </comment>
    <comment ref="N45" authorId="0">
      <text>
        <r>
          <rPr>
            <sz val="8"/>
            <color indexed="81"/>
            <rFont val="Tahoma"/>
            <family val="2"/>
          </rPr>
          <t>Desc: Headers &amp; Wire Housings</t>
        </r>
      </text>
    </comment>
    <comment ref="O45" authorId="0">
      <text>
        <r>
          <rPr>
            <sz val="8"/>
            <color indexed="81"/>
            <rFont val="Tahoma"/>
            <family val="2"/>
          </rPr>
          <t>This part is listed but is not stocked.</t>
        </r>
      </text>
    </comment>
    <comment ref="Q45" authorId="0">
      <text>
        <r>
          <rPr>
            <sz val="8"/>
            <color indexed="81"/>
            <rFont val="Tahoma"/>
            <family val="2"/>
          </rPr>
          <t>Qty/Price Breaks (USD):
  Qty  -  Unit$  -  Ext$
================
     1   $0.70      $0.70
    10   $0.54      $5.36
   100   $0.41     $41.07
   500   $0.34    $171.66
  1000   $0.32    $318.60</t>
        </r>
      </text>
    </comment>
    <comment ref="T45" authorId="0">
      <text>
        <r>
          <rPr>
            <sz val="8"/>
            <color indexed="81"/>
            <rFont val="Tahoma"/>
            <family val="2"/>
          </rPr>
          <t>Desc: CONN HEADER SMD R/A 7POS 1.25MM</t>
        </r>
      </text>
    </comment>
    <comment ref="I46" authorId="0">
      <text>
        <r>
          <rPr>
            <sz val="8"/>
            <color indexed="81"/>
            <rFont val="Tahoma"/>
            <family val="2"/>
          </rPr>
          <t>This part is listed but is not stocked.</t>
        </r>
      </text>
    </comment>
    <comment ref="N46" authorId="0">
      <text>
        <r>
          <rPr>
            <sz val="8"/>
            <color indexed="81"/>
            <rFont val="Tahoma"/>
            <family val="2"/>
          </rPr>
          <t>Desc: Automotive Connectors Not Available at Mouser</t>
        </r>
      </text>
    </comment>
    <comment ref="Q46" authorId="0">
      <text>
        <r>
          <rPr>
            <sz val="8"/>
            <color indexed="81"/>
            <rFont val="Tahoma"/>
            <family val="2"/>
          </rPr>
          <t>Qty/Price Breaks (USD):
  Qty  -  Unit$  -  Ext$
================
     1   $0.56      $0.56
    10   $0.45      $4.53
   100   $0.37     $36.91
   500   $0.32    $159.98
  1000   $0.30    $300.87</t>
        </r>
      </text>
    </comment>
    <comment ref="T46" authorId="0">
      <text>
        <r>
          <rPr>
            <sz val="8"/>
            <color indexed="81"/>
            <rFont val="Tahoma"/>
            <family val="2"/>
          </rPr>
          <t>Desc: CONN HEADER SMD R/A 8POS 1.25MM</t>
        </r>
      </text>
    </comment>
    <comment ref="W46" authorId="0">
      <text>
        <r>
          <rPr>
            <sz val="8"/>
            <color indexed="81"/>
            <rFont val="Tahoma"/>
            <family val="2"/>
          </rPr>
          <t>Qty/Price Breaks (USD):
  Qty  -  Unit$  -  Ext$
================
     1   $0.93      $0.93
    10   $0.81      $8.11
   100   $0.70     $69.80
   500   $0.58    $291.50
  1000   $0.46    $464.00</t>
        </r>
      </text>
    </comment>
    <comment ref="Z46" authorId="0">
      <text>
        <r>
          <rPr>
            <sz val="8"/>
            <color indexed="81"/>
            <rFont val="Tahoma"/>
            <family val="2"/>
          </rPr>
          <t>Desc: Connector: wire-board; socket; male; GH; 1.25mm; PIN: 8; SMT; 50V; 1A
Manf: JST</t>
        </r>
      </text>
    </comment>
    <comment ref="W47" authorId="0">
      <text>
        <r>
          <rPr>
            <sz val="8"/>
            <color indexed="81"/>
            <rFont val="Tahoma"/>
            <family val="2"/>
          </rPr>
          <t>Qty/Price Breaks (USD):
  Qty  -  Unit$  -  Ext$
================
     1   $1.08      $1.08
     5   $0.96      $4.81
    20   $0.88     $17.50
   100   $0.74     $73.80</t>
        </r>
      </text>
    </comment>
    <comment ref="Z47" authorId="0">
      <text>
        <r>
          <rPr>
            <sz val="8"/>
            <color indexed="81"/>
            <rFont val="Tahoma"/>
            <family val="2"/>
          </rPr>
          <t>Desc: Connector: DC supply; socket; XT60; female; PIN: 2; on PCBs; THT
Manf: AMASS</t>
        </r>
      </text>
    </comment>
    <comment ref="W48" authorId="0">
      <text>
        <r>
          <rPr>
            <sz val="8"/>
            <color indexed="81"/>
            <rFont val="Tahoma"/>
            <family val="2"/>
          </rPr>
          <t>Qty/Price Breaks (USD):
  Qty  -  Unit$  -  Ext$
================
     1   $1.08      $1.08
     5   $0.96      $4.81
    20   $0.88     $17.50
   100   $0.74     $73.80</t>
        </r>
      </text>
    </comment>
    <comment ref="Z48" authorId="0">
      <text>
        <r>
          <rPr>
            <sz val="8"/>
            <color indexed="81"/>
            <rFont val="Tahoma"/>
            <family val="2"/>
          </rPr>
          <t>Desc: Connector: DC supply; socket; XT60; male; PIN: 2; on PCBs; THT; 30A
Manf: AMASS</t>
        </r>
      </text>
    </comment>
    <comment ref="I49" authorId="0">
      <text>
        <r>
          <rPr>
            <sz val="8"/>
            <color indexed="81"/>
            <rFont val="Tahoma"/>
            <family val="2"/>
          </rPr>
          <t>1090 In Stock</t>
        </r>
      </text>
    </comment>
    <comment ref="K49" authorId="0">
      <text>
        <r>
          <rPr>
            <sz val="8"/>
            <color indexed="81"/>
            <rFont val="Tahoma"/>
            <family val="2"/>
          </rPr>
          <t>Qty/Price Breaks (CHF):
  Qty  -  UnitCHF  -  ExtCHF
================
     1 CHF1.33    CHF1.33
   250 CHF1.10  CHF275.00
   500 CHF0.80  CHF400.00
  1000 CHF0.68  CHF681.00</t>
        </r>
      </text>
    </comment>
    <comment ref="N49" authorId="0">
      <text>
        <r>
          <rPr>
            <sz val="8"/>
            <color indexed="81"/>
            <rFont val="Tahoma"/>
            <family val="2"/>
          </rPr>
          <t>Desc: Power Inductors - SMD 2.2uH Shld 20% 1.2A 100 mOhms</t>
        </r>
      </text>
    </comment>
    <comment ref="I50" authorId="0">
      <text>
        <r>
          <rPr>
            <sz val="8"/>
            <color indexed="81"/>
            <rFont val="Tahoma"/>
            <family val="2"/>
          </rPr>
          <t>38720 In Stock</t>
        </r>
      </text>
    </comment>
    <comment ref="K50" authorId="0">
      <text>
        <r>
          <rPr>
            <sz val="8"/>
            <color indexed="81"/>
            <rFont val="Tahoma"/>
            <family val="2"/>
          </rPr>
          <t>Qty/Price Breaks (CHF):
  Qty  -  UnitCHF  -  ExtCHF
================
     1 CHF1.10    CHF1.10
   250 CHF0.93  CHF231.25
   500 CHF0.60  CHF301.00
  1000 CHF0.60  CHF602.00</t>
        </r>
      </text>
    </comment>
    <comment ref="N50" authorId="0">
      <text>
        <r>
          <rPr>
            <sz val="8"/>
            <color indexed="81"/>
            <rFont val="Tahoma"/>
            <family val="2"/>
          </rPr>
          <t>Desc: Power Inductors - SMD 22uH Shld 20% 830mA 360 mOhms</t>
        </r>
      </text>
    </comment>
    <comment ref="Q50" authorId="0">
      <text>
        <r>
          <rPr>
            <sz val="8"/>
            <color indexed="81"/>
            <rFont val="Tahoma"/>
            <family val="2"/>
          </rPr>
          <t>Qty/Price Breaks (USD):
  Qty  -  Unit$  -  Ext$
================
     1   $1.19      $1.19
   250   $1.00    $250.00
   500   $0.65    $325.00</t>
        </r>
      </text>
    </comment>
    <comment ref="T50" authorId="0">
      <text>
        <r>
          <rPr>
            <sz val="8"/>
            <color indexed="81"/>
            <rFont val="Tahoma"/>
            <family val="2"/>
          </rPr>
          <t xml:space="preserve">Desc: FIXED IND 22UH 900MA 360MOHM SMD
Footprint: Nonstandard
Size: 0.154" L x 0.154" W (3.90mm x 3.90mm)
Tolerance: ±20%
Value: 22 µH </t>
        </r>
      </text>
    </comment>
    <comment ref="I51" authorId="0">
      <text>
        <r>
          <rPr>
            <sz val="8"/>
            <color indexed="81"/>
            <rFont val="Tahoma"/>
            <family val="2"/>
          </rPr>
          <t>3220 In Stock</t>
        </r>
      </text>
    </comment>
    <comment ref="K51" authorId="0">
      <text>
        <r>
          <rPr>
            <sz val="8"/>
            <color indexed="81"/>
            <rFont val="Tahoma"/>
            <family val="2"/>
          </rPr>
          <t>Qty/Price Breaks (CHF):
  Qty  -  UnitCHF  -  ExtCHF
================
     1 CHF0.28    CHF0.28
    10 CHF0.19    CHF1.91
   100 CHF0.10    CHF9.90
  1000 CHF0.09   CHF89.00
  3000 CHF0.07  CHF210.00
  9000 CHF0.06  CHF540.00
 24000 CHF0.06 CHF1,416.00</t>
        </r>
      </text>
    </comment>
    <comment ref="N51" authorId="0">
      <text>
        <r>
          <rPr>
            <sz val="8"/>
            <color indexed="81"/>
            <rFont val="Tahoma"/>
            <family val="2"/>
          </rPr>
          <t>Desc: MOSFETs PMV90ENE/SOT23/TO-236AB</t>
        </r>
      </text>
    </comment>
    <comment ref="Q51" authorId="0">
      <text>
        <r>
          <rPr>
            <sz val="8"/>
            <color indexed="81"/>
            <rFont val="Tahoma"/>
            <family val="2"/>
          </rPr>
          <t>Qty/Price Breaks (USD):
  Qty  -  Unit$  -  Ext$
================
     1   $0.31      $0.31
    10   $0.21      $2.11
   100   $0.14     $14.22
   500   $0.11     $54.89
  1000   $0.10     $98.93</t>
        </r>
      </text>
    </comment>
    <comment ref="T51" authorId="0">
      <text>
        <r>
          <rPr>
            <sz val="8"/>
            <color indexed="81"/>
            <rFont val="Tahoma"/>
            <family val="2"/>
          </rPr>
          <t>Desc: MOSFET N-CHANNEL 30V 3A TO236AB
Footprint: TO-236-3, SC-59, SOT-23-3</t>
        </r>
      </text>
    </comment>
    <comment ref="W51" authorId="0">
      <text>
        <r>
          <rPr>
            <sz val="8"/>
            <color indexed="81"/>
            <rFont val="Tahoma"/>
            <family val="2"/>
          </rPr>
          <t>Qty/Price Breaks (USD):
  Qty  -  Unit$  -  Ext$
================
     1   $0.53      $0.53
    10   $0.40      $4.00
    25   $0.31      $7.80
   100   $0.20     $20.10
   500   $0.14     $67.50
  1000   $0.12    $121.00
  3000   $0.11    $321.00
  6000   $0.10    $618.00
 30000   $0.10  $2,940.00
 45000   $0.10  $4,320.00</t>
        </r>
      </text>
    </comment>
    <comment ref="Z51" authorId="0">
      <text>
        <r>
          <rPr>
            <sz val="8"/>
            <color indexed="81"/>
            <rFont val="Tahoma"/>
            <family val="2"/>
          </rPr>
          <t>Desc: Transistor: N-MOSFET; unipolar; 30V; 1.9A; Idm: 12A; SOT23,TO236AB
Manf: NEXPERIA</t>
        </r>
      </text>
    </comment>
    <comment ref="I52" authorId="0">
      <text>
        <r>
          <rPr>
            <sz val="8"/>
            <color indexed="81"/>
            <rFont val="Tahoma"/>
            <family val="2"/>
          </rPr>
          <t>10125 In Stock</t>
        </r>
      </text>
    </comment>
    <comment ref="K52" authorId="0">
      <text>
        <r>
          <rPr>
            <sz val="8"/>
            <color indexed="81"/>
            <rFont val="Tahoma"/>
            <family val="2"/>
          </rPr>
          <t>Qty/Price Breaks (CHF):
  Qty  -  UnitCHF  -  ExtCHF
================
     1 CHF2.76    CHF2.76
    10 CHF1.90   CHF19.00
    50 CHF1.77   CHF88.50
   100 CHF1.37  CHF137.00
   500 CHF1.15  CHF575.00
  1000 CHF1.13 CHF1,130.00
  5000 CHF1.13 CHF5,650.00</t>
        </r>
      </text>
    </comment>
    <comment ref="N52" authorId="0">
      <text>
        <r>
          <rPr>
            <sz val="8"/>
            <color indexed="81"/>
            <rFont val="Tahoma"/>
            <family val="2"/>
          </rPr>
          <t>Desc: MOSFETs POWER MOSFET TRANSISTOR PD=170W</t>
        </r>
      </text>
    </comment>
    <comment ref="Q52" authorId="0">
      <text>
        <r>
          <rPr>
            <sz val="8"/>
            <color indexed="81"/>
            <rFont val="Tahoma"/>
            <family val="2"/>
          </rPr>
          <t>Qty/Price Breaks (USD):
  Qty  -  Unit$  -  Ext$
================
     1   $3.55      $3.55
    10   $2.32     $23.21
   100   $1.62    $162.28
   500   $1.32    $662.31
  1000   $1.23  $1,228.83
  2000   $1.20  $2,400.00</t>
        </r>
      </text>
    </comment>
    <comment ref="T52" authorId="0">
      <text>
        <r>
          <rPr>
            <sz val="8"/>
            <color indexed="81"/>
            <rFont val="Tahoma"/>
            <family val="2"/>
          </rPr>
          <t>Desc: MOSFET N-CH 60V 260A 8DSOP
Footprint: 8-PowerVDFN</t>
        </r>
      </text>
    </comment>
    <comment ref="U52" authorId="0">
      <text>
        <r>
          <rPr>
            <sz val="8"/>
            <color indexed="81"/>
            <rFont val="Tahoma"/>
            <family val="2"/>
          </rPr>
          <t>This part is listed but is not stocked.</t>
        </r>
      </text>
    </comment>
    <comment ref="Z52" authorId="0">
      <text>
        <r>
          <rPr>
            <sz val="8"/>
            <color indexed="81"/>
            <rFont val="Tahoma"/>
            <family val="2"/>
          </rPr>
          <t>Desc: Transistor: N-MOSFET; unipolar; 60V; 260A; Idm: 500A; 170W; DSOP8
Manf: TOSHIBA</t>
        </r>
      </text>
    </comment>
    <comment ref="I53" authorId="0">
      <text>
        <r>
          <rPr>
            <sz val="8"/>
            <color indexed="81"/>
            <rFont val="Tahoma"/>
            <family val="2"/>
          </rPr>
          <t>8867 In Stock</t>
        </r>
      </text>
    </comment>
    <comment ref="K53" authorId="0">
      <text>
        <r>
          <rPr>
            <sz val="8"/>
            <color indexed="81"/>
            <rFont val="Tahoma"/>
            <family val="2"/>
          </rPr>
          <t>Qty/Price Breaks (CHF):
  Qty  -  UnitCHF  -  ExtCHF
================
     1 CHF0.87    CHF0.87
    10 CHF0.67    CHF6.69
    25 CHF0.62   CHF15.55
    50 CHF0.56   CHF27.75
   100 CHF0.48   CHF48.20
   250 CHF0.40  CHF101.00
   500 CHF0.35  CHF177.50
  1000 CHF0.31  CHF308.00
  2000 CHF0.29  CHF590.00</t>
        </r>
      </text>
    </comment>
    <comment ref="N53" authorId="0">
      <text>
        <r>
          <rPr>
            <sz val="8"/>
            <color indexed="81"/>
            <rFont val="Tahoma"/>
            <family val="2"/>
          </rPr>
          <t>Desc: Current Sense Resistors - SMD 0.0005Ohms 1206 2W 200ppm 1% Hi Curr AEC-Q200</t>
        </r>
      </text>
    </comment>
    <comment ref="Q53" authorId="0">
      <text>
        <r>
          <rPr>
            <sz val="8"/>
            <color indexed="81"/>
            <rFont val="Tahoma"/>
            <family val="2"/>
          </rPr>
          <t>Qty/Price Breaks (USD):
  Qty  -  Unit$  -  Ext$
================
     1   $1.49      $1.49
    10   $0.87      $8.67
    25   $0.71     $17.72
    50   $0.61     $30.59
   100   $0.53     $53.10
   250   $0.44    $111.07
   500   $0.39    $195.49
  1000   $0.35    $346.36</t>
        </r>
      </text>
    </comment>
    <comment ref="T53" authorId="0">
      <text>
        <r>
          <rPr>
            <sz val="8"/>
            <color indexed="81"/>
            <rFont val="Tahoma"/>
            <family val="2"/>
          </rPr>
          <t xml:space="preserve">Desc: RES 500 UOHM 1% 2W 1206
Footprint: 1206 (3216 Metric)
Power: 2W
Size: 0.126" L x 0.065" W (3.20mm x 1.65mm)
Temp_coeff: ±200ppm/°C
Tolerance: ±1%
Value: 0.5 mOhms </t>
        </r>
      </text>
    </comment>
    <comment ref="I54" authorId="0">
      <text>
        <r>
          <rPr>
            <sz val="8"/>
            <color indexed="81"/>
            <rFont val="Tahoma"/>
            <family val="2"/>
          </rPr>
          <t>985110 In Stock</t>
        </r>
      </text>
    </comment>
    <comment ref="K54" authorId="0">
      <text>
        <r>
          <rPr>
            <sz val="8"/>
            <color indexed="81"/>
            <rFont val="Tahoma"/>
            <family val="2"/>
          </rPr>
          <t>Qty/Price Breaks (CHF):
  Qty  -  UnitCHF  -  ExtCHF
================
     1 CHF0.09    CHF0.09
    10 CHF0.01    CHF0.12
   100 CHF0.01    CHF0.70
  1000 CHF0.01    CHF6.00
  2500 CHF0.00   CHF10.00
 10000 CHF0.00   CHF40.00
 50000 CHF0.00  CHF150.00</t>
        </r>
      </text>
    </comment>
    <comment ref="N54" authorId="0">
      <text>
        <r>
          <rPr>
            <sz val="8"/>
            <color indexed="81"/>
            <rFont val="Tahoma"/>
            <family val="2"/>
          </rPr>
          <t>Desc: Thick Film Resistors - SMD 0402 Zero ohms 5% Tol AEC-Q200</t>
        </r>
      </text>
    </comment>
    <comment ref="Q54" authorId="0">
      <text>
        <r>
          <rPr>
            <sz val="8"/>
            <color indexed="81"/>
            <rFont val="Tahoma"/>
            <family val="2"/>
          </rPr>
          <t>Qty/Price Breaks (USD):
  Qty  -  Unit$  -  Ext$
================
     1   $0.10      $0.10
    10   $0.02      $0.20
    25   $0.02      $0.39
    50   $0.01      $0.64
   100   $0.01      $1.08
   250   $0.01      $2.16
   500   $0.01      $3.67
  1000   $0.01      $6.27
  5000   $0.00     $22.05</t>
        </r>
      </text>
    </comment>
    <comment ref="T54" authorId="0">
      <text>
        <r>
          <rPr>
            <sz val="8"/>
            <color indexed="81"/>
            <rFont val="Tahoma"/>
            <family val="2"/>
          </rPr>
          <t xml:space="preserve">Desc: RES SMD 0 OHM JUMPER 1/10W 0402
Footprint: 0402 (1005 Metric)
Power: -
Size: 0.039" L x 0.020" W (1.00mm x 0.50mm)
Temp_coeff: -
Tolerance: Jumper
Value: 0 Ohms </t>
        </r>
      </text>
    </comment>
    <comment ref="W54" authorId="0">
      <text>
        <r>
          <rPr>
            <sz val="8"/>
            <color indexed="81"/>
            <rFont val="Tahoma"/>
            <family val="2"/>
          </rPr>
          <t>Qty/Price Breaks (USD):
  Qty  -  Unit$  -  Ext$
================
     1   $0.11      $0.11
    10   $0.01      $0.14
   100   $0.01      $0.91
   500   $0.01      $3.56
  1000   $0.01      $6.38
  2500   $0.01     $13.70
 10000   $0.00     $43.00
200000   $0.00    $726.00</t>
        </r>
      </text>
    </comment>
    <comment ref="Z54" authorId="0">
      <text>
        <r>
          <rPr>
            <sz val="8"/>
            <color indexed="81"/>
            <rFont val="Tahoma"/>
            <family val="2"/>
          </rPr>
          <t xml:space="preserve">Desc: Resistor: thick film; SMD; 0402; 0Ω; 100mW; -55÷155°C
Manf: PANASONIC
Power: 0.1W
Value: 0Ω </t>
        </r>
      </text>
    </comment>
    <comment ref="I55" authorId="0">
      <text>
        <r>
          <rPr>
            <sz val="8"/>
            <color indexed="81"/>
            <rFont val="Tahoma"/>
            <family val="2"/>
          </rPr>
          <t>460545 In Stock</t>
        </r>
      </text>
    </comment>
    <comment ref="K55" authorId="0">
      <text>
        <r>
          <rPr>
            <sz val="8"/>
            <color indexed="81"/>
            <rFont val="Tahoma"/>
            <family val="2"/>
          </rPr>
          <t>Qty/Price Breaks (CHF):
  Qty  -  UnitCHF  -  ExtCHF
================
     1 CHF0.11    CHF0.11
    10 CHF0.04    CHF0.41
   100 CHF0.03    CHF2.50
  1000 CHF0.02   CHF20.00
  5000 CHF0.02   CHF80.00
 10000 CHF0.01  CHF120.00</t>
        </r>
      </text>
    </comment>
    <comment ref="N55" authorId="0">
      <text>
        <r>
          <rPr>
            <sz val="8"/>
            <color indexed="81"/>
            <rFont val="Tahoma"/>
            <family val="2"/>
          </rPr>
          <t>Desc: Thick Film Resistors - SMD 0.33W Zeroohm Jumper High Power AEC-Q200</t>
        </r>
      </text>
    </comment>
    <comment ref="Q55" authorId="0">
      <text>
        <r>
          <rPr>
            <sz val="8"/>
            <color indexed="81"/>
            <rFont val="Tahoma"/>
            <family val="2"/>
          </rPr>
          <t>Qty/Price Breaks (USD):
  Qty  -  Unit$  -  Ext$
================
     1   $0.13      $0.13
    10   $0.07      $0.71
    25   $0.06      $1.41
    50   $0.05      $2.38
   100   $0.04      $4.04
   250   $0.03      $8.18
   500   $0.03     $14.04
  1000   $0.02     $24.21</t>
        </r>
      </text>
    </comment>
    <comment ref="T55" authorId="0">
      <text>
        <r>
          <rPr>
            <sz val="8"/>
            <color indexed="81"/>
            <rFont val="Tahoma"/>
            <family val="2"/>
          </rPr>
          <t xml:space="preserve">Desc: RES SMD 0 OHM JUMPER 1/3W 0603
Footprint: 0603 (1608 Metric)
Power: -
Size: 0.063" L x 0.033" W (1.60mm x 0.85mm)
Temp_coeff: -
Tolerance: Jumper
Value: 0 Ohms </t>
        </r>
      </text>
    </comment>
    <comment ref="W55" authorId="0">
      <text>
        <r>
          <rPr>
            <sz val="8"/>
            <color indexed="81"/>
            <rFont val="Tahoma"/>
            <family val="2"/>
          </rPr>
          <t>Qty/Price Breaks (USD):
  Qty  -  Unit$  -  Ext$
================
    10   $0.06      $0.64
    25   $0.05      $1.36
    50   $0.05      $2.31
   100   $0.04      $3.79
   250   $0.03      $7.10
   500   $0.02     $11.35
  1000   $0.02     $21.20</t>
        </r>
      </text>
    </comment>
    <comment ref="Z55" authorId="0">
      <text>
        <r>
          <rPr>
            <sz val="8"/>
            <color indexed="81"/>
            <rFont val="Tahoma"/>
            <family val="2"/>
          </rPr>
          <t xml:space="preserve">Desc: Resistor: thick film; SMD; 0603; 0Ω; 0.1W; -55÷155°C
Manf: VISHAY
Power: 0.1W
Value: 0Ω </t>
        </r>
      </text>
    </comment>
    <comment ref="I56" authorId="0">
      <text>
        <r>
          <rPr>
            <sz val="8"/>
            <color indexed="81"/>
            <rFont val="Tahoma"/>
            <family val="2"/>
          </rPr>
          <t>6935 In Stock</t>
        </r>
      </text>
    </comment>
    <comment ref="K56" authorId="0">
      <text>
        <r>
          <rPr>
            <sz val="8"/>
            <color indexed="81"/>
            <rFont val="Tahoma"/>
            <family val="2"/>
          </rPr>
          <t>Qty/Price Breaks (CHF):
  Qty  -  UnitCHF  -  ExtCHF
================
     1 CHF0.24    CHF0.24
    10 CHF0.11    CHF1.07
   100 CHF0.06    CHF6.00
   500 CHF0.05   CHF23.50
  1000 CHF0.03   CHF32.00
  2500 CHF0.03   CHF75.00
  5000 CHF0.03  CHF150.00
 10000 CHF0.03  CHF250.00
 25000 CHF0.02  CHF600.00</t>
        </r>
      </text>
    </comment>
    <comment ref="N56" authorId="0">
      <text>
        <r>
          <rPr>
            <sz val="8"/>
            <color indexed="81"/>
            <rFont val="Tahoma"/>
            <family val="2"/>
          </rPr>
          <t>Desc: Current Sense Resistors - SMD 5Ohms 0603 0.4W 50ppm 1% Thin Curr Sens AEC-Q200</t>
        </r>
      </text>
    </comment>
    <comment ref="Q56" authorId="0">
      <text>
        <r>
          <rPr>
            <sz val="8"/>
            <color indexed="81"/>
            <rFont val="Tahoma"/>
            <family val="2"/>
          </rPr>
          <t>Qty/Price Breaks (USD):
  Qty  -  Unit$  -  Ext$
================
     1   $0.26      $0.26
    10   $0.21      $2.11
    25   $0.16      $4.04
    50   $0.12      $5.86
   100   $0.08      $8.24
   250   $0.07     $16.66
   500   $0.05     $26.26
  1000   $0.04     $36.36</t>
        </r>
      </text>
    </comment>
    <comment ref="T56" authorId="0">
      <text>
        <r>
          <rPr>
            <sz val="8"/>
            <color indexed="81"/>
            <rFont val="Tahoma"/>
            <family val="2"/>
          </rPr>
          <t xml:space="preserve">Desc: RES 5 OHM 1% 0.4W 0603
Footprint: 0603 (1608 Metric)
Power: 0.4W
Size: 0.063" L x 0.031" W (1.60mm x 0.80mm)
Temp_coeff: ±50ppm/°C
Tolerance: ±1%
Value: 5 Ohms </t>
        </r>
      </text>
    </comment>
    <comment ref="I57" authorId="0">
      <text>
        <r>
          <rPr>
            <sz val="8"/>
            <color indexed="81"/>
            <rFont val="Tahoma"/>
            <family val="2"/>
          </rPr>
          <t>13350 In Stock</t>
        </r>
      </text>
    </comment>
    <comment ref="K57" authorId="0">
      <text>
        <r>
          <rPr>
            <sz val="8"/>
            <color indexed="81"/>
            <rFont val="Tahoma"/>
            <family val="2"/>
          </rPr>
          <t>Qty/Price Breaks (CHF):
  Qty  -  UnitCHF  -  ExtCHF
================
     1 CHF0.18    CHF0.18
    10 CHF0.07    CHF0.65
   100 CHF0.04    CHF4.00
  1000 CHF0.03   CHF32.00
  5000 CHF0.03  CHF125.00
 10000 CHF0.02  CHF240.00
 25000 CHF0.02  CHF525.00
 50000 CHF0.02 CHF1,000.00</t>
        </r>
      </text>
    </comment>
    <comment ref="N57" authorId="0">
      <text>
        <r>
          <rPr>
            <sz val="8"/>
            <color indexed="81"/>
            <rFont val="Tahoma"/>
            <family val="2"/>
          </rPr>
          <t>Desc: Thick Film Resistors - SMD 1/2W 7.5ohms 1% High Power AEC-Q200</t>
        </r>
      </text>
    </comment>
    <comment ref="Q57" authorId="0">
      <text>
        <r>
          <rPr>
            <sz val="8"/>
            <color indexed="81"/>
            <rFont val="Tahoma"/>
            <family val="2"/>
          </rPr>
          <t>Qty/Price Breaks (USD):
  Qty  -  Unit$  -  Ext$
================
     1   $0.20      $0.20
    10   $0.10      $1.01
    50   $0.07      $3.36
   100   $0.06      $5.75
   500   $0.04     $20.78
  1000   $0.04     $36.80</t>
        </r>
      </text>
    </comment>
    <comment ref="T57" authorId="0">
      <text>
        <r>
          <rPr>
            <sz val="8"/>
            <color indexed="81"/>
            <rFont val="Tahoma"/>
            <family val="2"/>
          </rPr>
          <t xml:space="preserve">Desc: RES SMD 7.5 OHM 1% 1/2W 0805
Footprint: 0805 (2012 Metric)
Power: 0.5W, 1/2W
Size: 0.079" L x 0.049" W (2.00mm x 1.25mm)
Temp_coeff: ±100ppm/°C
Tolerance: ±1%
Value: 7.5 Ohms </t>
        </r>
      </text>
    </comment>
    <comment ref="I58" authorId="0">
      <text>
        <r>
          <rPr>
            <sz val="8"/>
            <color indexed="81"/>
            <rFont val="Tahoma"/>
            <family val="2"/>
          </rPr>
          <t>354154 In Stock</t>
        </r>
      </text>
    </comment>
    <comment ref="K58" authorId="0">
      <text>
        <r>
          <rPr>
            <sz val="8"/>
            <color indexed="81"/>
            <rFont val="Tahoma"/>
            <family val="2"/>
          </rPr>
          <t>Qty/Price Breaks (CHF):
  Qty  -  UnitCHF  -  ExtCHF
================
     1 CHF0.13    CHF0.13
    10 CHF0.04    CHF0.39
   100 CHF0.03    CHF2.50
  1000 CHF0.02   CHF21.00
  5000 CHF0.01   CHF70.00
 10000 CHF0.01  CHF130.00
 50000 CHF0.01  CHF600.00</t>
        </r>
      </text>
    </comment>
    <comment ref="N58" authorId="0">
      <text>
        <r>
          <rPr>
            <sz val="8"/>
            <color indexed="81"/>
            <rFont val="Tahoma"/>
            <family val="2"/>
          </rPr>
          <t>Desc: Thick Film Resistors - SMD 0.33W 10ohms 1% High Power AEC-Q200</t>
        </r>
      </text>
    </comment>
    <comment ref="Q58" authorId="0">
      <text>
        <r>
          <rPr>
            <sz val="8"/>
            <color indexed="81"/>
            <rFont val="Tahoma"/>
            <family val="2"/>
          </rPr>
          <t>Qty/Price Breaks (USD):
  Qty  -  Unit$  -  Ext$
================
     1   $0.14      $0.14
    10   $0.07      $0.71
    50   $0.05      $2.34
   100   $0.04      $3.97
   500   $0.03     $14.10
  1000   $0.02     $24.77</t>
        </r>
      </text>
    </comment>
    <comment ref="T58" authorId="0">
      <text>
        <r>
          <rPr>
            <sz val="8"/>
            <color indexed="81"/>
            <rFont val="Tahoma"/>
            <family val="2"/>
          </rPr>
          <t xml:space="preserve">Desc: RES SMD 10 OHM 1% 1/3W 0603
Footprint: 0603 (1608 Metric)
Power: 0.333W, 1/3W
Size: 0.063" L x 0.033" W (1.60mm x 0.85mm)
Temp_coeff: ±100ppm/°C
Tolerance: ±1%
Value: 10 Ohms </t>
        </r>
      </text>
    </comment>
    <comment ref="U58" authorId="0">
      <text>
        <r>
          <rPr>
            <sz val="8"/>
            <color indexed="81"/>
            <rFont val="Tahoma"/>
            <family val="2"/>
          </rPr>
          <t>This part is listed but is not stocked.</t>
        </r>
      </text>
    </comment>
    <comment ref="W58" authorId="0">
      <text>
        <r>
          <rPr>
            <sz val="8"/>
            <color indexed="81"/>
            <rFont val="Tahoma"/>
            <family val="2"/>
          </rPr>
          <t>Qty/Price Breaks (USD):
  Qty  -  Unit$  -  Ext$
================
  5000   $0.02     $76.00
 10000   $0.01    $132.00</t>
        </r>
      </text>
    </comment>
    <comment ref="Z58" authorId="0">
      <text>
        <r>
          <rPr>
            <sz val="8"/>
            <color indexed="81"/>
            <rFont val="Tahoma"/>
            <family val="2"/>
          </rPr>
          <t xml:space="preserve">Desc: Resistor: thick film; SMD; 0603; 10Ω; 0.1W; ±1%; -55÷155°C
Manf: VISHAY
Power: 0.1W
Temp_coeff: 100ppm/°C
Tolerance: ±1%
Value: 10Ω </t>
        </r>
      </text>
    </comment>
    <comment ref="I59" authorId="0">
      <text>
        <r>
          <rPr>
            <sz val="8"/>
            <color indexed="81"/>
            <rFont val="Tahoma"/>
            <family val="2"/>
          </rPr>
          <t>206254 In Stock</t>
        </r>
      </text>
    </comment>
    <comment ref="K59" authorId="0">
      <text>
        <r>
          <rPr>
            <sz val="8"/>
            <color indexed="81"/>
            <rFont val="Tahoma"/>
            <family val="2"/>
          </rPr>
          <t>Qty/Price Breaks (CHF):
  Qty  -  UnitCHF  -  ExtCHF
================
     1 CHF0.09    CHF0.09
    10 CHF0.01    CHF0.14
   100 CHF0.01    CHF0.80
  1000 CHF0.01    CHF7.00
  2500 CHF0.01   CHF15.00
 10000 CHF0.00   CHF40.00
100000 CHF0.00  CHF300.00</t>
        </r>
      </text>
    </comment>
    <comment ref="N59" authorId="0">
      <text>
        <r>
          <rPr>
            <sz val="8"/>
            <color indexed="81"/>
            <rFont val="Tahoma"/>
            <family val="2"/>
          </rPr>
          <t>Desc: Thick Film Resistors - SMD 0402 22.0ohms 1% Tol AEC-Q200</t>
        </r>
      </text>
    </comment>
    <comment ref="Q59" authorId="0">
      <text>
        <r>
          <rPr>
            <sz val="8"/>
            <color indexed="81"/>
            <rFont val="Tahoma"/>
            <family val="2"/>
          </rPr>
          <t>Qty/Price Breaks (USD):
  Qty  -  Unit$  -  Ext$
================
     1   $0.10      $0.10
    10   $0.02      $0.24
    50   $0.02      $0.76
   100   $0.01      $1.25
   500   $0.01      $4.20
  1000   $0.01      $7.20
  5000   $0.01     $26.15</t>
        </r>
      </text>
    </comment>
    <comment ref="T59" authorId="0">
      <text>
        <r>
          <rPr>
            <sz val="8"/>
            <color indexed="81"/>
            <rFont val="Tahoma"/>
            <family val="2"/>
          </rPr>
          <t xml:space="preserve">Desc: RES SMD 22 OHM 1% 1/10W 0402
Footprint: 0402 (1005 Metric)
Power: 0.1W, 1/10W
Size: 0.039" L x 0.020" W (1.00mm x 0.50mm)
Temp_coeff: ±100ppm/°C
Tolerance: ±1%
Value: 22 Ohms </t>
        </r>
      </text>
    </comment>
    <comment ref="U59" authorId="0">
      <text>
        <r>
          <rPr>
            <sz val="8"/>
            <color indexed="81"/>
            <rFont val="Tahoma"/>
            <family val="2"/>
          </rPr>
          <t>This part is listed but is not stocked.</t>
        </r>
      </text>
    </comment>
    <comment ref="W59" authorId="0">
      <text>
        <r>
          <rPr>
            <sz val="8"/>
            <color indexed="81"/>
            <rFont val="Tahoma"/>
            <family val="2"/>
          </rPr>
          <t>Qty/Price Breaks (USD):
  Qty  -  Unit$  -  Ext$
================
     1   $0.11      $0.11
    10   $0.02      $0.19
    50   $0.01      $0.64
   100   $0.01      $1.06
  1000   $0.01      $5.98
  2500   $0.00     $11.65
  5000   $0.00     $19.15
 10000   $0.00     $35.90</t>
        </r>
      </text>
    </comment>
    <comment ref="Z59" authorId="0">
      <text>
        <r>
          <rPr>
            <sz val="8"/>
            <color indexed="81"/>
            <rFont val="Tahoma"/>
            <family val="2"/>
          </rPr>
          <t xml:space="preserve">Desc: Resistor: thick film; SMD; 0402; 22Ω; 100mW; ±1%; -55÷155°C
Manf: PANASONIC
Power: 0.1W
Temp_coeff: 100ppm/°C
Tolerance: ±1%
Value: 22Ω </t>
        </r>
      </text>
    </comment>
    <comment ref="I60" authorId="0">
      <text>
        <r>
          <rPr>
            <sz val="8"/>
            <color indexed="81"/>
            <rFont val="Tahoma"/>
            <family val="2"/>
          </rPr>
          <t>16776 In Stock</t>
        </r>
      </text>
    </comment>
    <comment ref="K60" authorId="0">
      <text>
        <r>
          <rPr>
            <sz val="8"/>
            <color indexed="81"/>
            <rFont val="Tahoma"/>
            <family val="2"/>
          </rPr>
          <t>Qty/Price Breaks (CHF):
  Qty  -  UnitCHF  -  ExtCHF
================
     1 CHF0.14    CHF0.14
    10 CHF0.05    CHF0.47
   100 CHF0.03    CHF2.90
  1000 CHF0.02   CHF20.00
  5000 CHF0.02   CHF85.00
 10000 CHF0.01  CHF150.00
 25000 CHF0.01  CHF325.00</t>
        </r>
      </text>
    </comment>
    <comment ref="N60" authorId="0">
      <text>
        <r>
          <rPr>
            <sz val="8"/>
            <color indexed="81"/>
            <rFont val="Tahoma"/>
            <family val="2"/>
          </rPr>
          <t>Desc: Thick Film Resistors - SMD Anti-surge Chip Resistors</t>
        </r>
      </text>
    </comment>
    <comment ref="Q60" authorId="0">
      <text>
        <r>
          <rPr>
            <sz val="8"/>
            <color indexed="81"/>
            <rFont val="Tahoma"/>
            <family val="2"/>
          </rPr>
          <t>Qty/Price Breaks (USD):
  Qty  -  Unit$  -  Ext$
================
     1   $0.16      $0.16
    10   $0.08      $0.78
    50   $0.05      $2.59
   100   $0.04      $4.41
   500   $0.03     $15.76
  1000   $0.03     $27.75</t>
        </r>
      </text>
    </comment>
    <comment ref="T60" authorId="0">
      <text>
        <r>
          <rPr>
            <sz val="8"/>
            <color indexed="81"/>
            <rFont val="Tahoma"/>
            <family val="2"/>
          </rPr>
          <t xml:space="preserve">Desc: RES 60.4 OHM 1% 1/4W 0603
Footprint: 0603 (1608 Metric)
Power: 0.25W, 1/4W
Size: 0.063" L x 0.031" W (1.60mm x 0.80mm)
Temp_coeff: ±100ppm/°C
Tolerance: ±1%
Value: 60.4 Ohms </t>
        </r>
      </text>
    </comment>
    <comment ref="I61" authorId="0">
      <text>
        <r>
          <rPr>
            <sz val="8"/>
            <color indexed="81"/>
            <rFont val="Tahoma"/>
            <family val="2"/>
          </rPr>
          <t>40368 In Stock</t>
        </r>
      </text>
    </comment>
    <comment ref="K61" authorId="0">
      <text>
        <r>
          <rPr>
            <sz val="8"/>
            <color indexed="81"/>
            <rFont val="Tahoma"/>
            <family val="2"/>
          </rPr>
          <t>Qty/Price Breaks (CHF):
  Qty  -  UnitCHF  -  ExtCHF
================
     1 CHF0.10    CHF0.10
    10 CHF0.03    CHF0.31
   100 CHF0.02    CHF1.90
  1000 CHF0.01   CHF15.00
  2500 CHF0.01   CHF32.50
 10000 CHF0.01  CHF120.00</t>
        </r>
      </text>
    </comment>
    <comment ref="N61" authorId="0">
      <text>
        <r>
          <rPr>
            <sz val="8"/>
            <color indexed="81"/>
            <rFont val="Tahoma"/>
            <family val="2"/>
          </rPr>
          <t>Desc: Thick Film Resistors - SMD 0.2watt 100ohms 1% 100ppm</t>
        </r>
      </text>
    </comment>
    <comment ref="Q61" authorId="0">
      <text>
        <r>
          <rPr>
            <sz val="8"/>
            <color indexed="81"/>
            <rFont val="Tahoma"/>
            <family val="2"/>
          </rPr>
          <t>Qty/Price Breaks (USD):
  Qty  -  Unit$  -  Ext$
================
     1   $0.11      $0.11
    10   $0.05      $0.53
    50   $0.03      $1.72
   100   $0.03      $2.89
   500   $0.02     $10.11
  1000   $0.02     $17.64
  5000   $0.01     $67.00</t>
        </r>
      </text>
    </comment>
    <comment ref="T61" authorId="0">
      <text>
        <r>
          <rPr>
            <sz val="8"/>
            <color indexed="81"/>
            <rFont val="Tahoma"/>
            <family val="2"/>
          </rPr>
          <t xml:space="preserve">Desc: RES SMD 100 OHM 1% 1/5W 0402
Footprint: 0402 (1005 Metric)
Power: 0.2W, 1/5W
Size: 0.039" L x 0.020" W (1.00mm x 0.50mm)
Temp_coeff: ±100ppm/°C
Tolerance: ±1%
Value: 100 Ohms </t>
        </r>
      </text>
    </comment>
    <comment ref="I62" authorId="0">
      <text>
        <r>
          <rPr>
            <sz val="8"/>
            <color indexed="81"/>
            <rFont val="Tahoma"/>
            <family val="2"/>
          </rPr>
          <t>This part is listed but is not stocked.</t>
        </r>
      </text>
    </comment>
    <comment ref="K62" authorId="0">
      <text>
        <r>
          <rPr>
            <sz val="8"/>
            <color indexed="81"/>
            <rFont val="Tahoma"/>
            <family val="2"/>
          </rPr>
          <t>Qty/Price Breaks (CHF):
  Qty  -  UnitCHF  -  ExtCHF
================
     1 CHF0.11    CHF0.11
    10 CHF0.03    CHF0.33
   100 CHF0.02    CHF2.00
  2500 CHF0.01   CHF30.00
 10000 CHF0.01  CHF100.00</t>
        </r>
      </text>
    </comment>
    <comment ref="N62" authorId="0">
      <text>
        <r>
          <rPr>
            <sz val="8"/>
            <color indexed="81"/>
            <rFont val="Tahoma"/>
            <family val="2"/>
          </rPr>
          <t>Desc: Thick Film Resistors - SMD 0.2W 150ohms 1% High Power AEC-Q200</t>
        </r>
      </text>
    </comment>
    <comment ref="O62" authorId="0">
      <text>
        <r>
          <rPr>
            <sz val="8"/>
            <color indexed="81"/>
            <rFont val="Tahoma"/>
            <family val="2"/>
          </rPr>
          <t>This part is listed but is not stocked.</t>
        </r>
      </text>
    </comment>
    <comment ref="Q62" authorId="0">
      <text>
        <r>
          <rPr>
            <sz val="8"/>
            <color indexed="81"/>
            <rFont val="Tahoma"/>
            <family val="2"/>
          </rPr>
          <t>Qty/Price Breaks (USD):
  Qty  -  Unit$  -  Ext$
================
     1   $0.14      $0.14
    10   $0.07      $0.68
    50   $0.04      $2.24
   100   $0.04      $3.80
   500   $0.03     $13.46
  1000   $0.02     $23.61
  5000   $0.02     $90.60</t>
        </r>
      </text>
    </comment>
    <comment ref="T62" authorId="0">
      <text>
        <r>
          <rPr>
            <sz val="8"/>
            <color indexed="81"/>
            <rFont val="Tahoma"/>
            <family val="2"/>
          </rPr>
          <t xml:space="preserve">Desc: RES SMD 150 OHM 1% 1/5W 0402
Footprint: 0402 (1005 Metric)
Power: 0.2W, 1/5W
Size: 0.039" L x 0.020" W (1.00mm x 0.50mm)
Temp_coeff: ±100ppm/°C
Tolerance: ±1%
Value: 150 Ohms </t>
        </r>
      </text>
    </comment>
    <comment ref="I63" authorId="0">
      <text>
        <r>
          <rPr>
            <sz val="8"/>
            <color indexed="81"/>
            <rFont val="Tahoma"/>
            <family val="2"/>
          </rPr>
          <t>867700 In Stock</t>
        </r>
      </text>
    </comment>
    <comment ref="K63" authorId="0">
      <text>
        <r>
          <rPr>
            <sz val="8"/>
            <color indexed="81"/>
            <rFont val="Tahoma"/>
            <family val="2"/>
          </rPr>
          <t>Qty/Price Breaks (CHF):
  Qty  -  UnitCHF  -  ExtCHF
================
     1 CHF0.09    CHF0.09
    10 CHF0.01    CHF0.15
   100 CHF0.01    CHF0.80
  1000 CHF0.01    CHF7.00
  2500 CHF0.01   CHF15.00
 10000 CHF0.00   CHF30.00</t>
        </r>
      </text>
    </comment>
    <comment ref="N63" authorId="0">
      <text>
        <r>
          <rPr>
            <sz val="8"/>
            <color indexed="81"/>
            <rFont val="Tahoma"/>
            <family val="2"/>
          </rPr>
          <t>Desc: Thick Film Resistors - SMD 0402 2Kohms 1% Tol AEC-Q200</t>
        </r>
      </text>
    </comment>
    <comment ref="Q63" authorId="0">
      <text>
        <r>
          <rPr>
            <sz val="8"/>
            <color indexed="81"/>
            <rFont val="Tahoma"/>
            <family val="2"/>
          </rPr>
          <t>Qty/Price Breaks (USD):
  Qty  -  Unit$  -  Ext$
================
     1   $0.10      $0.10
    10   $0.02      $0.24
    50   $0.02      $0.76
   100   $0.01      $1.25
   500   $0.01      $4.20
  1000   $0.01      $7.20
  5000   $0.01     $26.15</t>
        </r>
      </text>
    </comment>
    <comment ref="T63" authorId="0">
      <text>
        <r>
          <rPr>
            <sz val="8"/>
            <color indexed="81"/>
            <rFont val="Tahoma"/>
            <family val="2"/>
          </rPr>
          <t xml:space="preserve">Desc: RES SMD 2K OHM 1% 1/10W 0402
Footprint: 0402 (1005 Metric)
Power: 0.1W, 1/10W
Size: 0.039" L x 0.020" W (1.00mm x 0.50mm)
Temp_coeff: ±100ppm/°C
Tolerance: ±1%
Value: 2 kOhms </t>
        </r>
      </text>
    </comment>
    <comment ref="W63" authorId="0">
      <text>
        <r>
          <rPr>
            <sz val="8"/>
            <color indexed="81"/>
            <rFont val="Tahoma"/>
            <family val="2"/>
          </rPr>
          <t>Qty/Price Breaks (USD):
  Qty  -  Unit$  -  Ext$
================
     1   $0.11      $0.11
     8   $0.04      $0.34
    50   $0.02      $0.76
   100   $0.01      $1.10
  1000   $0.01      $5.24
  2500   $0.00     $11.40
 10000   $0.00     $40.90
500000   $0.00  $1,920.00
1000000   $0.00  $3,810.00</t>
        </r>
      </text>
    </comment>
    <comment ref="Z63" authorId="0">
      <text>
        <r>
          <rPr>
            <sz val="8"/>
            <color indexed="81"/>
            <rFont val="Tahoma"/>
            <family val="2"/>
          </rPr>
          <t xml:space="preserve">Desc: Resistor: thick film; SMD; 0402; 2kΩ; 100mW; ±1%; -55÷155°C
Manf: PANASONIC
Power: 0.1W
Temp_coeff: 100ppm/°C
Tolerance: ±1%
Value: 2kΩ </t>
        </r>
      </text>
    </comment>
    <comment ref="I64" authorId="0">
      <text>
        <r>
          <rPr>
            <sz val="8"/>
            <color indexed="81"/>
            <rFont val="Tahoma"/>
            <family val="2"/>
          </rPr>
          <t>49466 In Stock</t>
        </r>
      </text>
    </comment>
    <comment ref="K64" authorId="0">
      <text>
        <r>
          <rPr>
            <sz val="8"/>
            <color indexed="81"/>
            <rFont val="Tahoma"/>
            <family val="2"/>
          </rPr>
          <t>Qty/Price Breaks (CHF):
  Qty  -  UnitCHF  -  ExtCHF
================
     1 CHF0.09    CHF0.09
    10 CHF0.02    CHF0.23
   100 CHF0.02    CHF1.90
  1000 CHF0.01   CHF13.00
  2500 CHF0.01   CHF25.00
 10000 CHF0.01   CHF90.00
 25000 CHF0.01  CHF175.00
 50000 CHF0.01  CHF300.00</t>
        </r>
      </text>
    </comment>
    <comment ref="N64" authorId="0">
      <text>
        <r>
          <rPr>
            <sz val="8"/>
            <color indexed="81"/>
            <rFont val="Tahoma"/>
            <family val="2"/>
          </rPr>
          <t>Desc: Thin Film Resistors - SMD</t>
        </r>
      </text>
    </comment>
    <comment ref="Q64" authorId="0">
      <text>
        <r>
          <rPr>
            <sz val="8"/>
            <color indexed="81"/>
            <rFont val="Tahoma"/>
            <family val="2"/>
          </rPr>
          <t>Qty/Price Breaks (USD):
  Qty  -  Unit$  -  Ext$
================
     1   $0.10      $0.10
    10   $0.03      $0.27
    50   $0.02      $1.17
   100   $0.02      $2.04
   500   $0.02      $8.67
  1000   $0.01     $14.28
  5000   $0.01     $53.55
 10000   $0.01    $102.00</t>
        </r>
      </text>
    </comment>
    <comment ref="T64" authorId="0">
      <text>
        <r>
          <rPr>
            <sz val="8"/>
            <color indexed="81"/>
            <rFont val="Tahoma"/>
            <family val="2"/>
          </rPr>
          <t xml:space="preserve">Desc: RES 4.7K OHM 1% 1/16W 0402
Footprint: 0402 (1005 Metric)
Power: 0.063W, 1/16W
Size: 0.039" L x 0.020" W (1.00mm x 0.50mm)
Temp_coeff: ±50ppm/°C
Tolerance: ±1%
Value: 4.7 kOhms </t>
        </r>
      </text>
    </comment>
    <comment ref="I65" authorId="0">
      <text>
        <r>
          <rPr>
            <sz val="8"/>
            <color indexed="81"/>
            <rFont val="Tahoma"/>
            <family val="2"/>
          </rPr>
          <t>19744 In Stock</t>
        </r>
      </text>
    </comment>
    <comment ref="K65" authorId="0">
      <text>
        <r>
          <rPr>
            <sz val="8"/>
            <color indexed="81"/>
            <rFont val="Tahoma"/>
            <family val="2"/>
          </rPr>
          <t>Qty/Price Breaks (CHF):
  Qty  -  UnitCHF  -  ExtCHF
================
     1 CHF0.09    CHF0.09
    10 CHF0.02    CHF0.20
   100 CHF0.01    CHF1.50
  1000 CHF0.01   CHF13.00
  2500 CHF0.01   CHF25.00
 10000 CHF0.01   CHF70.00
 20000 CHF0.01  CHF120.00</t>
        </r>
      </text>
    </comment>
    <comment ref="N65" authorId="0">
      <text>
        <r>
          <rPr>
            <sz val="8"/>
            <color indexed="81"/>
            <rFont val="Tahoma"/>
            <family val="2"/>
          </rPr>
          <t>Desc: Thin Film Resistors - SMD</t>
        </r>
      </text>
    </comment>
    <comment ref="Q65" authorId="0">
      <text>
        <r>
          <rPr>
            <sz val="8"/>
            <color indexed="81"/>
            <rFont val="Tahoma"/>
            <family val="2"/>
          </rPr>
          <t>Qty/Price Breaks (USD):
  Qty  -  Unit$  -  Ext$
================
     1   $0.10      $0.10
    10   $0.02      $0.23
    50   $0.02      $1.02
   100   $0.02      $1.73
   500   $0.02      $7.90
  1000   $0.01     $14.28
  5000   $0.01     $56.10</t>
        </r>
      </text>
    </comment>
    <comment ref="T65" authorId="0">
      <text>
        <r>
          <rPr>
            <sz val="8"/>
            <color indexed="81"/>
            <rFont val="Tahoma"/>
            <family val="2"/>
          </rPr>
          <t xml:space="preserve">Desc: RES SMD 9.09K OHM 1% 1/16W 0402
Footprint: 0402 (1005 Metric)
Power: 0.063W, 1/16W
Size: 0.039" L x 0.020" W (1.00mm x 0.50mm)
Temp_coeff: ±50ppm/°C
Tolerance: ±1%
Value: 9.09 kOhms </t>
        </r>
      </text>
    </comment>
    <comment ref="I66" authorId="0">
      <text>
        <r>
          <rPr>
            <sz val="8"/>
            <color indexed="81"/>
            <rFont val="Tahoma"/>
            <family val="2"/>
          </rPr>
          <t>145019 In Stock</t>
        </r>
      </text>
    </comment>
    <comment ref="K66" authorId="0">
      <text>
        <r>
          <rPr>
            <sz val="8"/>
            <color indexed="81"/>
            <rFont val="Tahoma"/>
            <family val="2"/>
          </rPr>
          <t>Qty/Price Breaks (CHF):
  Qty  -  UnitCHF  -  ExtCHF
================
     1 CHF0.09    CHF0.09
    10 CHF0.02    CHF0.20
   100 CHF0.01    CHF1.50
  1000 CHF0.01   CHF13.00
  2500 CHF0.01   CHF25.00
 10000 CHF0.01   CHF60.00</t>
        </r>
      </text>
    </comment>
    <comment ref="N66" authorId="0">
      <text>
        <r>
          <rPr>
            <sz val="8"/>
            <color indexed="81"/>
            <rFont val="Tahoma"/>
            <family val="2"/>
          </rPr>
          <t>Desc: Thin Film Resistors - SMD 1/16W 10K ohm 1% 50ppm</t>
        </r>
      </text>
    </comment>
    <comment ref="Q66" authorId="0">
      <text>
        <r>
          <rPr>
            <sz val="8"/>
            <color indexed="81"/>
            <rFont val="Tahoma"/>
            <family val="2"/>
          </rPr>
          <t>Qty/Price Breaks (USD):
  Qty  -  Unit$  -  Ext$
================
     1   $0.10      $0.10
    10   $0.02      $0.23
    50   $0.02      $1.02
   100   $0.02      $1.73
   500   $0.02      $7.90
  1000   $0.01     $14.28
  5000   $0.01     $56.10</t>
        </r>
      </text>
    </comment>
    <comment ref="T66" authorId="0">
      <text>
        <r>
          <rPr>
            <sz val="8"/>
            <color indexed="81"/>
            <rFont val="Tahoma"/>
            <family val="2"/>
          </rPr>
          <t xml:space="preserve">Desc: RES SMD 10K OHM 1% 1/16W 0402
Footprint: 0402 (1005 Metric)
Power: 0.063W, 1/16W
Size: 0.039" L x 0.020" W (1.00mm x 0.50mm)
Temp_coeff: ±50ppm/°C
Tolerance: ±1%
Value: 10 kOhms </t>
        </r>
      </text>
    </comment>
    <comment ref="W66" authorId="0">
      <text>
        <r>
          <rPr>
            <sz val="8"/>
            <color indexed="81"/>
            <rFont val="Tahoma"/>
            <family val="2"/>
          </rPr>
          <t>Qty/Price Breaks (USD):
  Qty  -  Unit$  -  Ext$
================
     1   $0.09      $0.09
    10   $0.02      $0.21
    50   $0.02      $0.94
   100   $0.02      $1.60
   500   $0.01      $7.33
  1000   $0.01     $12.98
  2500   $0.01     $25.08
  3000   $0.01     $29.13
  5000   $0.01     $43.30
 10000   $0.00     $38.00</t>
        </r>
      </text>
    </comment>
    <comment ref="Z66" authorId="0">
      <text>
        <r>
          <rPr>
            <sz val="8"/>
            <color indexed="81"/>
            <rFont val="Tahoma"/>
            <family val="2"/>
          </rPr>
          <t xml:space="preserve">Desc: Resistor: thin film; precise; SMD; 0402; 10kΩ; 0.0625W; ±1%
Manf: YAGEO
Power: 62.5mW
Temp_coeff: 50ppm/°C
Tolerance: ±1%
Value: 10kΩ </t>
        </r>
      </text>
    </comment>
    <comment ref="I67" authorId="0">
      <text>
        <r>
          <rPr>
            <sz val="8"/>
            <color indexed="81"/>
            <rFont val="Tahoma"/>
            <family val="2"/>
          </rPr>
          <t>191844 In Stock</t>
        </r>
      </text>
    </comment>
    <comment ref="K67" authorId="0">
      <text>
        <r>
          <rPr>
            <sz val="8"/>
            <color indexed="81"/>
            <rFont val="Tahoma"/>
            <family val="2"/>
          </rPr>
          <t>Qty/Price Breaks (CHF):
  Qty  -  UnitCHF  -  ExtCHF
================
     1 CHF0.09    CHF0.09
    10 CHF0.02    CHF0.20
   100 CHF0.01    CHF1.50
  1000 CHF0.01   CHF12.00
  2500 CHF0.01   CHF22.50
 10000 CHF0.01   CHF70.00
 20000 CHF0.01  CHF120.00</t>
        </r>
      </text>
    </comment>
    <comment ref="N67" authorId="0">
      <text>
        <r>
          <rPr>
            <sz val="8"/>
            <color indexed="81"/>
            <rFont val="Tahoma"/>
            <family val="2"/>
          </rPr>
          <t>Desc: Thin Film Resistors - SMD 1/16W 100K ohm 1% 50ppm</t>
        </r>
      </text>
    </comment>
    <comment ref="Q67" authorId="0">
      <text>
        <r>
          <rPr>
            <sz val="8"/>
            <color indexed="81"/>
            <rFont val="Tahoma"/>
            <family val="2"/>
          </rPr>
          <t>Qty/Price Breaks (USD):
  Qty  -  Unit$  -  Ext$
================
     1   $0.10      $0.10
    10   $0.02      $0.23
    50   $0.02      $1.02
   100   $0.02      $1.73
   500   $0.02      $7.90
  1000   $0.01     $14.28
  5000   $0.01     $56.10</t>
        </r>
      </text>
    </comment>
    <comment ref="T67" authorId="0">
      <text>
        <r>
          <rPr>
            <sz val="8"/>
            <color indexed="81"/>
            <rFont val="Tahoma"/>
            <family val="2"/>
          </rPr>
          <t xml:space="preserve">Desc: RES SMD 100K OHM 1% 1/16W 0402
Footprint: 0402 (1005 Metric)
Power: 0.063W, 1/16W
Size: 0.039" L x 0.020" W (1.00mm x 0.50mm)
Temp_coeff: ±50ppm/°C
Tolerance: ±1%
Value: 100 kOhms </t>
        </r>
      </text>
    </comment>
    <comment ref="I68" authorId="0">
      <text>
        <r>
          <rPr>
            <sz val="8"/>
            <color indexed="81"/>
            <rFont val="Tahoma"/>
            <family val="2"/>
          </rPr>
          <t>This part is listed but is not stocked.</t>
        </r>
      </text>
    </comment>
    <comment ref="N68" authorId="0">
      <text>
        <r>
          <rPr>
            <sz val="8"/>
            <color indexed="81"/>
            <rFont val="Tahoma"/>
            <family val="2"/>
          </rPr>
          <t>Desc: Encoders</t>
        </r>
      </text>
    </comment>
    <comment ref="Q68" authorId="0">
      <text>
        <r>
          <rPr>
            <sz val="8"/>
            <color indexed="81"/>
            <rFont val="Tahoma"/>
            <family val="2"/>
          </rPr>
          <t>Qty/Price Breaks (USD):
  Qty  -  Unit$  -  Ext$
================
     1   $2.66      $2.66
    10   $2.16     $21.59
    25   $1.99     $49.63
   100   $1.75    $174.51
   250   $1.60    $400.09
   500   $1.50    $748.80</t>
        </r>
      </text>
    </comment>
    <comment ref="T68" authorId="0">
      <text>
        <r>
          <rPr>
            <sz val="8"/>
            <color indexed="81"/>
            <rFont val="Tahoma"/>
            <family val="2"/>
          </rPr>
          <t>Desc: SWITCH SLIDE DPDT 100MA 6V</t>
        </r>
      </text>
    </comment>
    <comment ref="I69" authorId="0">
      <text>
        <r>
          <rPr>
            <sz val="8"/>
            <color indexed="81"/>
            <rFont val="Tahoma"/>
            <family val="2"/>
          </rPr>
          <t>50747 In Stock</t>
        </r>
      </text>
    </comment>
    <comment ref="K69" authorId="0">
      <text>
        <r>
          <rPr>
            <sz val="8"/>
            <color indexed="81"/>
            <rFont val="Tahoma"/>
            <family val="2"/>
          </rPr>
          <t>Qty/Price Breaks (CHF):
  Qty  -  UnitCHF  -  ExtCHF
================
     1 CHF0.11    CHF0.11
    10 CHF0.09    CHF0.85
   100 CHF0.08    CHF7.80
   500 CHF0.07   CHF33.50
  1000 CHF0.06   CHF62.00
  2500 CHF0.05  CHF132.50
 10000 CHF0.05  CHF470.00
 20000 CHF0.04  CHF840.00
 50000 CHF0.04 CHF2,000.00</t>
        </r>
      </text>
    </comment>
    <comment ref="N69" authorId="0">
      <text>
        <r>
          <rPr>
            <sz val="8"/>
            <color indexed="81"/>
            <rFont val="Tahoma"/>
            <family val="2"/>
          </rPr>
          <t>Desc: NTC (Negative Temperature Coefficient) Thermistors 47K  OHM 1%</t>
        </r>
      </text>
    </comment>
    <comment ref="Q69" authorId="0">
      <text>
        <r>
          <rPr>
            <sz val="8"/>
            <color indexed="81"/>
            <rFont val="Tahoma"/>
            <family val="2"/>
          </rPr>
          <t>Qty/Price Breaks (USD):
  Qty  -  Unit$  -  Ext$
================
     1   $0.12      $0.12
     5   $0.11      $0.55
    10   $0.10      $0.96
    25   $0.09      $2.24
    50   $0.08      $4.18
   100   $0.07      $7.10
   500   $0.06     $29.96
  1000   $0.05     $54.26</t>
        </r>
      </text>
    </comment>
    <comment ref="T69" authorId="0">
      <text>
        <r>
          <rPr>
            <sz val="8"/>
            <color indexed="81"/>
            <rFont val="Tahoma"/>
            <family val="2"/>
          </rPr>
          <t>Desc: THERMISTOR NTC 47KOHM 4050K 0402
Footprint: 0402 (1005 Metric)</t>
        </r>
      </text>
    </comment>
    <comment ref="W69" authorId="0">
      <text>
        <r>
          <rPr>
            <sz val="8"/>
            <color indexed="81"/>
            <rFont val="Tahoma"/>
            <family val="2"/>
          </rPr>
          <t>Qty/Price Breaks (USD):
  Qty  -  Unit$  -  Ext$
================
     1   $0.13      $0.13
    10   $0.10      $0.96
    50   $0.08      $3.99
   100   $0.07      $7.35
   500   $0.06     $30.75
  1000   $0.06     $57.30
  2500   $0.05    $131.00
 10000   $0.05    $465.00
250000   $0.04  $9,300.00</t>
        </r>
      </text>
    </comment>
    <comment ref="Z69" authorId="0">
      <text>
        <r>
          <rPr>
            <sz val="8"/>
            <color indexed="81"/>
            <rFont val="Tahoma"/>
            <family val="2"/>
          </rPr>
          <t xml:space="preserve">Desc: NTC thermistor; 47kΩ; SMD; 0402; 4050K; 100mW
Manf: MURATA
Power: 0.1W
Value: 47kΩ </t>
        </r>
      </text>
    </comment>
    <comment ref="I70" authorId="0">
      <text>
        <r>
          <rPr>
            <sz val="8"/>
            <color indexed="81"/>
            <rFont val="Tahoma"/>
            <family val="2"/>
          </rPr>
          <t>6446 In Stock</t>
        </r>
      </text>
    </comment>
    <comment ref="K70" authorId="0">
      <text>
        <r>
          <rPr>
            <sz val="8"/>
            <color indexed="81"/>
            <rFont val="Tahoma"/>
            <family val="2"/>
          </rPr>
          <t>Qty/Price Breaks (CHF):
  Qty  -  UnitCHF  -  ExtCHF
================
     1 CHF8.54    CHF8.54
    10 CHF6.31   CHF63.10
   100 CHF5.46  CHF546.00
   500 CHF4.61 CHF2,305.00
  1000 CHF4.51 CHF4,510.00</t>
        </r>
      </text>
    </comment>
    <comment ref="N70" authorId="0">
      <text>
        <r>
          <rPr>
            <sz val="8"/>
            <color indexed="81"/>
            <rFont val="Tahoma"/>
            <family val="2"/>
          </rPr>
          <t>Desc: Board Mount Hall Effect/Magnetic Sensors 14 bit core res Up to 28krpm</t>
        </r>
      </text>
    </comment>
    <comment ref="Q70" authorId="0">
      <text>
        <r>
          <rPr>
            <sz val="8"/>
            <color indexed="81"/>
            <rFont val="Tahoma"/>
            <family val="2"/>
          </rPr>
          <t>Qty/Price Breaks (USD):
  Qty  -  Unit$  -  Ext$
================
     1   $9.74      $9.74
     5   $8.28     $41.40
    10   $7.72     $77.17
    25   $7.03    $175.75
    50   $6.55    $327.49
   100   $6.10    $610.17</t>
        </r>
      </text>
    </comment>
    <comment ref="T70" authorId="0">
      <text>
        <r>
          <rPr>
            <sz val="8"/>
            <color indexed="81"/>
            <rFont val="Tahoma"/>
            <family val="2"/>
          </rPr>
          <t>Desc: ROTARY ENCODER MAGNETIC PROG</t>
        </r>
      </text>
    </comment>
    <comment ref="I71" authorId="0">
      <text>
        <r>
          <rPr>
            <sz val="8"/>
            <color indexed="81"/>
            <rFont val="Tahoma"/>
            <family val="2"/>
          </rPr>
          <t>2827 In Stock</t>
        </r>
      </text>
    </comment>
    <comment ref="K71" authorId="0">
      <text>
        <r>
          <rPr>
            <sz val="8"/>
            <color indexed="81"/>
            <rFont val="Tahoma"/>
            <family val="2"/>
          </rPr>
          <t>Qty/Price Breaks (CHF):
  Qty  -  UnitCHF  -  ExtCHF
================
     1 CHF7.29    CHF7.29
    10 CHF5.77   CHF57.70
   100 CHF5.32  CHF532.00
   500 CHF4.55 CHF2,275.00</t>
        </r>
      </text>
    </comment>
    <comment ref="N71" authorId="0">
      <text>
        <r>
          <rPr>
            <sz val="8"/>
            <color indexed="81"/>
            <rFont val="Tahoma"/>
            <family val="2"/>
          </rPr>
          <t>Desc: Board Mount Hall Effect/Magnetic Sensors 14-bit rotary position sensor</t>
        </r>
      </text>
    </comment>
    <comment ref="Q71" authorId="0">
      <text>
        <r>
          <rPr>
            <sz val="8"/>
            <color indexed="81"/>
            <rFont val="Tahoma"/>
            <family val="2"/>
          </rPr>
          <t>Qty/Price Breaks (USD):
  Qty  -  Unit$  -  Ext$
================
     1   $9.28      $9.28
     5   $8.04     $40.20
    10   $6.88     $68.75
    25   $6.73    $168.17
    50   $6.36    $318.01
   100   $5.92    $592.50</t>
        </r>
      </text>
    </comment>
    <comment ref="T71" authorId="0">
      <text>
        <r>
          <rPr>
            <sz val="8"/>
            <color indexed="81"/>
            <rFont val="Tahoma"/>
            <family val="2"/>
          </rPr>
          <t>Desc: SENSOR ANGLE 360DEG SMD
Footprint: 14-TSSOP (0.173", 4.40mm Width)</t>
        </r>
      </text>
    </comment>
    <comment ref="I72" authorId="0">
      <text>
        <r>
          <rPr>
            <sz val="8"/>
            <color indexed="81"/>
            <rFont val="Tahoma"/>
            <family val="2"/>
          </rPr>
          <t>3365 In Stock</t>
        </r>
      </text>
    </comment>
    <comment ref="K72" authorId="0">
      <text>
        <r>
          <rPr>
            <sz val="8"/>
            <color indexed="81"/>
            <rFont val="Tahoma"/>
            <family val="2"/>
          </rPr>
          <t>Qty/Price Breaks (CHF):
  Qty  -  UnitCHF  -  ExtCHF
================
     1 CHF1.08    CHF1.08
    10 CHF0.57    CHF5.75
   100 CHF0.39   CHF39.20
   500 CHF0.36  CHF178.00
  1000 CHF0.32  CHF322.00
  3000 CHF0.28  CHF852.00
  6000 CHF0.27 CHF1,590.00
  9000 CHF0.24 CHF2,142.00
 24000 CHF0.24 CHF5,664.00</t>
        </r>
      </text>
    </comment>
    <comment ref="N72" authorId="0">
      <text>
        <r>
          <rPr>
            <sz val="8"/>
            <color indexed="81"/>
            <rFont val="Tahoma"/>
            <family val="2"/>
          </rPr>
          <t>Desc: Gate Drivers HV Gate Driver</t>
        </r>
      </text>
    </comment>
    <comment ref="Q72" authorId="0">
      <text>
        <r>
          <rPr>
            <sz val="8"/>
            <color indexed="81"/>
            <rFont val="Tahoma"/>
            <family val="2"/>
          </rPr>
          <t>Qty/Price Breaks (USD):
  Qty  -  Unit$  -  Ext$
================
     1   $1.20      $1.20
    10   $0.75      $7.53
    25   $0.63     $15.84
   100   $0.50     $49.82
   250   $0.43    $107.99
   500   $0.39    $195.70
  1000   $0.36    $357.58</t>
        </r>
      </text>
    </comment>
    <comment ref="T72" authorId="0">
      <text>
        <r>
          <rPr>
            <sz val="8"/>
            <color indexed="81"/>
            <rFont val="Tahoma"/>
            <family val="2"/>
          </rPr>
          <t>Desc: IC GATE DRVR LOW-SIDE TSOT25
Footprint: SOT-23-5 Thin, TSOT-23-5</t>
        </r>
      </text>
    </comment>
    <comment ref="U72" authorId="0">
      <text>
        <r>
          <rPr>
            <sz val="8"/>
            <color indexed="81"/>
            <rFont val="Tahoma"/>
            <family val="2"/>
          </rPr>
          <t>This part is listed but is not stocked.</t>
        </r>
      </text>
    </comment>
    <comment ref="W72" authorId="0">
      <text>
        <r>
          <rPr>
            <sz val="8"/>
            <color indexed="81"/>
            <rFont val="Tahoma"/>
            <family val="2"/>
          </rPr>
          <t>Qty/Price Breaks (USD):
  Qty  -  Unit$  -  Ext$
================
     1   $0.93      $0.93
     5   $0.62      $3.08
    25   $0.58     $14.50
   100   $0.55     $54.80
   500   $0.51    $253.50
  3000   $0.46  $1,386.00
  6000   $0.43  $2,580.00
 12000   $0.40  $4,800.00</t>
        </r>
      </text>
    </comment>
    <comment ref="Z72" authorId="0">
      <text>
        <r>
          <rPr>
            <sz val="8"/>
            <color indexed="81"/>
            <rFont val="Tahoma"/>
            <family val="2"/>
          </rPr>
          <t>Desc: IC: driver; high-/low-side,gate driver; TSOT25; -1.8÷1.9A; Ch: 1
Manf: DIODES INCORPORATED</t>
        </r>
      </text>
    </comment>
    <comment ref="I73" authorId="0">
      <text>
        <r>
          <rPr>
            <sz val="8"/>
            <color indexed="81"/>
            <rFont val="Tahoma"/>
            <family val="2"/>
          </rPr>
          <t>3272 In Stock</t>
        </r>
      </text>
    </comment>
    <comment ref="K73" authorId="0">
      <text>
        <r>
          <rPr>
            <sz val="8"/>
            <color indexed="81"/>
            <rFont val="Tahoma"/>
            <family val="2"/>
          </rPr>
          <t>Qty/Price Breaks (CHF):
  Qty  -  UnitCHF  -  ExtCHF
================
     1 CHF5.07    CHF5.07
    10 CHF3.58   CHF35.80
   100 CHF3.26  CHF326.00
   250 CHF3.10  CHF775.00
   500 CHF3.00 CHF1,500.00
  1000 CHF2.90 CHF2,900.00
  2000 CHF2.74 CHF5,480.00
  4000 CHF2.71 CHF10,840.00</t>
        </r>
      </text>
    </comment>
    <comment ref="N73" authorId="0">
      <text>
        <r>
          <rPr>
            <sz val="8"/>
            <color indexed="81"/>
            <rFont val="Tahoma"/>
            <family val="2"/>
          </rPr>
          <t>Desc: Gate Drivers 102-V max 3-phase Functional Safety Quality-Managed smart gate driver with 3x CSA 40-WQFN -40 to 125</t>
        </r>
      </text>
    </comment>
    <comment ref="Q73" authorId="0">
      <text>
        <r>
          <rPr>
            <sz val="8"/>
            <color indexed="81"/>
            <rFont val="Tahoma"/>
            <family val="2"/>
          </rPr>
          <t>Qty/Price Breaks (USD):
  Qty  -  Unit$  -  Ext$
================
     1   $5.59      $5.59
    10   $4.27     $42.73
    25   $3.94     $98.62
   100   $3.58    $358.37
   250   $3.41    $852.88
   500   $3.31  $1,653.88
  1000   $3.22  $3,222.34</t>
        </r>
      </text>
    </comment>
    <comment ref="T73" authorId="0">
      <text>
        <r>
          <rPr>
            <sz val="8"/>
            <color indexed="81"/>
            <rFont val="Tahoma"/>
            <family val="2"/>
          </rPr>
          <t>Desc: 102-V MAX 3-PHASE FUNCTIONAL SAF
Footprint: 40-WFQFN Exposed Pad</t>
        </r>
      </text>
    </comment>
    <comment ref="I74" authorId="0">
      <text>
        <r>
          <rPr>
            <sz val="8"/>
            <color indexed="81"/>
            <rFont val="Tahoma"/>
            <family val="2"/>
          </rPr>
          <t>207 In Stock</t>
        </r>
      </text>
    </comment>
    <comment ref="K74" authorId="0">
      <text>
        <r>
          <rPr>
            <sz val="8"/>
            <color indexed="81"/>
            <rFont val="Tahoma"/>
            <family val="2"/>
          </rPr>
          <t>Qty/Price Breaks (CHF):
  Qty  -  UnitCHF  -  ExtCHF
================
     1 CHF2.41    CHF2.41
    10 CHF1.65   CHF16.50
   100 CHF1.48  CHF148.00
   250 CHF1.39  CHF347.50
   500 CHF1.32  CHF660.00
  1000 CHF1.28 CHF1,280.00
  2500 CHF1.26 CHF3,150.00
  5000 CHF1.23 CHF6,150.00</t>
        </r>
      </text>
    </comment>
    <comment ref="N74" authorId="0">
      <text>
        <r>
          <rPr>
            <sz val="8"/>
            <color indexed="81"/>
            <rFont val="Tahoma"/>
            <family val="2"/>
          </rPr>
          <t>Desc: Switching Voltage Regulators 4.2-V to 60-V, 0.6-A ultra-small synchronous step-down converter 12-VQFN-HR -40 to 150</t>
        </r>
      </text>
    </comment>
    <comment ref="Q74" authorId="0">
      <text>
        <r>
          <rPr>
            <sz val="8"/>
            <color indexed="81"/>
            <rFont val="Tahoma"/>
            <family val="2"/>
          </rPr>
          <t>Qty/Price Breaks (USD):
  Qty  -  Unit$  -  Ext$
================
     1   $2.66      $2.66
    10   $1.99     $19.86
    25   $1.82     $45.40
   100   $1.63    $162.92</t>
        </r>
      </text>
    </comment>
    <comment ref="T74" authorId="0">
      <text>
        <r>
          <rPr>
            <sz val="8"/>
            <color indexed="81"/>
            <rFont val="Tahoma"/>
            <family val="2"/>
          </rPr>
          <t>Desc: IC REG BUCK ADJ 600MA 12VQFN
Footprint: 12-PowerVFQFN</t>
        </r>
      </text>
    </comment>
    <comment ref="U74" authorId="0">
      <text>
        <r>
          <rPr>
            <sz val="8"/>
            <color indexed="81"/>
            <rFont val="Tahoma"/>
            <family val="2"/>
          </rPr>
          <t>This part is listed but is not stocked.</t>
        </r>
      </text>
    </comment>
    <comment ref="W74" authorId="0">
      <text>
        <r>
          <rPr>
            <sz val="8"/>
            <color indexed="81"/>
            <rFont val="Tahoma"/>
            <family val="2"/>
          </rPr>
          <t>Qty/Price Breaks (USD):
  Qty  -  Unit$  -  Ext$
================
     1   $2.75      $2.75
     5   $2.48     $12.40
    25   $2.19     $54.75
   100   $1.97    $197.00
   250   $1.83    $457.50</t>
        </r>
      </text>
    </comment>
    <comment ref="Z74" authorId="0">
      <text>
        <r>
          <rPr>
            <sz val="8"/>
            <color indexed="81"/>
            <rFont val="Tahoma"/>
            <family val="2"/>
          </rPr>
          <t>Desc: PMIC; DC/DC converter,synchronous; Uin: 4.2÷60VDC; Uout: 3.3VDC
Manf: TEXAS INSTRUMENTS</t>
        </r>
      </text>
    </comment>
    <comment ref="I75" authorId="0">
      <text>
        <r>
          <rPr>
            <sz val="8"/>
            <color indexed="81"/>
            <rFont val="Tahoma"/>
            <family val="2"/>
          </rPr>
          <t>9222 In Stock</t>
        </r>
      </text>
    </comment>
    <comment ref="K75" authorId="0">
      <text>
        <r>
          <rPr>
            <sz val="8"/>
            <color indexed="81"/>
            <rFont val="Tahoma"/>
            <family val="2"/>
          </rPr>
          <t>Qty/Price Breaks (CHF):
  Qty  -  UnitCHF  -  ExtCHF
================
     1 CHF3.70    CHF3.70
    10 CHF2.56   CHF25.60
   100 CHF2.32  CHF232.00
   250 CHF2.20  CHF550.00
   500 CHF2.14 CHF1,070.00
  1000 CHF2.08 CHF2,080.00
  3000 CHF1.91 CHF5,730.00</t>
        </r>
      </text>
    </comment>
    <comment ref="N75" authorId="0">
      <text>
        <r>
          <rPr>
            <sz val="8"/>
            <color indexed="81"/>
            <rFont val="Tahoma"/>
            <family val="2"/>
          </rPr>
          <t>Desc: Switching Voltage Regulators Automotive 3-V to 65-V, 0.3-A buck converter optimized for size and light load efficiency 9-VQFN-HR -40 to 150</t>
        </r>
      </text>
    </comment>
    <comment ref="Q75" authorId="0">
      <text>
        <r>
          <rPr>
            <sz val="8"/>
            <color indexed="81"/>
            <rFont val="Tahoma"/>
            <family val="2"/>
          </rPr>
          <t>Qty/Price Breaks (USD):
  Qty  -  Unit$  -  Ext$
================
     1   $4.07      $4.07
    10   $3.08     $30.75
    25   $2.83     $70.69
   100   $2.56    $255.54
   250   $2.43    $606.39
   500   $2.35  $1,173.67
  1000   $2.28  $2,282.95</t>
        </r>
      </text>
    </comment>
    <comment ref="T75" authorId="0">
      <text>
        <r>
          <rPr>
            <sz val="8"/>
            <color indexed="81"/>
            <rFont val="Tahoma"/>
            <family val="2"/>
          </rPr>
          <t>Desc: IC REG BUCK 5V 300MA 9VQFN
Footprint: 9-PowerVFQFN</t>
        </r>
      </text>
    </comment>
    <comment ref="U75" authorId="0">
      <text>
        <r>
          <rPr>
            <sz val="8"/>
            <color indexed="81"/>
            <rFont val="Tahoma"/>
            <family val="2"/>
          </rPr>
          <t>This part is listed but is not stocked.</t>
        </r>
      </text>
    </comment>
    <comment ref="W75" authorId="0">
      <text>
        <r>
          <rPr>
            <sz val="8"/>
            <color indexed="81"/>
            <rFont val="Tahoma"/>
            <family val="2"/>
          </rPr>
          <t>Qty/Price Breaks (USD):
  Qty  -  Unit$  -  Ext$
================
  3000   $1.46  $4,380.00</t>
        </r>
      </text>
    </comment>
    <comment ref="Z75" authorId="0">
      <text>
        <r>
          <rPr>
            <sz val="8"/>
            <color indexed="81"/>
            <rFont val="Tahoma"/>
            <family val="2"/>
          </rPr>
          <t>Desc: PMIC; DC/DC converter,synchronous; Uin: 3÷65VDC; Uout: 5VDC; 0.3A
Manf: TEXAS INSTRUMENTS</t>
        </r>
      </text>
    </comment>
    <comment ref="I76" authorId="0">
      <text>
        <r>
          <rPr>
            <sz val="8"/>
            <color indexed="81"/>
            <rFont val="Tahoma"/>
            <family val="2"/>
          </rPr>
          <t>4944 In Stock</t>
        </r>
      </text>
    </comment>
    <comment ref="K76" authorId="0">
      <text>
        <r>
          <rPr>
            <sz val="8"/>
            <color indexed="81"/>
            <rFont val="Tahoma"/>
            <family val="2"/>
          </rPr>
          <t>Qty/Price Breaks (CHF):
  Qty  -  UnitCHF  -  ExtCHF
================
     1 CHF1.25    CHF1.25
    10 CHF0.83    CHF8.26
   100 CHF0.69   CHF68.70
   500 CHF0.66  CHF330.50
  1000 CHF0.60  CHF596.00
  3000 CHF0.58 CHF1,749.00
  6000 CHF0.57 CHF3,450.00
  9000 CHF0.56 CHF5,058.00</t>
        </r>
      </text>
    </comment>
    <comment ref="N76" authorId="0">
      <text>
        <r>
          <rPr>
            <sz val="8"/>
            <color indexed="81"/>
            <rFont val="Tahoma"/>
            <family val="2"/>
          </rPr>
          <t>Desc: LDO Voltage Regulators Micropower 250mA Lo- Noise Ultra LDO Reg</t>
        </r>
      </text>
    </comment>
    <comment ref="Q76" authorId="0">
      <text>
        <r>
          <rPr>
            <sz val="8"/>
            <color indexed="81"/>
            <rFont val="Tahoma"/>
            <family val="2"/>
          </rPr>
          <t>Qty/Price Breaks (USD):
  Qty  -  Unit$  -  Ext$
================
     1   $1.38      $1.38
    10   $1.00     $10.05
    25   $0.91     $22.76
   100   $0.81     $80.72
   250   $0.76    $189.48
   500   $0.73    $364.11</t>
        </r>
      </text>
    </comment>
    <comment ref="T76" authorId="0">
      <text>
        <r>
          <rPr>
            <sz val="8"/>
            <color indexed="81"/>
            <rFont val="Tahoma"/>
            <family val="2"/>
          </rPr>
          <t>Desc: IC REG LINEAR 3.3V 250MA SOT23-5
Footprint: SC-74A, SOT-753</t>
        </r>
      </text>
    </comment>
    <comment ref="U76" authorId="0">
      <text>
        <r>
          <rPr>
            <sz val="8"/>
            <color indexed="81"/>
            <rFont val="Tahoma"/>
            <family val="2"/>
          </rPr>
          <t>This part is listed but is not stocked.</t>
        </r>
      </text>
    </comment>
    <comment ref="W76" authorId="0">
      <text>
        <r>
          <rPr>
            <sz val="8"/>
            <color indexed="81"/>
            <rFont val="Tahoma"/>
            <family val="2"/>
          </rPr>
          <t>Qty/Price Breaks (USD):
  Qty  -  Unit$  -  Ext$
================
     1   $1.30      $1.30
    10   $0.98      $9.80
    25   $0.88     $22.00
    50   $0.84     $42.00
   100   $0.77     $77.00
   250   $0.72    $180.00
   500   $0.68    $340.00
  1000   $0.63    $630.00</t>
        </r>
      </text>
    </comment>
    <comment ref="Z76" authorId="0">
      <text>
        <r>
          <rPr>
            <sz val="8"/>
            <color indexed="81"/>
            <rFont val="Tahoma"/>
            <family val="2"/>
          </rPr>
          <t>Desc: IC: voltage regulator; LDO,fixed; 3.3V; 0.25A; SOT23-5; SMD; ±5%
Manf: TEXAS INSTRUMENTS
Tolerance: ±5%</t>
        </r>
      </text>
    </comment>
    <comment ref="I77" authorId="0">
      <text>
        <r>
          <rPr>
            <sz val="8"/>
            <color indexed="81"/>
            <rFont val="Tahoma"/>
            <family val="2"/>
          </rPr>
          <t>4752 In Stock</t>
        </r>
      </text>
    </comment>
    <comment ref="K77" authorId="0">
      <text>
        <r>
          <rPr>
            <sz val="8"/>
            <color indexed="81"/>
            <rFont val="Tahoma"/>
            <family val="2"/>
          </rPr>
          <t>Qty/Price Breaks (CHF):
  Qty  -  UnitCHF  -  ExtCHF
================
     1 CHF3.77    CHF3.77
    10 CHF2.63   CHF26.30
   100 CHF2.39  CHF239.00
   250 CHF2.26  CHF565.00
   500 CHF2.16 CHF1,080.00
  1000 CHF2.14 CHF2,140.00
  2500 CHF2.06 CHF5,150.00
  5000 CHF2.05 CHF10,250.00</t>
        </r>
      </text>
    </comment>
    <comment ref="N77" authorId="0">
      <text>
        <r>
          <rPr>
            <sz val="8"/>
            <color indexed="81"/>
            <rFont val="Tahoma"/>
            <family val="2"/>
          </rPr>
          <t>Desc: RS-422/RS-485 Interface IC 3V Full-Dplx Driver and Receiver</t>
        </r>
      </text>
    </comment>
    <comment ref="Q77" authorId="0">
      <text>
        <r>
          <rPr>
            <sz val="8"/>
            <color indexed="81"/>
            <rFont val="Tahoma"/>
            <family val="2"/>
          </rPr>
          <t>Qty/Price Breaks (USD):
  Qty  -  Unit$  -  Ext$
================
     1   $4.16      $4.16
    10   $3.15     $31.52
    25   $2.90     $72.49
   100   $2.62    $262.14
   250   $2.49    $622.19
   500   $2.41  $1,204.43
  1000   $2.34  $2,343.08</t>
        </r>
      </text>
    </comment>
    <comment ref="T77" authorId="0">
      <text>
        <r>
          <rPr>
            <sz val="8"/>
            <color indexed="81"/>
            <rFont val="Tahoma"/>
            <family val="2"/>
          </rPr>
          <t>Desc: IC TRANSCEIVER FULL 1/1 14SOIC
Footprint: 14-SOIC (0.154", 3.90mm Width)</t>
        </r>
      </text>
    </comment>
    <comment ref="U77" authorId="0">
      <text>
        <r>
          <rPr>
            <sz val="8"/>
            <color indexed="81"/>
            <rFont val="Tahoma"/>
            <family val="2"/>
          </rPr>
          <t>This part is listed but is not stocked.</t>
        </r>
      </text>
    </comment>
    <comment ref="Z77" authorId="0">
      <text>
        <r>
          <rPr>
            <sz val="8"/>
            <color indexed="81"/>
            <rFont val="Tahoma"/>
            <family val="2"/>
          </rPr>
          <t>Desc: IC: interface; receiver,driver; full duplex,RS422 / RS485
Manf: TEXAS INSTRUMENTS</t>
        </r>
      </text>
    </comment>
    <comment ref="I78" authorId="0">
      <text>
        <r>
          <rPr>
            <sz val="8"/>
            <color indexed="81"/>
            <rFont val="Tahoma"/>
            <family val="2"/>
          </rPr>
          <t>1772 In Stock</t>
        </r>
      </text>
    </comment>
    <comment ref="K78" authorId="0">
      <text>
        <r>
          <rPr>
            <sz val="8"/>
            <color indexed="81"/>
            <rFont val="Tahoma"/>
            <family val="2"/>
          </rPr>
          <t>Qty/Price Breaks (CHF):
  Qty  -  UnitCHF  -  ExtCHF
================
     1 CHF8.12    CHF8.12
    10 CHF6.32   CHF63.20
    25 CHF5.87  CHF146.75
   100 CHF5.17  CHF517.00
   250 CHF4.99 CHF1,247.50
   500 CHF4.98 CHF2,490.00</t>
        </r>
      </text>
    </comment>
    <comment ref="N78" authorId="0">
      <text>
        <r>
          <rPr>
            <sz val="8"/>
            <color indexed="81"/>
            <rFont val="Tahoma"/>
            <family val="2"/>
          </rPr>
          <t>Desc: ARM Microcontrollers - MCU Mainstream Arm Cortex-M4 MCU 170 MHz 512 Kbytes of Flash Math Accel, HR Timer, H</t>
        </r>
      </text>
    </comment>
    <comment ref="Q78" authorId="0">
      <text>
        <r>
          <rPr>
            <sz val="8"/>
            <color indexed="81"/>
            <rFont val="Tahoma"/>
            <family val="2"/>
          </rPr>
          <t>Qty/Price Breaks (USD):
  Qty  -  Unit$  -  Ext$
================
     1   $8.96      $8.96
    10   $6.96     $69.63
    25   $6.46    $161.62
   160   $5.77    $923.85
   320   $5.60  $1,790.58
   480   $5.51  $2,642.95
   960   $5.38  $5,160.05</t>
        </r>
      </text>
    </comment>
    <comment ref="T78" authorId="0">
      <text>
        <r>
          <rPr>
            <sz val="8"/>
            <color indexed="81"/>
            <rFont val="Tahoma"/>
            <family val="2"/>
          </rPr>
          <t>Desc: IC MCU 32BIT 512KB FLASH 64LQFP
Footprint: 64-LQFP</t>
        </r>
      </text>
    </comment>
    <comment ref="U78" authorId="0">
      <text>
        <r>
          <rPr>
            <sz val="8"/>
            <color indexed="81"/>
            <rFont val="Tahoma"/>
            <family val="2"/>
          </rPr>
          <t>This part is listed but is not stocked.</t>
        </r>
      </text>
    </comment>
    <comment ref="W78" authorId="0">
      <text>
        <r>
          <rPr>
            <sz val="8"/>
            <color indexed="81"/>
            <rFont val="Tahoma"/>
            <family val="2"/>
          </rPr>
          <t>Qty/Price Breaks (USD):
  Qty  -  Unit$  -  Ext$
================
     1  $10.77     $10.77
     3  $10.24     $30.72
    10   $9.73     $97.30
    25   $9.17    $229.25
    50   $8.61    $430.50
   100   $8.05    $805.00
   250   $7.27  $1,817.50
   500   $7.00  $3,500.00
  1000   $6.71  $6,710.00</t>
        </r>
      </text>
    </comment>
    <comment ref="Z78" authorId="0">
      <text>
        <r>
          <rPr>
            <sz val="8"/>
            <color indexed="81"/>
            <rFont val="Tahoma"/>
            <family val="2"/>
          </rPr>
          <t>Desc: IC: STM32 ARM microcontroller; 170MHz; LQFP64; 1.71÷3.6VDC
Manf: STMicroelectronics</t>
        </r>
      </text>
    </comment>
    <comment ref="I79" authorId="0">
      <text>
        <r>
          <rPr>
            <sz val="8"/>
            <color indexed="81"/>
            <rFont val="Tahoma"/>
            <family val="2"/>
          </rPr>
          <t>834 In Stock</t>
        </r>
      </text>
    </comment>
    <comment ref="K79" authorId="0">
      <text>
        <r>
          <rPr>
            <sz val="8"/>
            <color indexed="81"/>
            <rFont val="Tahoma"/>
            <family val="2"/>
          </rPr>
          <t>Qty/Price Breaks (CHF):
  Qty  -  UnitCHF  -  ExtCHF
================
     1 CHF1.58    CHF1.58
    10 CHF1.05   CHF10.50
   100 CHF0.94   CHF94.30
   250 CHF0.88  CHF220.25
   500 CHF0.85  CHF424.00
  1000 CHF0.82  CHF821.00
  3000 CHF0.77 CHF2,319.00
  6000 CHF0.74 CHF4,434.00</t>
        </r>
      </text>
    </comment>
    <comment ref="N79" authorId="0">
      <text>
        <r>
          <rPr>
            <sz val="8"/>
            <color indexed="81"/>
            <rFont val="Tahoma"/>
            <family val="2"/>
          </rPr>
          <t>Desc: CAN Interface IC Automotive Fault Protected CAN Transceiver With Flexible Data-Rate 8-SON -55 to 125</t>
        </r>
      </text>
    </comment>
    <comment ref="Q79" authorId="0">
      <text>
        <r>
          <rPr>
            <sz val="8"/>
            <color indexed="81"/>
            <rFont val="Tahoma"/>
            <family val="2"/>
          </rPr>
          <t>Qty/Price Breaks (USD):
  Qty  -  Unit$  -  Ext$
================
     1   $1.74      $1.74
    10   $1.27     $12.75
    25   $1.16     $28.98
   100   $1.03    $103.21
   250   $0.97    $242.86
   500   $0.93    $467.45
  1000   $0.90    $904.80</t>
        </r>
      </text>
    </comment>
    <comment ref="T79" authorId="0">
      <text>
        <r>
          <rPr>
            <sz val="8"/>
            <color indexed="81"/>
            <rFont val="Tahoma"/>
            <family val="2"/>
          </rPr>
          <t>Desc: IC TRANSCEIVER HALF 1/1 8VSON
Footprint: 8-VDFN Exposed Pad</t>
        </r>
      </text>
    </comment>
    <comment ref="I80" authorId="0">
      <text>
        <r>
          <rPr>
            <sz val="8"/>
            <color indexed="81"/>
            <rFont val="Tahoma"/>
            <family val="2"/>
          </rPr>
          <t>6682 In Stock</t>
        </r>
      </text>
    </comment>
    <comment ref="K80" authorId="0">
      <text>
        <r>
          <rPr>
            <sz val="8"/>
            <color indexed="81"/>
            <rFont val="Tahoma"/>
            <family val="2"/>
          </rPr>
          <t>Qty/Price Breaks (CHF):
  Qty  -  UnitCHF  -  ExtCHF
================
     1 CHF1.06    CHF1.06
    10 CHF0.69    CHF6.93
   100 CHF0.57   CHF57.40
   500 CHF0.55  CHF275.50
  1000 CHF0.53  CHF531.00
  3000 CHF0.51 CHF1,521.00
  6000 CHF0.49 CHF2,922.00
  9000 CHF0.47 CHF4,275.00
 24000 CHF0.47 CHF11,328.00</t>
        </r>
      </text>
    </comment>
    <comment ref="N80" authorId="0">
      <text>
        <r>
          <rPr>
            <sz val="8"/>
            <color indexed="81"/>
            <rFont val="Tahoma"/>
            <family val="2"/>
          </rPr>
          <t>Desc: Switching Voltage Regulators 3-17V 0.5A 2.5MHZ SD Converter</t>
        </r>
      </text>
    </comment>
    <comment ref="Q80" authorId="0">
      <text>
        <r>
          <rPr>
            <sz val="8"/>
            <color indexed="81"/>
            <rFont val="Tahoma"/>
            <family val="2"/>
          </rPr>
          <t>Qty/Price Breaks (USD):
  Qty  -  Unit$  -  Ext$
================
     1   $1.17      $1.17
    10   $0.84      $8.44
    25   $0.76     $19.09
   100   $0.67     $67.46
   250   $0.63    $158.06
   500   $0.61    $303.36
  1000   $0.59    $585.70</t>
        </r>
      </text>
    </comment>
    <comment ref="T80" authorId="0">
      <text>
        <r>
          <rPr>
            <sz val="8"/>
            <color indexed="81"/>
            <rFont val="Tahoma"/>
            <family val="2"/>
          </rPr>
          <t>Desc: IC REG BUCK 3.3V 500MA 8WSON
Footprint: 8-WFDFN Exposed Pad</t>
        </r>
      </text>
    </comment>
    <comment ref="W80" authorId="0">
      <text>
        <r>
          <rPr>
            <sz val="8"/>
            <color indexed="81"/>
            <rFont val="Tahoma"/>
            <family val="2"/>
          </rPr>
          <t>Qty/Price Breaks (USD):
  Qty  -  Unit$  -  Ext$
================
     1   $1.23      $1.23
    10   $1.08     $10.85
    50   $0.91     $45.50
   100   $0.83     $83.30
   250   $0.74    $184.75
   500   $0.68    $337.50
  1000   $0.61    $615.00
  2500   $0.55  $1,365.00
  3000   $0.53  $1,599.00
  9000   $0.52  $4,716.00</t>
        </r>
      </text>
    </comment>
    <comment ref="Z80" authorId="0">
      <text>
        <r>
          <rPr>
            <sz val="8"/>
            <color indexed="81"/>
            <rFont val="Tahoma"/>
            <family val="2"/>
          </rPr>
          <t>Desc: PMIC; DC/DC converter; Uin: 3÷17VDC; Uout: 3.3VDC; 0.5A; WSON8; SMD
Frequency: 2.25MHz
Manf: TEXAS INSTRUMENTS</t>
        </r>
      </text>
    </comment>
    <comment ref="G82" authorId="0">
      <text>
        <r>
          <rPr>
            <sz val="8"/>
            <color indexed="81"/>
            <rFont val="Tahoma"/>
            <family val="2"/>
          </rPr>
          <t>This is the total of your cart across all distributors.</t>
        </r>
      </text>
    </comment>
    <comment ref="J82" authorId="0">
      <text>
        <r>
          <rPr>
            <sz val="8"/>
            <color indexed="81"/>
            <rFont val="Tahoma"/>
            <family val="2"/>
          </rPr>
          <t>Copy the information below to the BOM import page of the distributor web site.</t>
        </r>
      </text>
    </comment>
    <comment ref="P82" authorId="0">
      <text>
        <r>
          <rPr>
            <sz val="8"/>
            <color indexed="81"/>
            <rFont val="Tahoma"/>
            <family val="2"/>
          </rPr>
          <t>Copy the information below to the BOM import page of the distributor web site.</t>
        </r>
      </text>
    </comment>
    <comment ref="V82" authorId="0">
      <text>
        <r>
          <rPr>
            <sz val="8"/>
            <color indexed="81"/>
            <rFont val="Tahoma"/>
            <family val="2"/>
          </rPr>
          <t>Copy the information below to the BOM import page of the distributor web site.</t>
        </r>
      </text>
    </comment>
    <comment ref="G83" authorId="0">
      <text>
        <r>
          <rPr>
            <sz val="8"/>
            <color indexed="81"/>
            <rFont val="Tahoma"/>
            <family val="2"/>
          </rPr>
          <t>This description will be added to all purchased parts label and may be used to distinguish the component of different projects.</t>
        </r>
      </text>
    </comment>
  </commentList>
</comments>
</file>

<file path=xl/sharedStrings.xml><?xml version="1.0" encoding="utf-8"?>
<sst xmlns="http://schemas.openxmlformats.org/spreadsheetml/2006/main" count="3922" uniqueCount="1496">
  <si>
    <t>Row</t>
  </si>
  <si>
    <t>Description</t>
  </si>
  <si>
    <t>Part</t>
  </si>
  <si>
    <t>References</t>
  </si>
  <si>
    <t>Value</t>
  </si>
  <si>
    <t>Footprint</t>
  </si>
  <si>
    <t>Quantity Per PCB</t>
  </si>
  <si>
    <t>Status</t>
  </si>
  <si>
    <t>Datasheet</t>
  </si>
  <si>
    <t>Supplier 1</t>
  </si>
  <si>
    <t>Supplier Part Number 1</t>
  </si>
  <si>
    <t>manf</t>
  </si>
  <si>
    <t>manf#</t>
  </si>
  <si>
    <t>Config</t>
  </si>
  <si>
    <t>1</t>
  </si>
  <si>
    <t>1000 pF ±10% 25V Ceramic Capacitor X7R 0402 (1005 Metric)</t>
  </si>
  <si>
    <t>C_Small</t>
  </si>
  <si>
    <t>C12 C13 C14</t>
  </si>
  <si>
    <t>1n X7R 25V</t>
  </si>
  <si>
    <t>C_0402_1005_DensityHigh</t>
  </si>
  <si>
    <t>3</t>
  </si>
  <si>
    <t xml:space="preserve"> </t>
  </si>
  <si>
    <t>https://www.yageo.com/upload/media/product/app/datasheet/mlcc/upy-ac_np0x7rx7s_6_3v-to-2kv.pdf</t>
  </si>
  <si>
    <t>Digikey</t>
  </si>
  <si>
    <t>311-3065-1-ND</t>
  </si>
  <si>
    <t>YAGEO</t>
  </si>
  <si>
    <t>AC0402KRX7R8BB102</t>
  </si>
  <si>
    <t/>
  </si>
  <si>
    <t>2</t>
  </si>
  <si>
    <t>3300 pF ±10% 100V Ceramic Capacitor X7R 0402 (1005 Metric)</t>
  </si>
  <si>
    <t>C133 C134 C135 C136 C137 C138</t>
  </si>
  <si>
    <t>3n3 X7R 100V</t>
  </si>
  <si>
    <t>6</t>
  </si>
  <si>
    <t>https://search.murata.co.jp/Ceramy/image/img/A01X/G101/ENG/GRM155R72A332KA01-01.pdf</t>
  </si>
  <si>
    <t>490-8261-1-ND</t>
  </si>
  <si>
    <t>Murata Electronics</t>
  </si>
  <si>
    <t>GRM155R72A332KA01D</t>
  </si>
  <si>
    <t>-NO_SNUBBER,-NONE</t>
  </si>
  <si>
    <t>4700 pF ±10% 100V Ceramic Capacitor X7R 0402 (1005 Metric)</t>
  </si>
  <si>
    <t>C129</t>
  </si>
  <si>
    <t>4n7 X7R 100V</t>
  </si>
  <si>
    <t>https://www.murata.com/-/media/webrenewal/support/library/catalog/products/k35e.ashx?la=en-us&amp;cvid=20200508021757000000</t>
  </si>
  <si>
    <t>490-4765-1-ND</t>
  </si>
  <si>
    <t>GCM155R72A472KA37D</t>
  </si>
  <si>
    <t>4</t>
  </si>
  <si>
    <t>10000 pF ±10% 100V Ceramic Capacitor X7R 0402 (1005 Metric)</t>
  </si>
  <si>
    <t>C76</t>
  </si>
  <si>
    <t>10n X7R 100V</t>
  </si>
  <si>
    <t>https://mm.digikey.com/Volume0/opasdata/d220001/medias/docus/2615/HMR105B7103KV-F_SS.pdf</t>
  </si>
  <si>
    <t>587-HMR105B7103KV-FCT-ND</t>
  </si>
  <si>
    <t>Taiyo Yuden</t>
  </si>
  <si>
    <t>HMR105B7103KV-F</t>
  </si>
  <si>
    <t>5</t>
  </si>
  <si>
    <t>0.047 µF ±10% 100V Ceramic Capacitor X7R 0603 (1608 Metric)</t>
  </si>
  <si>
    <t>C91</t>
  </si>
  <si>
    <t>47n X7R 100V</t>
  </si>
  <si>
    <t>C_0603_1608_DensityHigh</t>
  </si>
  <si>
    <t>https://connect.kemet.com:7667/gateway/IntelliData-ComponentDocumentation/1.0/download/datasheet/C0603C473K1RECAUTO</t>
  </si>
  <si>
    <t>399-14764-1-ND</t>
  </si>
  <si>
    <t>KEMET</t>
  </si>
  <si>
    <t>C0603C473K1RECAUTO</t>
  </si>
  <si>
    <t>0.1 µF ±10% 50V Ceramic Capacitor X7R 0402 (1005 Metric)</t>
  </si>
  <si>
    <t>C3 C4 C5 C8 C10 C11 C27 C28 C29 C101 C102 C103 C104 C105 C107 C108 C109 C111 C112 C113 C114 C115 C125 C126 C127 C128</t>
  </si>
  <si>
    <t>100n X7R 50V</t>
  </si>
  <si>
    <t>26</t>
  </si>
  <si>
    <t>https://search.murata.co.jp/Ceramy/image/img/A01X/G101/ENG/GCM155R71H104KE02-01.pdf</t>
  </si>
  <si>
    <t>490-14514-1-ND</t>
  </si>
  <si>
    <t>GCM155R71H104KE02J</t>
  </si>
  <si>
    <t>7</t>
  </si>
  <si>
    <t>0.1 µF ±10% 100V Ceramic Capacitor X7R 0603 (1608 Metric)</t>
  </si>
  <si>
    <t>C</t>
  </si>
  <si>
    <t>C22 C92</t>
  </si>
  <si>
    <t>100n X7R 100V</t>
  </si>
  <si>
    <t>https://mm.digikey.com/Volume0/opasdata/d220001/medias/docus/21/HMK107B7104KAHT_SS.pdf</t>
  </si>
  <si>
    <t>587-6009-1-ND</t>
  </si>
  <si>
    <t>HMK107B7104KAHT</t>
  </si>
  <si>
    <t>8</t>
  </si>
  <si>
    <t>0.1 µF ±10% 16V Ceramic Capacitor X7R 0402 (1005 Metric)</t>
  </si>
  <si>
    <t>C90</t>
  </si>
  <si>
    <t>100n X7R 16V</t>
  </si>
  <si>
    <t>https://search.murata.co.jp/Ceramy/image/img/A01X/G101/ENG/GCM155R71C104KA55-01.pdf</t>
  </si>
  <si>
    <t>490-4759-1-ND</t>
  </si>
  <si>
    <t>GCM155R71C104KA55D</t>
  </si>
  <si>
    <t>9</t>
  </si>
  <si>
    <t>0.1 µF ±10% 100V Ceramic Capacitor X7R 1206 (3216 Metric)</t>
  </si>
  <si>
    <t>C95 C97 C99</t>
  </si>
  <si>
    <t>C_1206_3216_DensityHighest</t>
  </si>
  <si>
    <t>https://connect.kemet.com:7667/gateway/IntelliData-ComponentDocumentation/1.0/download/datasheet/C1206C104K1RACAUTO</t>
  </si>
  <si>
    <t>399-7008-1-ND</t>
  </si>
  <si>
    <t>C1206C104K1RACAUTO</t>
  </si>
  <si>
    <t>10</t>
  </si>
  <si>
    <t>0.22 µF ±10% 100V Ceramic Capacitor X7S 0603 (1608 Metric)</t>
  </si>
  <si>
    <t>C23 C25</t>
  </si>
  <si>
    <t>220n X7S 100V</t>
  </si>
  <si>
    <t>https://mm.digikey.com/Volume0/opasdata/d220001/medias/docus/2249/TMK105B7224KV-FR_SS.pdf</t>
  </si>
  <si>
    <t>587-5012-1-ND</t>
  </si>
  <si>
    <t>HMK107C7224KAHTE</t>
  </si>
  <si>
    <t>11</t>
  </si>
  <si>
    <t>1 µF ±10% 10V Ceramic Capacitor X7R 0402 (1005 Metric)</t>
  </si>
  <si>
    <t>C2 C6 C9 C24 C26</t>
  </si>
  <si>
    <t>1u X7R 10V</t>
  </si>
  <si>
    <t>https://search.murata.co.jp/Ceramy/image/img/A01X/G101/ENG/GRM155Z71A105KE01-01A.pdf</t>
  </si>
  <si>
    <t>490-GRM155Z71A105KE01JCT-ND</t>
  </si>
  <si>
    <t>GRM155Z71A105KE01J</t>
  </si>
  <si>
    <t>12</t>
  </si>
  <si>
    <t>1 µF ±10% 25V Ceramic Capacitor X7R 0603 (1608 Metric)</t>
  </si>
  <si>
    <t>C60 C88 C93</t>
  </si>
  <si>
    <t>1u X7R 25V</t>
  </si>
  <si>
    <t>https://mm.digikey.com/Volume0/opasdata/d220001/medias/docus/2146/TMK107AB7105KAHT_SS.pdf</t>
  </si>
  <si>
    <t>587-3467-1-ND</t>
  </si>
  <si>
    <t>TMK107AB7105KAHT</t>
  </si>
  <si>
    <t>13</t>
  </si>
  <si>
    <t>1 µF ±10% 6.3V Ceramic Capacitor X7R 0402 (1005 Metric)</t>
  </si>
  <si>
    <t>C94</t>
  </si>
  <si>
    <t>1u X7R 6.3V</t>
  </si>
  <si>
    <t>https://search.murata.co.jp/Ceramy/image/img/A01X/G101/ENG/GRT155R70J105KE01-01.pdf</t>
  </si>
  <si>
    <t>490-18216-1-ND</t>
  </si>
  <si>
    <t>GRT155R70J105KE01D</t>
  </si>
  <si>
    <t>14</t>
  </si>
  <si>
    <t>Multilayer Ceramic Capacitors MLCC - SMD/SMT 0805 100VDC 2.2uF 10% 1.25mm AEC-Q200</t>
  </si>
  <si>
    <t>C15 C16 C17 C18 C20 C45 C52</t>
  </si>
  <si>
    <t>2u2 X7R 100V</t>
  </si>
  <si>
    <t>R_0805_2012_DensityHigh</t>
  </si>
  <si>
    <t>https://product.tdk.com/system/files/dam/doc/product/capacitor/ceramic/mlcc/catalog/mlcc_automotive_midvoltage_en.pdf</t>
  </si>
  <si>
    <t>Mouser</t>
  </si>
  <si>
    <t>810-CGA4J7R2A225K125</t>
  </si>
  <si>
    <t>TDK Corporation</t>
  </si>
  <si>
    <t>CGA4J1X7R2A225K125AC</t>
  </si>
  <si>
    <t>15</t>
  </si>
  <si>
    <t>4.7 µF ±10% 16V Ceramic Capacitor X7R 0603 (1608 Metric)</t>
  </si>
  <si>
    <t>C1 C84 C110</t>
  </si>
  <si>
    <t>4u7 X7R 16V</t>
  </si>
  <si>
    <t>https://search.murata.co.jp/Ceramy/image/img/A01X/G101/ENG/GRM188Z71C475KE21-01A.pdf</t>
  </si>
  <si>
    <t>490-GRM188Z71C475KE21JCT-ND</t>
  </si>
  <si>
    <t>GRM188Z71C475KE21J</t>
  </si>
  <si>
    <t>16</t>
  </si>
  <si>
    <t>4.7 µF ±10% 100V Ceramic Capacitor X7R 1206 (3216 Metric)</t>
  </si>
  <si>
    <t>C89 C96 C98 C100</t>
  </si>
  <si>
    <t>4u7 X7R 100V</t>
  </si>
  <si>
    <t>https://search.murata.co.jp/Ceramy/image/img/A01X/G101/ENG/GRJ31CZ72A475KE01-01.pdf</t>
  </si>
  <si>
    <t>490-GRJ31CZ72A475KE01LCT-ND</t>
  </si>
  <si>
    <t>GRJ31CZ72A475KE01L</t>
  </si>
  <si>
    <t>17</t>
  </si>
  <si>
    <t>C19 C21 C31 C32 C33 C34 C35 C36 C39 C40 C41 C42 C43 C44 C46 C47 C48 C49 C50 C51 C53 C54 C55 C57 C58 C59 C61 C62 C63 C64 C65 C66 C67 C68 C69 C70 C71 C72 C73 C74 C75 C77 C78 C79 C80 C81 C82 C85 C86 C87</t>
  </si>
  <si>
    <t>C_1206_3216_DensityHigh</t>
  </si>
  <si>
    <t>50</t>
  </si>
  <si>
    <t>18</t>
  </si>
  <si>
    <t>4.7 µF ±20% 25V Ceramic Capacitor X5R 0402 (1005 Metric)</t>
  </si>
  <si>
    <t>C7</t>
  </si>
  <si>
    <t>4u7 X5R 25V</t>
  </si>
  <si>
    <t>https://datasheets.kyocera-avx.com/cx5r.pdf</t>
  </si>
  <si>
    <t>478-04023D475MAT2ACT-ND</t>
  </si>
  <si>
    <t>KYOCERA AVX</t>
  </si>
  <si>
    <t>04023D475MAT2A</t>
  </si>
  <si>
    <t>19</t>
  </si>
  <si>
    <t>10 µF ±10% 25V Ceramic Capacitor X7R 0805 (2012 Metric)</t>
  </si>
  <si>
    <t>C56 C106</t>
  </si>
  <si>
    <t>10u X7R 25V</t>
  </si>
  <si>
    <t>C_0805_2012_DensityHighest</t>
  </si>
  <si>
    <t>https://search.murata.co.jp/Ceramy/image/img/A01X/G101/ENG/GRM21BZ71E106KE15-01.pdf</t>
  </si>
  <si>
    <t>490-GRM21BZ71E106KE15LCT-ND</t>
  </si>
  <si>
    <t>GRM21BZ71E106KE15L</t>
  </si>
  <si>
    <t>20</t>
  </si>
  <si>
    <t>15 µF ±20% 25V Ceramic Capacitor X7R 1210 (3225 Metric)</t>
  </si>
  <si>
    <t>C30 C38</t>
  </si>
  <si>
    <t>15u X7R 25V</t>
  </si>
  <si>
    <t>C_1210_3225_DensityHigh</t>
  </si>
  <si>
    <t>https://product.tdk.com/system/files/dam/doc/product/capacitor/ceramic/mlcc/catalog/mlcc_automotive_general_en.pdf</t>
  </si>
  <si>
    <t>445-175431-1-ND</t>
  </si>
  <si>
    <t>CGA6M3X7R1E156M200AB</t>
  </si>
  <si>
    <t>21</t>
  </si>
  <si>
    <t>22 µF ±20% 10V Ceramic Capacitor X7R 0805 (2012 Metric)</t>
  </si>
  <si>
    <t>C37 C83</t>
  </si>
  <si>
    <t>22u X7R 10V</t>
  </si>
  <si>
    <t>https://search.murata.co.jp/Ceramy/image/img/A01X/G101/ENG/GRM21BZ71A226ME15-01.pdf</t>
  </si>
  <si>
    <t>490-GRM21BZ71A226ME15LCT-ND</t>
  </si>
  <si>
    <t>GRM21BZ71A226ME15L</t>
  </si>
  <si>
    <t>22</t>
  </si>
  <si>
    <t>1000 pF ±10% 1000V (1kV) Ceramic Capacitor X7R 0603 (1608 Metric)</t>
  </si>
  <si>
    <t>C130 C131 C132</t>
  </si>
  <si>
    <t>1n X7R 1kV</t>
  </si>
  <si>
    <t>https://connect.kemet.com:7667/gateway/IntelliData-ComponentDocumentation/1.0/download/specsheet/C0603V102KDRAC7867</t>
  </si>
  <si>
    <t>399-12306-1-ND</t>
  </si>
  <si>
    <t>C0603V102KDRAC7867</t>
  </si>
  <si>
    <t>23</t>
  </si>
  <si>
    <t>Diode 100 V 200mA Surface Mount SOD-523</t>
  </si>
  <si>
    <t>BAT41KFILM</t>
  </si>
  <si>
    <t>D3 D4 D5 D6 D7 D8 D9 D10 D11 D14 D15 D19 D20 D21 D22</t>
  </si>
  <si>
    <t>D_SOD-523</t>
  </si>
  <si>
    <t>https://www.st.com/content/ccc/resource/technical/document/datasheet/5b/cd/d8/0a/45/56/41/6c/CD00130227.pdf/files/CD00130227.pdf/jcr:content/translations/en.CD00130227.pdf</t>
  </si>
  <si>
    <t>497-5556-1-ND</t>
  </si>
  <si>
    <t>STMicroelectronics</t>
  </si>
  <si>
    <t>24</t>
  </si>
  <si>
    <t>26V, 14V Clamp 17A (8/20µs) Ipp Tvs Diode Surface Mount SOT-23-3</t>
  </si>
  <si>
    <t>CDSOT23-SM712</t>
  </si>
  <si>
    <t>D23 D27</t>
  </si>
  <si>
    <t>SOT95P230X110-3N</t>
  </si>
  <si>
    <t>https://www.bourns.com/docs/Product-Datasheets/CDSOT23-SM712.pdf</t>
  </si>
  <si>
    <t>CDSOT23-SM712CT-ND</t>
  </si>
  <si>
    <t>Bourns Inc.</t>
  </si>
  <si>
    <t>25</t>
  </si>
  <si>
    <t>Green 525nm LED Indication - Discrete 3V 1206 (3216 Metric)</t>
  </si>
  <si>
    <t>LED</t>
  </si>
  <si>
    <t>D13</t>
  </si>
  <si>
    <t>GREEN</t>
  </si>
  <si>
    <t>LED_SM1206</t>
  </si>
  <si>
    <t>https://www.bivar.com/parts_content/Datasheets/SM1206NPGC-IL.pdf</t>
  </si>
  <si>
    <t>492-1945-1-ND</t>
  </si>
  <si>
    <t>Bivar Inc.</t>
  </si>
  <si>
    <t>SM1206NPGC-IL</t>
  </si>
  <si>
    <t>42V Clamp 2.6A (8/20µs) Ipp Tvs Diode Surface Mount SOT-323</t>
  </si>
  <si>
    <t>PESD2CANFD24V-UX</t>
  </si>
  <si>
    <t>D24 D25</t>
  </si>
  <si>
    <t>SOT95P230X117-3N</t>
  </si>
  <si>
    <t>https://assets.nexperia.com/documents/data-sheet/PESD2CANFD24V-U.pdf</t>
  </si>
  <si>
    <t>1727-PESD2CANFD24V-UXCT-ND</t>
  </si>
  <si>
    <t>Nexperia USA Inc.</t>
  </si>
  <si>
    <t>27</t>
  </si>
  <si>
    <t>3.5V (Typ) Clamp 7A (8/20µs) Ipp Tvs Diode Surface Mount, Wettable Flank DFN2510D-10</t>
  </si>
  <si>
    <t>PESD4USB3U-TBSX</t>
  </si>
  <si>
    <t>D18 D26</t>
  </si>
  <si>
    <t>SOT1176D</t>
  </si>
  <si>
    <t>https://assets.nexperia.com/documents/data-sheet/PESD4USB3U-TBS.pdf</t>
  </si>
  <si>
    <t>1727-PESD4USB3U-TBSXCT-ND</t>
  </si>
  <si>
    <t>28</t>
  </si>
  <si>
    <t>5.5V (Typ) Clamp 7A (8/20µs) Ipp Tvs Diode Surface Mount, Wettable Flank DFN2510D-10</t>
  </si>
  <si>
    <t>PESD4USB5B-TBSX</t>
  </si>
  <si>
    <t>D16 D17</t>
  </si>
  <si>
    <t>https://assets.nexperia.com/documents/data-sheet/PESD4USB5B-TBS.pdf</t>
  </si>
  <si>
    <t>1727-PESD4USB5B-TBSXCT-ND</t>
  </si>
  <si>
    <t>29</t>
  </si>
  <si>
    <t>Surface-Mount TRANSZORB® Transient Voltage Suppressors</t>
  </si>
  <si>
    <t>SMBJ51CD-M3/H</t>
  </si>
  <si>
    <t>D1 D2</t>
  </si>
  <si>
    <t>DIOM4336X24N</t>
  </si>
  <si>
    <t>https://www.vishay.com/docs/87606/smbj5cdthrusmbj120cd.pdf</t>
  </si>
  <si>
    <t>SMBJ51CD-M3/HGICT-ND</t>
  </si>
  <si>
    <t>Vishay</t>
  </si>
  <si>
    <t>30</t>
  </si>
  <si>
    <t>Yellow 592nm LED Indication - Discrete 2V 1206 (3216 Metric)</t>
  </si>
  <si>
    <t>D12</t>
  </si>
  <si>
    <t>YELLOW</t>
  </si>
  <si>
    <t>https://www.bivar.com/parts_content/Datasheets/SM1206NYC-IL.pdf</t>
  </si>
  <si>
    <t>492-1947-1-ND</t>
  </si>
  <si>
    <t>SM1206NYC-IL</t>
  </si>
  <si>
    <t>31</t>
  </si>
  <si>
    <t>1 kOhms @ 100 MHz 1 Signal Line Ferrite Bead 0805 (2012 Metric) 1A 300mOhm</t>
  </si>
  <si>
    <t>FerriteBead</t>
  </si>
  <si>
    <t>FB1 FB2 FB3 FB4</t>
  </si>
  <si>
    <t>1k @ 100MHz</t>
  </si>
  <si>
    <t>https://www.we-online.com/katalog/datasheet/742792096.pdf</t>
  </si>
  <si>
    <t>732-4648-1-ND</t>
  </si>
  <si>
    <t>Würth Elektronik</t>
  </si>
  <si>
    <t>742792096</t>
  </si>
  <si>
    <t>32</t>
  </si>
  <si>
    <t>Connector Header Surface Mount, Right Angle 3 position 0.098" (2.50mm)</t>
  </si>
  <si>
    <t>Conn_01x03</t>
  </si>
  <si>
    <t>J12 J13</t>
  </si>
  <si>
    <t>Nano-Fit 1x03</t>
  </si>
  <si>
    <t>1054301203</t>
  </si>
  <si>
    <t>https://www.literature.molex.com/SQLImages/kelmscott/Molex/PDF_Images/987651-1223.PDF</t>
  </si>
  <si>
    <t>WM26098CT-ND</t>
  </si>
  <si>
    <t>Molex</t>
  </si>
  <si>
    <t>33</t>
  </si>
  <si>
    <t>Connector Header Surface Mount, Right Angle 2 position 0.079" (2.00mm)</t>
  </si>
  <si>
    <t>Conn_01x02_Mounting</t>
  </si>
  <si>
    <t>J8 J9</t>
  </si>
  <si>
    <t>S2B-PH-SM4-TB</t>
  </si>
  <si>
    <t>JST_PH_S2B-PH-SM4-TB_1x02-1MP_P2.00mm_Horizontal</t>
  </si>
  <si>
    <t>https://www.jst-mfg.com/product/pdf/eng/ePH.pdf</t>
  </si>
  <si>
    <t>455-S2B-PH-SM4-TBCT-ND</t>
  </si>
  <si>
    <t>JST Sales America Inc.</t>
  </si>
  <si>
    <t>34</t>
  </si>
  <si>
    <t>Connector Header Surface Mount, Right Angle 5 position 0.049" (1.25mm)</t>
  </si>
  <si>
    <t>Conn_01x05_Mounting</t>
  </si>
  <si>
    <t>J14</t>
  </si>
  <si>
    <t>SM05B-GHS-TB</t>
  </si>
  <si>
    <t>JST_GH_SM05B-GHS-TB_1x05-1MP_P1.25mm_Horizontal</t>
  </si>
  <si>
    <t>https://www.jst-mfg.com/product/pdf/eng/eGH.pdf</t>
  </si>
  <si>
    <t>455-SM05B-GHS-TBCT-ND</t>
  </si>
  <si>
    <t>35</t>
  </si>
  <si>
    <t>Connector Header Surface Mount, Right Angle 6 position 0.049" (1.25mm)</t>
  </si>
  <si>
    <t>Conn_01x06_Mounting</t>
  </si>
  <si>
    <t>J10</t>
  </si>
  <si>
    <t>SM06B-GHS-TB</t>
  </si>
  <si>
    <t>JST_GH_SM06B-GHS-TB_1x06-1MP_P1.25mm_Horizontal</t>
  </si>
  <si>
    <t>455-1568-1-ND</t>
  </si>
  <si>
    <t>36</t>
  </si>
  <si>
    <t>Connector Header Surface Mount, Right Angle 7 position 0.049" (1.25mm)</t>
  </si>
  <si>
    <t>Conn_01x07_Mounting</t>
  </si>
  <si>
    <t>J7</t>
  </si>
  <si>
    <t>SM07B-GHS-TB</t>
  </si>
  <si>
    <t>JST_GH_SM07B-GHS-TB_1x07-1MP_P1.25mm_Horizontal</t>
  </si>
  <si>
    <t>455-1569-1-ND</t>
  </si>
  <si>
    <t>SM07B-GHS-TB(LF)(SN)</t>
  </si>
  <si>
    <t>37</t>
  </si>
  <si>
    <t>Connector Header Surface Mount, Right Angle 8 position 0.049" (1.25mm)</t>
  </si>
  <si>
    <t>Conn_01x08_Mounting</t>
  </si>
  <si>
    <t>J6</t>
  </si>
  <si>
    <t>SM08B-GHS-TB</t>
  </si>
  <si>
    <t>JST_GH_SM08B-GHS-TB_1x08-1MP_P1.25mm_Horizontal</t>
  </si>
  <si>
    <t>455-1570-1-ND</t>
  </si>
  <si>
    <t>38</t>
  </si>
  <si>
    <t>Socket; DC supply; XT60; female; PIN: 2; on PCBs; THT; yellow; 30A</t>
  </si>
  <si>
    <t>J1</t>
  </si>
  <si>
    <t>XT60PW-F</t>
  </si>
  <si>
    <t>AMASS_XT60PW-F_1x02_P7.20mm_Horizontal</t>
  </si>
  <si>
    <t>https://www.tme.eu/Document/1191bc2fa3aee3c446e5a895fd8f7983/XT60PW-F.pdf</t>
  </si>
  <si>
    <t>Transfer Multisort Elektronik</t>
  </si>
  <si>
    <t>AMASS</t>
  </si>
  <si>
    <t>-NO_XT60,-NONE</t>
  </si>
  <si>
    <t>39</t>
  </si>
  <si>
    <t>Socket; DC supply; XT60; male; PIN: 2; on PCBs; THT; yellow; 30A; 500V</t>
  </si>
  <si>
    <t>J2</t>
  </si>
  <si>
    <t>XT60PW-M</t>
  </si>
  <si>
    <t>AMASS_XT60PW-M_1x02_P7.20mm_Horizontal</t>
  </si>
  <si>
    <t>https://www.tme.eu/Document/b13629717d44ae038681dba08d18c0b6/XT60PW-M.pdf</t>
  </si>
  <si>
    <t>40</t>
  </si>
  <si>
    <t>Power Inductors - SMD 2.2uH Shld 20% 1.2A 100 mOhms</t>
  </si>
  <si>
    <t>L</t>
  </si>
  <si>
    <t>L3</t>
  </si>
  <si>
    <t>2u2</t>
  </si>
  <si>
    <t>L_Coilcraft_LPS3314</t>
  </si>
  <si>
    <t>https://www.coilcraft.com/getmedia/3ba581dc-6d87-4be6-9dea-9167ac97554d/lps3314.pdf</t>
  </si>
  <si>
    <t>994-LPS3314-222MRC</t>
  </si>
  <si>
    <t>Coilcraft</t>
  </si>
  <si>
    <t>LPS3314-222MRC</t>
  </si>
  <si>
    <t>41</t>
  </si>
  <si>
    <t>Power Inductors - SMD 22uH Shld 20% 830mA 360 mOhms</t>
  </si>
  <si>
    <t>L1 L2</t>
  </si>
  <si>
    <t>22u</t>
  </si>
  <si>
    <t>L_Coilcraft_LPS4018</t>
  </si>
  <si>
    <t>https://www.coilcraft.com/getmedia/31b05c96-4c4c-4498-8dbb-fe092de76bad/lps4018.pdf</t>
  </si>
  <si>
    <t>994-LPS4018-223MRC</t>
  </si>
  <si>
    <t>LPS4018-223MRC</t>
  </si>
  <si>
    <t>42</t>
  </si>
  <si>
    <t>N-Channel 30 V 3A (Ta) 460mW (Ta) Surface Mount TO-236AB</t>
  </si>
  <si>
    <t>PMV90ENER</t>
  </si>
  <si>
    <t>Q7 Q8 Q9</t>
  </si>
  <si>
    <t>SOT-23-3</t>
  </si>
  <si>
    <t>https://assets.nexperia.com/documents/data-sheet/PMV90ENE.pdf</t>
  </si>
  <si>
    <t>1727-2735-1-ND</t>
  </si>
  <si>
    <t>43</t>
  </si>
  <si>
    <t>N-Channel 60 V 260A (Tc) 960mW (Ta), 170W (Tc) Surface Mount 8-DSOP Advance</t>
  </si>
  <si>
    <t>TPW1R306PL,L1Q</t>
  </si>
  <si>
    <t>Q1 Q2 Q3 Q4 Q5 Q6</t>
  </si>
  <si>
    <t>2-5S1A</t>
  </si>
  <si>
    <t>https://toshiba.semicon-storage.com/info/TPW1R306PL_datasheet_en_20191021.pdf?did=55843&amp;prodName=TPW1R306PL</t>
  </si>
  <si>
    <t>TPW1R306PLL1QCT-ND</t>
  </si>
  <si>
    <t>Toshiba Semiconductor and Storage</t>
  </si>
  <si>
    <t>44</t>
  </si>
  <si>
    <t>0.5 mOhms ±1% 2W Chip Resistor 1206 (3216 Metric) Automotive AEC-Q200, Current Sense, Moisture Resistant Metal Element</t>
  </si>
  <si>
    <t>R_Small</t>
  </si>
  <si>
    <t>R12 R15 R18</t>
  </si>
  <si>
    <t>0m5 1% 2W</t>
  </si>
  <si>
    <t>HCS1206FTL500</t>
  </si>
  <si>
    <t>https://www.seielect.com/catalog/sei-hcs.pdf</t>
  </si>
  <si>
    <t>HCS1206FTL500CT-ND</t>
  </si>
  <si>
    <t>Stackpole Electronics Inc</t>
  </si>
  <si>
    <t>45</t>
  </si>
  <si>
    <t>0 Ohms Jumper Chip Resistor 0402 (1005 Metric) Automotive AEC-Q200 Thick Film</t>
  </si>
  <si>
    <t>R</t>
  </si>
  <si>
    <t>R4 R31 R32</t>
  </si>
  <si>
    <t>0R</t>
  </si>
  <si>
    <t>R_0402_1005_DensityHigh</t>
  </si>
  <si>
    <t>https://industrial.panasonic.com/ww/products/pt/general-purpose-chip-resistors/models/ERJ2GE0R00X</t>
  </si>
  <si>
    <t>P0.0JCT-ND</t>
  </si>
  <si>
    <t>Panasonic Electronic Components</t>
  </si>
  <si>
    <t>ERJ-2GE0R00X</t>
  </si>
  <si>
    <t>46</t>
  </si>
  <si>
    <t>0 Ohms Jumper Chip Resistor 0603 (1608 Metric) Automotive AEC-Q200, Pulse Withstanding Thick Film</t>
  </si>
  <si>
    <t>R53</t>
  </si>
  <si>
    <t>R_0603_1608_DensityHigh</t>
  </si>
  <si>
    <t>https://www.vishay.com/docs/20043/crcwhpe3.pdf</t>
  </si>
  <si>
    <t>541-0.0SBCT-ND</t>
  </si>
  <si>
    <t>CRCW06030000Z0EAHP</t>
  </si>
  <si>
    <t>47</t>
  </si>
  <si>
    <t>5 Ohms ±1% 0.4W Chip Resistor 0603 (1608 Metric) Automotive AEC-Q200, Current Sense Thin Film</t>
  </si>
  <si>
    <t>R55 R56 R57 R58 R59 R60</t>
  </si>
  <si>
    <t>5R 1% 0.4W</t>
  </si>
  <si>
    <t>https://www.seielect.com/catalog/sei-csrt.pdf</t>
  </si>
  <si>
    <t>738-CSRT0603FT5R00CT-ND</t>
  </si>
  <si>
    <t>CSRT0603FT5R00</t>
  </si>
  <si>
    <t>48</t>
  </si>
  <si>
    <t>7.5 Ohms ±1% 0.5W, 1/2W Chip Resistor 0805 (2012 Metric) Automotive AEC-Q200, Pulse Withstanding Thick Film</t>
  </si>
  <si>
    <t>R10 R11 R13 R14 R16 R17</t>
  </si>
  <si>
    <t>7R5 1% 1/2W</t>
  </si>
  <si>
    <t>541-7.50TCT-ND</t>
  </si>
  <si>
    <t>CRCW08057R50FKEAHP</t>
  </si>
  <si>
    <t>49</t>
  </si>
  <si>
    <t>10 Ohms ±1% 0.333W, 1/3W Chip Resistor 0603 (1608 Metric) Automotive AEC-Q200, Pulse Withstanding Thick Film</t>
  </si>
  <si>
    <t>R34</t>
  </si>
  <si>
    <t>10R 1%</t>
  </si>
  <si>
    <t>541-10.0SCT-ND</t>
  </si>
  <si>
    <t>CRCW060310R0FKEAHP</t>
  </si>
  <si>
    <t>22 Ohms ±1% 0.1W, 1/10W Chip Resistor 0402 (1005 Metric) Automotive AEC-Q200 Thick Film</t>
  </si>
  <si>
    <t>R1 R2 R3</t>
  </si>
  <si>
    <t>22R 1%</t>
  </si>
  <si>
    <t>https://industrial.panasonic.com/cdbs/www-data/pdf/RDA0000/AOA0000C304.pdf</t>
  </si>
  <si>
    <t>P22.0LCT-ND</t>
  </si>
  <si>
    <t>ERJ-2RKF22R0X</t>
  </si>
  <si>
    <t>51</t>
  </si>
  <si>
    <t>60.4 Ohms ±1% 0.25W, 1/4W Chip Resistor 0603 (1608 Metric) Automotive AEC-Q200, Pulse Withstanding Thick Film</t>
  </si>
  <si>
    <t>R50 R51</t>
  </si>
  <si>
    <t>60R4 1% 1/4W</t>
  </si>
  <si>
    <t>https://www.rohm.com/datasheet?p=ESR01MZPF&amp;dist=Digi-key&amp;media=referral&amp;source=digi-key.com&amp;campaign=Digi-key</t>
  </si>
  <si>
    <t>511-ESR03EZPF60R4CT-ND</t>
  </si>
  <si>
    <t>Rohm Semiconductor</t>
  </si>
  <si>
    <t>ESR03EZPF60R4</t>
  </si>
  <si>
    <t>52</t>
  </si>
  <si>
    <t>100 Ohms ±1% 0.2W, 1/5W Chip Resistor 0402 (1005 Metric) Automotive AEC-Q200, Pulse Withstanding Thick Film</t>
  </si>
  <si>
    <t>R22 R23 R25 R35 R36 R37 R38 R39 R40 R41 R42 R43 R48 R49</t>
  </si>
  <si>
    <t>100R 1% 1/5W</t>
  </si>
  <si>
    <t>https://www.vishay.com/docs/20065/rcse3.pdf</t>
  </si>
  <si>
    <t>541-2886-1-ND</t>
  </si>
  <si>
    <t>RCS0402100RFKED</t>
  </si>
  <si>
    <t>53</t>
  </si>
  <si>
    <t>150 Ohms ±1% 0.2W, 1/5W Chip Resistor 0402 (1005 Metric) Automotive AEC-Q200, Pulse Withstanding Thick Film</t>
  </si>
  <si>
    <t>R26</t>
  </si>
  <si>
    <t>150R 1% 1/5W</t>
  </si>
  <si>
    <t>541-150YCT-ND</t>
  </si>
  <si>
    <t>CRCW0402150RFKEDHP</t>
  </si>
  <si>
    <t>54</t>
  </si>
  <si>
    <t>2 kOhms ±1% 0.1W, 1/10W Chip Resistor 0402 (1005 Metric) Automotive AEC-Q200 Thick Film</t>
  </si>
  <si>
    <t>R8 R9 R28 R44 R45 R46 R47</t>
  </si>
  <si>
    <t>2k 1%</t>
  </si>
  <si>
    <t>P2.00KLCT-ND</t>
  </si>
  <si>
    <t>ERJ-2RKF2001X</t>
  </si>
  <si>
    <t>55</t>
  </si>
  <si>
    <t>4.7 kOhms ±1% 0.063W, 1/16W Chip Resistor 0402 (1005 Metric) Moisture Resistant Thin Film</t>
  </si>
  <si>
    <t>R30</t>
  </si>
  <si>
    <t>4k7 1%</t>
  </si>
  <si>
    <t>https://www.yageo.com/upload/media/product/app/datasheet/rchip/pyu-rt_1-to-0.01_rohs_l.pdf</t>
  </si>
  <si>
    <t>13-RT0402FRE134K7LCT-ND</t>
  </si>
  <si>
    <t>RT0402FRE134K7L</t>
  </si>
  <si>
    <t>56</t>
  </si>
  <si>
    <t>9.09 kOhms ±1% 0.063W, 1/16W Chip Resistor 0402 (1005 Metric) Thin Film</t>
  </si>
  <si>
    <t>R6</t>
  </si>
  <si>
    <t>9k09 1%</t>
  </si>
  <si>
    <t>13-RT0402FRE079K09LCT-ND</t>
  </si>
  <si>
    <t>RT0402FRE079K09L</t>
  </si>
  <si>
    <t>57</t>
  </si>
  <si>
    <t>10 kOhms ±1% 0.063W, 1/16W Chip Resistor 0402 (1005 Metric) Thin Film</t>
  </si>
  <si>
    <t>R7 R27 R33</t>
  </si>
  <si>
    <t>10k 1%</t>
  </si>
  <si>
    <t>YAG1233CT-ND</t>
  </si>
  <si>
    <t>RT0402FRE0710KL</t>
  </si>
  <si>
    <t>58</t>
  </si>
  <si>
    <t>100 kOhms ±1% 0.063W, 1/16W Chip Resistor 0402 (1005 Metric) Thin Film</t>
  </si>
  <si>
    <t>R5 R19 R20 R21 R24 R29</t>
  </si>
  <si>
    <t>100k 1%</t>
  </si>
  <si>
    <t>YAG2307CT-ND</t>
  </si>
  <si>
    <t>RT0402FRE07100KL</t>
  </si>
  <si>
    <t>59</t>
  </si>
  <si>
    <t>SWITCH SLIDE DPDT 100MA 6V</t>
  </si>
  <si>
    <t>SW_DPDT_x2</t>
  </si>
  <si>
    <t>SW1</t>
  </si>
  <si>
    <t>CAS-220TA</t>
  </si>
  <si>
    <t>CAS-220A_NDC-L</t>
  </si>
  <si>
    <t>https://www.nidec-copal-electronics.com/e/catalog/switch/cas.pdf</t>
  </si>
  <si>
    <t>CAS220JCT-ND</t>
  </si>
  <si>
    <t>Nidec Components Corporation</t>
  </si>
  <si>
    <t>60</t>
  </si>
  <si>
    <t>NTC Thermistor 47k 4050K 0402 (1005 Metric)</t>
  </si>
  <si>
    <t>Thermistor_NTC</t>
  </si>
  <si>
    <t>TH1</t>
  </si>
  <si>
    <t>47k 1% NTC</t>
  </si>
  <si>
    <t>https://www.murata.com/~/media/webrenewal/support/library/catalog/products/thermistor/r01e.ashx</t>
  </si>
  <si>
    <t>490-4802-1-ND</t>
  </si>
  <si>
    <t>NCP15WB473F03RC</t>
  </si>
  <si>
    <t>61</t>
  </si>
  <si>
    <t>14-Bit On-Axis Magnetic Rotary Position Sensor with 12-Bit Decimal and Binary Incremental Pulse Count for 28krpm High Speed Capability</t>
  </si>
  <si>
    <t>AS5047P</t>
  </si>
  <si>
    <t>U7</t>
  </si>
  <si>
    <t>SOP-14_4.4x5mm_P0.65mm_H1.2mm</t>
  </si>
  <si>
    <t>https://ams.com/documents/20143/36005/AS5047P_DS000324_3-00.pdf</t>
  </si>
  <si>
    <t>AS5047P-ATSMCT-ND</t>
  </si>
  <si>
    <t>ams-OSRAM USA INC.</t>
  </si>
  <si>
    <t>AS5047P-ATSM</t>
  </si>
  <si>
    <t>62</t>
  </si>
  <si>
    <t>14-bit Magnetic Rotary Encoder, I2C Interface</t>
  </si>
  <si>
    <t>AS5048B</t>
  </si>
  <si>
    <t>U8</t>
  </si>
  <si>
    <t>https://ams.com/documents/20143/36005/AS5048_DS000298_4-00.pdf</t>
  </si>
  <si>
    <t>AS5048B-HTSP-500CT-ND</t>
  </si>
  <si>
    <t>AS5048B-HTSP-500</t>
  </si>
  <si>
    <t>63</t>
  </si>
  <si>
    <t>1.9A HIGH SPEED SINGLE GATE DRIVER</t>
  </si>
  <si>
    <t>DGD0216WT-7</t>
  </si>
  <si>
    <t>U11</t>
  </si>
  <si>
    <t>SOT-23-5</t>
  </si>
  <si>
    <t>https://www.diodes.com/assets/Datasheets/DGD0215-0216.pdf</t>
  </si>
  <si>
    <t>DGD0216WT-7DICT-ND</t>
  </si>
  <si>
    <t>Diodes Incorporated</t>
  </si>
  <si>
    <t>64</t>
  </si>
  <si>
    <t>DRV835xF 100-V Three-Phase Smart Gate Driver</t>
  </si>
  <si>
    <t>DRV8353FS</t>
  </si>
  <si>
    <t>U6</t>
  </si>
  <si>
    <t>WQFN-40-1EP_6x6mm_P0.5mm_EP4.15x4.15mm_ThermalVias</t>
  </si>
  <si>
    <t>https://www.ti.com/lit/ds/symlink/drv8353f.pdf</t>
  </si>
  <si>
    <t>296-DRV8353FSRTARCT-ND</t>
  </si>
  <si>
    <t>Texas Instruments</t>
  </si>
  <si>
    <t>DRV8353FSRTAR</t>
  </si>
  <si>
    <t>65</t>
  </si>
  <si>
    <t>LMR36006-Q1 4.2-V to 60-V, 0.6-A Ultra-Small Synchronous Step-Down Converter</t>
  </si>
  <si>
    <t>LMR36006FSCQ</t>
  </si>
  <si>
    <t>U3</t>
  </si>
  <si>
    <t>LMR36006</t>
  </si>
  <si>
    <t>https://www.ti.com/lit/ds/symlink/lmr36006-q1.pdf</t>
  </si>
  <si>
    <t>296-LMR36006FSCQRNXTQ1CT-ND</t>
  </si>
  <si>
    <t>LMR36006FSCQRNXTQ1</t>
  </si>
  <si>
    <t>66</t>
  </si>
  <si>
    <t>LMR36506-Q1 3-V to 65-V, 0.6-A Synchronous Buck Converter Optimized for Size and Light Load Efficiency</t>
  </si>
  <si>
    <t>LMR36506MSC5RPERQ1</t>
  </si>
  <si>
    <t>U2</t>
  </si>
  <si>
    <t>LMR36503</t>
  </si>
  <si>
    <t>https://www.ti.com/lit/ds/symlink/lmr36506-q1.pdf</t>
  </si>
  <si>
    <t>296-LMR36506MSC5RPERQ1CT-ND</t>
  </si>
  <si>
    <t>LMR36503MSC5RPERQ1</t>
  </si>
  <si>
    <t>67</t>
  </si>
  <si>
    <t>LP2992 Micropower 250-mA Low-Noise Ultra-Low-Dropout Regulator in SOT-23 and WSON Packages Designed for Use With Very Low-ESR Output Capacitors</t>
  </si>
  <si>
    <t>LP2992IM5-3.3/NOPB</t>
  </si>
  <si>
    <t>U5</t>
  </si>
  <si>
    <t>SOT95P280X145-5N</t>
  </si>
  <si>
    <t>https://www.ti.com/lit/ds/symlink/lp2992.pdf</t>
  </si>
  <si>
    <t>LP2992IM5-3.3/NOPBCT-ND</t>
  </si>
  <si>
    <t>68</t>
  </si>
  <si>
    <t>SN65HVD3x 3.3-V Full-Duplex RS-485 Drivers and Receivers</t>
  </si>
  <si>
    <t>SN65HVD35DR</t>
  </si>
  <si>
    <t>U9</t>
  </si>
  <si>
    <t>SOIC-14 5.4mm</t>
  </si>
  <si>
    <t>https://www.ti.com/lit/ds/symlink/sn65hvd30.pdf</t>
  </si>
  <si>
    <t>296-18706-1-ND</t>
  </si>
  <si>
    <t>69</t>
  </si>
  <si>
    <t>Arm® Cortex®-M4 32-bit MCU+FPU, 170 MHz / 213 DMIPS, 128 KB SRAM, rich analog, math acc, 184 ps 12 chan Hi-res timer</t>
  </si>
  <si>
    <t>STM32G474RETx</t>
  </si>
  <si>
    <t>U1</t>
  </si>
  <si>
    <t>STM32G474RET3</t>
  </si>
  <si>
    <t>LQFP-64_10x10mm_P0.5mm</t>
  </si>
  <si>
    <t>https://www.st.com/resource/en/datasheet/stm32g474re.pdf</t>
  </si>
  <si>
    <t>497-STM32G474RET3-ND</t>
  </si>
  <si>
    <t>70</t>
  </si>
  <si>
    <t>TCAN1051-Q1 Automotive Fault Protected CAN Transceiver with CAN FD</t>
  </si>
  <si>
    <t>TCAN1051HGVDRBRQ1</t>
  </si>
  <si>
    <t>U10</t>
  </si>
  <si>
    <t>HVSON-8-1EP_3x3mm_P0.65mm_EP1.6x2.4mm_ThermalVias</t>
  </si>
  <si>
    <t>https://www.ti.com/general/docs/suppproductinfo.tsp?distId=10&amp;gotoUrl=https%3A%2F%2Fwww.ti.com%2Flit%2Fgpn%2Ftcan1051-q1</t>
  </si>
  <si>
    <t>296-TCAN1051HGVDRBRQ1CT-ND</t>
  </si>
  <si>
    <t>71</t>
  </si>
  <si>
    <t>TPS6217x 3-V to 17-V, 0.5-A Step-Down Converters with DCS-Control™</t>
  </si>
  <si>
    <t>TPS62172DSG</t>
  </si>
  <si>
    <t>U4</t>
  </si>
  <si>
    <t>WSON-8-1EP_2x2mm_P0.5mm_EP0.9x1.6mm_ThermalVias</t>
  </si>
  <si>
    <t>http://www.ti.com/lit/ds/symlink/tps62170.pdf</t>
  </si>
  <si>
    <t>296-39449-1-ND</t>
  </si>
  <si>
    <t>TPS62172DSGR</t>
  </si>
  <si>
    <t>Bill of Materials</t>
  </si>
  <si>
    <t>Schematic:</t>
  </si>
  <si>
    <t>amulet_controller</t>
  </si>
  <si>
    <t>Variant:</t>
  </si>
  <si>
    <t>default</t>
  </si>
  <si>
    <t>Revision:</t>
  </si>
  <si>
    <t>1.1</t>
  </si>
  <si>
    <t>Date:</t>
  </si>
  <si>
    <t>2024-04-13</t>
  </si>
  <si>
    <t>KiCad Version:</t>
  </si>
  <si>
    <t>8.0.6-8.0.6-0~ubuntu22.04.1</t>
  </si>
  <si>
    <t>Component Groups:</t>
  </si>
  <si>
    <t>Component Count:</t>
  </si>
  <si>
    <t>253 (249 SMD/ 2 THT)</t>
  </si>
  <si>
    <t>Fitted Components:</t>
  </si>
  <si>
    <t>Number of PCBs:</t>
  </si>
  <si>
    <t>Total Components:</t>
  </si>
  <si>
    <t>Global Part Info</t>
  </si>
  <si>
    <t>Manf</t>
  </si>
  <si>
    <t>Manf#</t>
  </si>
  <si>
    <t>Build Quantity</t>
  </si>
  <si>
    <t>Unit$</t>
  </si>
  <si>
    <t>Ext$</t>
  </si>
  <si>
    <t>Avail</t>
  </si>
  <si>
    <t>Purch</t>
  </si>
  <si>
    <t>MOQ</t>
  </si>
  <si>
    <t>Cat#</t>
  </si>
  <si>
    <t>603-AC402KRX7R8BB102</t>
  </si>
  <si>
    <t>81-GRM155R72A332KA1D</t>
  </si>
  <si>
    <t>81-GCM155R72A472KA7D</t>
  </si>
  <si>
    <t>963-HMR105B7103KV-F</t>
  </si>
  <si>
    <t>80-C0603C473K1REAUTO</t>
  </si>
  <si>
    <t>81-GCM155R71H104KE2J</t>
  </si>
  <si>
    <t>963-HMK107B7104KAHT</t>
  </si>
  <si>
    <t>81-GCM155R71C104KA5D</t>
  </si>
  <si>
    <t>80-C1206C104K1RAUTO</t>
  </si>
  <si>
    <t>963-HMK107C7224KAHTE</t>
  </si>
  <si>
    <t>81-GRM155Z71A105KE1J</t>
  </si>
  <si>
    <t>NonStk</t>
  </si>
  <si>
    <t>963-TMK107AB7105KAHT</t>
  </si>
  <si>
    <t>81-GRT155R70J105KE1D</t>
  </si>
  <si>
    <t>81-GRM188Z71C475KE1J</t>
  </si>
  <si>
    <t>81-GRJ31CZ72A475KE1L</t>
  </si>
  <si>
    <t>581-04023D475MAT2A</t>
  </si>
  <si>
    <t>81-GRM21BZ71E106KE5L</t>
  </si>
  <si>
    <t>810-CGA6M3X7R1E156M2</t>
  </si>
  <si>
    <t>81-GRM21BZ71A226ME5L</t>
  </si>
  <si>
    <t>N/A</t>
  </si>
  <si>
    <t>511-BAT41KFILM</t>
  </si>
  <si>
    <t>652-CDSOT23-SM712</t>
  </si>
  <si>
    <t>749-SM1206NPGC-IL</t>
  </si>
  <si>
    <t>771-PESD2CANFD24V-UX</t>
  </si>
  <si>
    <t>771-PESD4USB3U-TBSX</t>
  </si>
  <si>
    <t>771-PESD4USB5B-TBSX</t>
  </si>
  <si>
    <t>78-SMBJ51CD-M3/H</t>
  </si>
  <si>
    <t>749-SM1206NYC-IL</t>
  </si>
  <si>
    <t>710-742792096</t>
  </si>
  <si>
    <t>538-105430-1203</t>
  </si>
  <si>
    <t>306-SM06BGHSTBLFSN</t>
  </si>
  <si>
    <t>771-PMV90ENER</t>
  </si>
  <si>
    <t>757-TPW1R306PLL1Q</t>
  </si>
  <si>
    <t>708-HCS1206FTL500</t>
  </si>
  <si>
    <t>667-ERJ-2GE0R00X</t>
  </si>
  <si>
    <t>71-CRCW06030000Z0EAH</t>
  </si>
  <si>
    <t>708-CSRT0603FT5R00</t>
  </si>
  <si>
    <t>71-CRCW08057R50FKEAH</t>
  </si>
  <si>
    <t>71-CRCW060310R0FKEAH</t>
  </si>
  <si>
    <t>667-ERJ-2RKF22R0X</t>
  </si>
  <si>
    <t>755-ESR03EZPF60R4</t>
  </si>
  <si>
    <t>71-RCS0402100RFKED</t>
  </si>
  <si>
    <t>71-CRCW0402150RFKEDH</t>
  </si>
  <si>
    <t>667-ERJ-2RKF2001X</t>
  </si>
  <si>
    <t>603-RT0402FRE134K7L</t>
  </si>
  <si>
    <t>603-RT0402FRE079K09L</t>
  </si>
  <si>
    <t>603-RT0402FRE0710KL</t>
  </si>
  <si>
    <t>603-RT0402FRE07100KL</t>
  </si>
  <si>
    <t>81-NCP15WB473F03RC</t>
  </si>
  <si>
    <t>985-AS5047P-ATSM</t>
  </si>
  <si>
    <t>985-AS5048B-HTSP-500</t>
  </si>
  <si>
    <t>621-DGD0216WT-7</t>
  </si>
  <si>
    <t>595-DRV8353FSRTAR</t>
  </si>
  <si>
    <t>595-R36006FSCQRNXTQ1</t>
  </si>
  <si>
    <t>595-R36503MSC5RPERQ1</t>
  </si>
  <si>
    <t>926-2992IM5-3.3/NOPB</t>
  </si>
  <si>
    <t>595-SN65HVD35DR</t>
  </si>
  <si>
    <t>511-STM32G474RET3</t>
  </si>
  <si>
    <t>595-CAN1051HGVDRBRQ1</t>
  </si>
  <si>
    <t>595-TPS62172DSGR</t>
  </si>
  <si>
    <t>Buy here</t>
  </si>
  <si>
    <t>Digi-Key</t>
  </si>
  <si>
    <t>445-CGA4J1X7R2A225K125ACCT-ND</t>
  </si>
  <si>
    <t>2457-LPS4018-223MRC-ND</t>
  </si>
  <si>
    <t>846-ESR03EZPF60R4CT-ND</t>
  </si>
  <si>
    <t>4991-AS5047P-ATSMTSSOP14LFT&amp;RDPCT-ND</t>
  </si>
  <si>
    <t>296-LMR36503MSC5RPERQ1CT-ND</t>
  </si>
  <si>
    <t>TME</t>
  </si>
  <si>
    <t>CGA6M3X7R1E156MAB</t>
  </si>
  <si>
    <t>C0603V102KDRACTU</t>
  </si>
  <si>
    <t>TPW1R306PL</t>
  </si>
  <si>
    <t>ERJ2GE0R00X</t>
  </si>
  <si>
    <t>ERJ2RKF22R0X</t>
  </si>
  <si>
    <t>ERJ2RKF2001X</t>
  </si>
  <si>
    <t>Total Purchase:</t>
  </si>
  <si>
    <t>Purchase description:</t>
  </si>
  <si>
    <t>Used currency rates:</t>
  </si>
  <si>
    <t>USD($)/CHF(CHF):</t>
  </si>
  <si>
    <t>Board Qty:</t>
  </si>
  <si>
    <t>Total Cost:</t>
  </si>
  <si>
    <t>Unit Cost:</t>
  </si>
  <si>
    <t>Created:</t>
  </si>
  <si>
    <t>2024-11-22 11:30:34</t>
  </si>
  <si>
    <t>KiCost® v1.1.18 + KiBot v1.8.3</t>
  </si>
  <si>
    <t>Packaging</t>
  </si>
  <si>
    <t>RoHS</t>
  </si>
  <si>
    <t>Package / Case</t>
  </si>
  <si>
    <t>Mounting Type</t>
  </si>
  <si>
    <t>Features</t>
  </si>
  <si>
    <t>Size / Dimension</t>
  </si>
  <si>
    <t>Manufacturer</t>
  </si>
  <si>
    <t>Tolerance</t>
  </si>
  <si>
    <t>Height - Seated (Max)</t>
  </si>
  <si>
    <t>Operating Temperature</t>
  </si>
  <si>
    <t>Ratings</t>
  </si>
  <si>
    <t>Supplier Device Package</t>
  </si>
  <si>
    <t>Failure Rate</t>
  </si>
  <si>
    <t>Mounting</t>
  </si>
  <si>
    <t>Temperature Coefficient</t>
  </si>
  <si>
    <t>Applications</t>
  </si>
  <si>
    <t>Operating Temperature, Operating temperature</t>
  </si>
  <si>
    <t>Capacitance</t>
  </si>
  <si>
    <t>Lead Spacing</t>
  </si>
  <si>
    <t>Lead Style</t>
  </si>
  <si>
    <t>Thickness (Max)</t>
  </si>
  <si>
    <t>Voltage - Rated</t>
  </si>
  <si>
    <t>Case - inch</t>
  </si>
  <si>
    <t>Case - mm</t>
  </si>
  <si>
    <t>Resistance</t>
  </si>
  <si>
    <t>Composition</t>
  </si>
  <si>
    <t>Number of Terminations</t>
  </si>
  <si>
    <t>Operating voltage</t>
  </si>
  <si>
    <t>Power (Watts)</t>
  </si>
  <si>
    <t>Dielectric</t>
  </si>
  <si>
    <t>Kind of capacitor</t>
  </si>
  <si>
    <t>Type of capacitor</t>
  </si>
  <si>
    <t>Case</t>
  </si>
  <si>
    <t>Capacitors series</t>
  </si>
  <si>
    <t>Kind of package</t>
  </si>
  <si>
    <t>Current Rating (Amps)</t>
  </si>
  <si>
    <t>Power</t>
  </si>
  <si>
    <t>Type</t>
  </si>
  <si>
    <t>Contact Material</t>
  </si>
  <si>
    <t>Type of integrated circuit</t>
  </si>
  <si>
    <t>Connector</t>
  </si>
  <si>
    <t>Connector Type</t>
  </si>
  <si>
    <t>Connector series</t>
  </si>
  <si>
    <t>Contact Finish - Mating</t>
  </si>
  <si>
    <t>Contact Finish - Post</t>
  </si>
  <si>
    <t>Contact Finish Thickness - Mating</t>
  </si>
  <si>
    <t>Contact Length - Mating</t>
  </si>
  <si>
    <t>Contact Length - Post</t>
  </si>
  <si>
    <t>Contact Shape</t>
  </si>
  <si>
    <t>Contact Type</t>
  </si>
  <si>
    <t>Current rating</t>
  </si>
  <si>
    <t>Electrical mounting</t>
  </si>
  <si>
    <t>Fastening Type</t>
  </si>
  <si>
    <t>Grade</t>
  </si>
  <si>
    <t>Ingress Protection</t>
  </si>
  <si>
    <t>Insulation Color</t>
  </si>
  <si>
    <t>Insulation Height</t>
  </si>
  <si>
    <t>Insulation Material</t>
  </si>
  <si>
    <t>Kind of connector</t>
  </si>
  <si>
    <t>Material Flammability Rating</t>
  </si>
  <si>
    <t>Number of Positions</t>
  </si>
  <si>
    <t>Number of Positions Loaded</t>
  </si>
  <si>
    <t>Number of Rows</t>
  </si>
  <si>
    <t>Number of channels</t>
  </si>
  <si>
    <t>Number of pins</t>
  </si>
  <si>
    <t>Overall Contact Length</t>
  </si>
  <si>
    <t>Pitch - Mating</t>
  </si>
  <si>
    <t>Qualification</t>
  </si>
  <si>
    <t>Rated voltage</t>
  </si>
  <si>
    <t>Row Spacing - Mating</t>
  </si>
  <si>
    <t>Shrouding</t>
  </si>
  <si>
    <t>Spatial orientation</t>
  </si>
  <si>
    <t>Style</t>
  </si>
  <si>
    <t>Technology</t>
  </si>
  <si>
    <t>Termination</t>
  </si>
  <si>
    <t>Type of connector</t>
  </si>
  <si>
    <t>Type of resistor</t>
  </si>
  <si>
    <t>Voltage - Supply</t>
  </si>
  <si>
    <t>Voltage Rating</t>
  </si>
  <si>
    <t>Capacitance @ Frequency</t>
  </si>
  <si>
    <t>Conform to the norm</t>
  </si>
  <si>
    <t>Current - Output</t>
  </si>
  <si>
    <t>Current - Peak Pulse (10/1000µs)</t>
  </si>
  <si>
    <t>Kind of integrated circuit</t>
  </si>
  <si>
    <t>Max. operating voltage</t>
  </si>
  <si>
    <t>Output Configuration</t>
  </si>
  <si>
    <t>Output Type</t>
  </si>
  <si>
    <t>Output current</t>
  </si>
  <si>
    <t>Power - Peak Pulse</t>
  </si>
  <si>
    <t>Power Line Protection</t>
  </si>
  <si>
    <t>Voltage - Breakdown (Min)</t>
  </si>
  <si>
    <t>Voltage - Clamping (Max) @ Ipp</t>
  </si>
  <si>
    <t>Voltage - Reverse Standoff (Typ)</t>
  </si>
  <si>
    <t>Contacts pitch</t>
  </si>
  <si>
    <t>DigiKey Programmable</t>
  </si>
  <si>
    <t>Function</t>
  </si>
  <si>
    <t>Input voltage</t>
  </si>
  <si>
    <t>Output voltage</t>
  </si>
  <si>
    <t>Temperature Coefficient, Temperature coefficient</t>
  </si>
  <si>
    <t>Type of diode</t>
  </si>
  <si>
    <t>Voltage - Input (Max)</t>
  </si>
  <si>
    <t>Voltage - Output (Max)</t>
  </si>
  <si>
    <t>Voltage - Output (Min/Fixed)</t>
  </si>
  <si>
    <t>Actuator Type</t>
  </si>
  <si>
    <t>Bidirectional Channels</t>
  </si>
  <si>
    <t>Capacitor application</t>
  </si>
  <si>
    <t>Frequency - Switching</t>
  </si>
  <si>
    <t>Height (Max)</t>
  </si>
  <si>
    <t>Interface</t>
  </si>
  <si>
    <t>Max. forward impulse current</t>
  </si>
  <si>
    <t>Max. off-state voltage</t>
  </si>
  <si>
    <t>Max. overload voltage</t>
  </si>
  <si>
    <t>Number of Outputs</t>
  </si>
  <si>
    <t>Semiconductor structure</t>
  </si>
  <si>
    <t>Supply voltage</t>
  </si>
  <si>
    <t>Synchronous Rectifier</t>
  </si>
  <si>
    <t>Termination Style</t>
  </si>
  <si>
    <t>Topology</t>
  </si>
  <si>
    <t>Voltage - Input (Min)</t>
  </si>
  <si>
    <t>Application</t>
  </si>
  <si>
    <t>Body material</t>
  </si>
  <si>
    <t>Breakdown voltage</t>
  </si>
  <si>
    <t>Color</t>
  </si>
  <si>
    <t>Colour</t>
  </si>
  <si>
    <t>Configuration</t>
  </si>
  <si>
    <t>Contact material</t>
  </si>
  <si>
    <t>Contact plating</t>
  </si>
  <si>
    <t>Current - Continuous Drain (Id) @ 25°C</t>
  </si>
  <si>
    <t>Current - Test</t>
  </si>
  <si>
    <t>Data Rate</t>
  </si>
  <si>
    <t>Drain current</t>
  </si>
  <si>
    <t>Drain to Source Voltage (Vdss)</t>
  </si>
  <si>
    <t>Drain-source voltage</t>
  </si>
  <si>
    <t>Drive Voltage (Max Rds On, Min Rds On)</t>
  </si>
  <si>
    <t>Duplex</t>
  </si>
  <si>
    <t>FET Feature</t>
  </si>
  <si>
    <t>FET Type</t>
  </si>
  <si>
    <t>Features of semiconductor devices</t>
  </si>
  <si>
    <t>Flammability rating</t>
  </si>
  <si>
    <t>Gate Charge (Qg) (Max) @ Vgs</t>
  </si>
  <si>
    <t>Input Capacitance (Ciss) (Max) @ Vds</t>
  </si>
  <si>
    <t>Integrated circuit features</t>
  </si>
  <si>
    <t>Kind of channel</t>
  </si>
  <si>
    <t>Lens Color</t>
  </si>
  <si>
    <t>Lens Size</t>
  </si>
  <si>
    <t>Lens Style</t>
  </si>
  <si>
    <t>Lens Transparency</t>
  </si>
  <si>
    <t>Mechanical durability</t>
  </si>
  <si>
    <t>Mechanical mounting</t>
  </si>
  <si>
    <t>Millicandela Rating</t>
  </si>
  <si>
    <t>Number of Drivers/Receivers</t>
  </si>
  <si>
    <t>On-state resistance</t>
  </si>
  <si>
    <t>Operating temperature</t>
  </si>
  <si>
    <t>Peak pulse power dissipation</t>
  </si>
  <si>
    <t>Polarisation</t>
  </si>
  <si>
    <t>Power Dissipation (Max)</t>
  </si>
  <si>
    <t>Protocol</t>
  </si>
  <si>
    <t>Pulsed drain current</t>
  </si>
  <si>
    <t>Rds On (Max) @ Id, Vgs</t>
  </si>
  <si>
    <t>Receiver Hysteresis</t>
  </si>
  <si>
    <t>Resistance Tolerance</t>
  </si>
  <si>
    <t>Speed</t>
  </si>
  <si>
    <t>Type of transistor</t>
  </si>
  <si>
    <t>Unidirectional Channels</t>
  </si>
  <si>
    <t>Version</t>
  </si>
  <si>
    <t>Vgs (Max)</t>
  </si>
  <si>
    <t>Vgs(th) (Max) @ Id</t>
  </si>
  <si>
    <t>Voltage - Forward (Vf) (Typ)</t>
  </si>
  <si>
    <t>Wavelength - Dominant</t>
  </si>
  <si>
    <t>Wavelength - Peak</t>
  </si>
  <si>
    <t>B Value Tolerance</t>
  </si>
  <si>
    <t>B0/50</t>
  </si>
  <si>
    <t>B25/100</t>
  </si>
  <si>
    <t>B25/50</t>
  </si>
  <si>
    <t>B25/75</t>
  </si>
  <si>
    <t>B25/85</t>
  </si>
  <si>
    <t>Built in Switch</t>
  </si>
  <si>
    <t>Capacitance @ Vr, F</t>
  </si>
  <si>
    <t>Channel Type</t>
  </si>
  <si>
    <t>Circuit</t>
  </si>
  <si>
    <t>Clock frequency</t>
  </si>
  <si>
    <t>Connectivity</t>
  </si>
  <si>
    <t>Contact Finish</t>
  </si>
  <si>
    <t>Control Features</t>
  </si>
  <si>
    <t>Core Processor</t>
  </si>
  <si>
    <t>Core Size</t>
  </si>
  <si>
    <t>Current - Average Rectified (Io)</t>
  </si>
  <si>
    <t>Current - Peak Output (Source, Sink)</t>
  </si>
  <si>
    <t>Current - Quiescent (Iq)</t>
  </si>
  <si>
    <t>Current - Reverse Leakage @ Vr</t>
  </si>
  <si>
    <t>Current - Saturation (Isat)</t>
  </si>
  <si>
    <t>Current - Supply (Max)</t>
  </si>
  <si>
    <t>Current Rating (Max)</t>
  </si>
  <si>
    <t>DC Resistance (DCR)</t>
  </si>
  <si>
    <t>DC Resistance (DCR) (Max)</t>
  </si>
  <si>
    <t>Data Converters</t>
  </si>
  <si>
    <t>Data transfer rate</t>
  </si>
  <si>
    <t>Detent</t>
  </si>
  <si>
    <t>Dimensions</t>
  </si>
  <si>
    <t>Driven Configuration</t>
  </si>
  <si>
    <t>EEPROM Size</t>
  </si>
  <si>
    <t>Encoder Type</t>
  </si>
  <si>
    <t>Family</t>
  </si>
  <si>
    <t>Filter Type</t>
  </si>
  <si>
    <t>For Measuring</t>
  </si>
  <si>
    <t>Frequency</t>
  </si>
  <si>
    <t>Frequency - Self Resonant</t>
  </si>
  <si>
    <t>Front</t>
  </si>
  <si>
    <t>Gate Type</t>
  </si>
  <si>
    <t>Gate charge</t>
  </si>
  <si>
    <t>Gate-source voltage</t>
  </si>
  <si>
    <t>Impedance @ Frequency</t>
  </si>
  <si>
    <t>Impulse rise time</t>
  </si>
  <si>
    <t>Inductance</t>
  </si>
  <si>
    <t>Inductance Frequency - Test</t>
  </si>
  <si>
    <t>Input Type</t>
  </si>
  <si>
    <t>Kind of architecture</t>
  </si>
  <si>
    <t>Kind of output</t>
  </si>
  <si>
    <t>Kind of resistor</t>
  </si>
  <si>
    <t>Kind of voltage regulator</t>
  </si>
  <si>
    <t>LED colour</t>
  </si>
  <si>
    <t>LED current</t>
  </si>
  <si>
    <t>LED lens</t>
  </si>
  <si>
    <t>Leakage current</t>
  </si>
  <si>
    <t>Length - Lead Wire</t>
  </si>
  <si>
    <t>Linear Range</t>
  </si>
  <si>
    <t>Linearity</t>
  </si>
  <si>
    <t>Load current</t>
  </si>
  <si>
    <t>Logic Voltage - VIL, VIH</t>
  </si>
  <si>
    <t>Luminosity</t>
  </si>
  <si>
    <t>Manufacturer series</t>
  </si>
  <si>
    <t>Material - Core</t>
  </si>
  <si>
    <t>Material constant B</t>
  </si>
  <si>
    <t>Max. forward voltage</t>
  </si>
  <si>
    <t>Memory</t>
  </si>
  <si>
    <t>Motor Type - AC, DC</t>
  </si>
  <si>
    <t>Motor Type - Stepper</t>
  </si>
  <si>
    <t>Number of 12bit A/D converters</t>
  </si>
  <si>
    <t>Number of 12bit D/A converters</t>
  </si>
  <si>
    <t>Number of 16bit timers</t>
  </si>
  <si>
    <t>Number of 32bit timers</t>
  </si>
  <si>
    <t>Number of Drivers</t>
  </si>
  <si>
    <t>Number of I/O</t>
  </si>
  <si>
    <t>Number of Lines</t>
  </si>
  <si>
    <t>Number of Regulators</t>
  </si>
  <si>
    <t>Number of inputs/outputs</t>
  </si>
  <si>
    <t>Number of receivers</t>
  </si>
  <si>
    <t>Number of transmitters</t>
  </si>
  <si>
    <t>Operating Temperature - Junction</t>
  </si>
  <si>
    <t>Orientation</t>
  </si>
  <si>
    <t>Oscillator Type</t>
  </si>
  <si>
    <t>Output</t>
  </si>
  <si>
    <t>Output Signal</t>
  </si>
  <si>
    <t>PSRR</t>
  </si>
  <si>
    <t>Peripherals</t>
  </si>
  <si>
    <t>Power - Max</t>
  </si>
  <si>
    <t>Power dissipation</t>
  </si>
  <si>
    <t>Program Memory Size</t>
  </si>
  <si>
    <t>Program Memory Type</t>
  </si>
  <si>
    <t>Protection Features</t>
  </si>
  <si>
    <t>Pulse fall time</t>
  </si>
  <si>
    <t>Pulses per Revolution</t>
  </si>
  <si>
    <t>Q @ Freq</t>
  </si>
  <si>
    <t>RAM Size</t>
  </si>
  <si>
    <t>Resistance in Ohms @ 25°C</t>
  </si>
  <si>
    <t>Rise / Fall Time (Typ)</t>
  </si>
  <si>
    <t>Rotation Angle - Electrical, Mechanical</t>
  </si>
  <si>
    <t>Rotational Life (Cycles Min)</t>
  </si>
  <si>
    <t>Shielding</t>
  </si>
  <si>
    <t>Step Resolution</t>
  </si>
  <si>
    <t>Type of sensor</t>
  </si>
  <si>
    <t>Viewing Angle</t>
  </si>
  <si>
    <t>Viewing Angle, Viewing angle</t>
  </si>
  <si>
    <t>Voltage - DC Reverse (Vr) (Max)</t>
  </si>
  <si>
    <t>Voltage - Forward (Vf) (Max) @ If</t>
  </si>
  <si>
    <t>Voltage - Load</t>
  </si>
  <si>
    <t>Voltage - Supply (Vcc/Vdd)</t>
  </si>
  <si>
    <t>Voltage Dropout (Max)</t>
  </si>
  <si>
    <t>Voltage drop</t>
  </si>
  <si>
    <t>Wavelength</t>
  </si>
  <si>
    <t>Cut Tape (CT)</t>
  </si>
  <si>
    <t>ROHS3 Compliant</t>
  </si>
  <si>
    <t>0402 (1005 Metric)</t>
  </si>
  <si>
    <t>Surface Mount, MLCC</t>
  </si>
  <si>
    <t>-</t>
  </si>
  <si>
    <t>0.039" L x 0.020" W (1.00mm x 0.50mm)</t>
  </si>
  <si>
    <t>±10%</t>
  </si>
  <si>
    <t>-55°C ~ 125°C</t>
  </si>
  <si>
    <t>AEC-Q200</t>
  </si>
  <si>
    <t>X7R</t>
  </si>
  <si>
    <t>Automotive</t>
  </si>
  <si>
    <t>1000 pF</t>
  </si>
  <si>
    <t>0.022" (0.55mm)</t>
  </si>
  <si>
    <t>25V</t>
  </si>
  <si>
    <t>General Purpose</t>
  </si>
  <si>
    <t>3300 pF</t>
  </si>
  <si>
    <t>100V</t>
  </si>
  <si>
    <t>MURATA</t>
  </si>
  <si>
    <t>-55°C ~ 125°C, -55...125°C</t>
  </si>
  <si>
    <t>SMD</t>
  </si>
  <si>
    <t>4700 pF, 4.7nF</t>
  </si>
  <si>
    <t>0402</t>
  </si>
  <si>
    <t>1005</t>
  </si>
  <si>
    <t>MLCC</t>
  </si>
  <si>
    <t>ceramic</t>
  </si>
  <si>
    <t>GCM</t>
  </si>
  <si>
    <t>10000 pF</t>
  </si>
  <si>
    <t>0603 (1608 Metric)</t>
  </si>
  <si>
    <t>0.063" L x 0.031" W (1.60mm x 0.80mm)</t>
  </si>
  <si>
    <t>Automotive, ESD Protection</t>
  </si>
  <si>
    <t>0.047 µF, 47nF</t>
  </si>
  <si>
    <t>0.034" (0.87mm)</t>
  </si>
  <si>
    <t>0603</t>
  </si>
  <si>
    <t>1608</t>
  </si>
  <si>
    <t>AEC Q200</t>
  </si>
  <si>
    <t>automobile electronics</t>
  </si>
  <si>
    <t>0.1 µF, 0.1µF</t>
  </si>
  <si>
    <t>50V</t>
  </si>
  <si>
    <t>High Voltage</t>
  </si>
  <si>
    <t>0.1 µF</t>
  </si>
  <si>
    <t>0.035" (0.90mm)</t>
  </si>
  <si>
    <t>16V</t>
  </si>
  <si>
    <t>1206 (3216 Metric)</t>
  </si>
  <si>
    <t>0.126" L x 0.063" W (3.20mm x 1.60mm)</t>
  </si>
  <si>
    <t>Automotive, Bypass, Decoupling</t>
  </si>
  <si>
    <t>0.035" (0.88mm)</t>
  </si>
  <si>
    <t>1206</t>
  </si>
  <si>
    <t>3216</t>
  </si>
  <si>
    <t>X7S</t>
  </si>
  <si>
    <t>Automotive, SMPS Filtering</t>
  </si>
  <si>
    <t>0.22 µF</t>
  </si>
  <si>
    <t>1 µF, 1µF</t>
  </si>
  <si>
    <t>0.024" (0.60mm)</t>
  </si>
  <si>
    <t>10V</t>
  </si>
  <si>
    <t>GRM</t>
  </si>
  <si>
    <t>1 µF</t>
  </si>
  <si>
    <t>0.037" (0.95mm)</t>
  </si>
  <si>
    <t>6.3V</t>
  </si>
  <si>
    <t>GRT</t>
  </si>
  <si>
    <t>0805 (2012 Metric)</t>
  </si>
  <si>
    <t>0.079" L x 0.049" W (2.00mm x 1.25mm)</t>
  </si>
  <si>
    <t>2.2 µF</t>
  </si>
  <si>
    <t>0.059" (1.50mm)</t>
  </si>
  <si>
    <t>4.7 µF, 4.7µF</t>
  </si>
  <si>
    <t>0.039" (1.00mm)</t>
  </si>
  <si>
    <t>Soft Termination</t>
  </si>
  <si>
    <t>Boardflex Sensitive</t>
  </si>
  <si>
    <t>0.075" (1.90mm)</t>
  </si>
  <si>
    <t>GRJ</t>
  </si>
  <si>
    <t>±20%</t>
  </si>
  <si>
    <t>-55°C ~ 85°C</t>
  </si>
  <si>
    <t>X5R</t>
  </si>
  <si>
    <t>4.7 µF</t>
  </si>
  <si>
    <t>10 µF, 10µF</t>
  </si>
  <si>
    <t>0.057" (1.45mm)</t>
  </si>
  <si>
    <t>0805</t>
  </si>
  <si>
    <t>2012</t>
  </si>
  <si>
    <t>1210 (3225 Metric)</t>
  </si>
  <si>
    <t>Low ESL</t>
  </si>
  <si>
    <t>0.126" L x 0.098" W (3.20mm x 2.50mm)</t>
  </si>
  <si>
    <t>TDK</t>
  </si>
  <si>
    <t>15 µF, 15µF</t>
  </si>
  <si>
    <t>0.087" (2.20mm)</t>
  </si>
  <si>
    <t>1210</t>
  </si>
  <si>
    <t>3225</t>
  </si>
  <si>
    <t>22 µF, 22µF</t>
  </si>
  <si>
    <t>High Voltage, ArcShield™</t>
  </si>
  <si>
    <t>1000 pF, 1nF</t>
  </si>
  <si>
    <t>1000V (1kV)</t>
  </si>
  <si>
    <t>1kV</t>
  </si>
  <si>
    <t>SC-79, SOD-523</t>
  </si>
  <si>
    <t>Surface Mount</t>
  </si>
  <si>
    <t>SOD-523</t>
  </si>
  <si>
    <t>SOD523</t>
  </si>
  <si>
    <t>tape</t>
  </si>
  <si>
    <t>Schottky</t>
  </si>
  <si>
    <t>Schottky rectifying</t>
  </si>
  <si>
    <t>1A</t>
  </si>
  <si>
    <t>single diode</t>
  </si>
  <si>
    <t>Small Signal =&lt; 200mA (Io), Any Speed</t>
  </si>
  <si>
    <t>10pF @ 1V, 1MHz</t>
  </si>
  <si>
    <t>200mA</t>
  </si>
  <si>
    <t>100 nA @ 50 V</t>
  </si>
  <si>
    <t>0.2A</t>
  </si>
  <si>
    <t>1V</t>
  </si>
  <si>
    <t>150°C (Max)</t>
  </si>
  <si>
    <t>100 V</t>
  </si>
  <si>
    <t>1 V @ 200 mA</t>
  </si>
  <si>
    <t>TO-236-3, SC-59, SOT-23-3</t>
  </si>
  <si>
    <t>BOURNS</t>
  </si>
  <si>
    <t>-55°C ~ 150°C (TJ)</t>
  </si>
  <si>
    <t>RS-485</t>
  </si>
  <si>
    <t>75pF</t>
  </si>
  <si>
    <t>SOT23</t>
  </si>
  <si>
    <t>Zener</t>
  </si>
  <si>
    <t>75pF @ 1MHz</t>
  </si>
  <si>
    <t>17A (8/20µs)</t>
  </si>
  <si>
    <t>400W</t>
  </si>
  <si>
    <t>No</t>
  </si>
  <si>
    <t>13.3V, 7.5V</t>
  </si>
  <si>
    <t>26V, 14V</t>
  </si>
  <si>
    <t>12V (Max), 7V (Max)</t>
  </si>
  <si>
    <t>TVS array</t>
  </si>
  <si>
    <t>17A</t>
  </si>
  <si>
    <t>7...12V</t>
  </si>
  <si>
    <t>bidirectional</t>
  </si>
  <si>
    <t>7.5...13V</t>
  </si>
  <si>
    <t>0.4kW</t>
  </si>
  <si>
    <t>ESD</t>
  </si>
  <si>
    <t>3.20mm L x 1.60mm W</t>
  </si>
  <si>
    <t>1.40mm</t>
  </si>
  <si>
    <t>Green</t>
  </si>
  <si>
    <t>Standard</t>
  </si>
  <si>
    <t>20mA</t>
  </si>
  <si>
    <t>Colorless</t>
  </si>
  <si>
    <t>1.10mm Dia</t>
  </si>
  <si>
    <t>Round with Flat Top</t>
  </si>
  <si>
    <t>Clear</t>
  </si>
  <si>
    <t>1550mcd</t>
  </si>
  <si>
    <t>3V</t>
  </si>
  <si>
    <t>525nm</t>
  </si>
  <si>
    <t>523nm</t>
  </si>
  <si>
    <t>30°</t>
  </si>
  <si>
    <t>SC-70, SOT-323</t>
  </si>
  <si>
    <t>-55°C ~ 175°C (TA)</t>
  </si>
  <si>
    <t>SOT-323</t>
  </si>
  <si>
    <t>CAN</t>
  </si>
  <si>
    <t>AEC-Q101</t>
  </si>
  <si>
    <t>5.2pF @ 1MHz</t>
  </si>
  <si>
    <t>2.6A (8/20µs)</t>
  </si>
  <si>
    <t>25.5V</t>
  </si>
  <si>
    <t>42V</t>
  </si>
  <si>
    <t>24V (Max)</t>
  </si>
  <si>
    <t>10-WFDFN</t>
  </si>
  <si>
    <t>Surface Mount, Wettable Flank</t>
  </si>
  <si>
    <t>-55°C ~ 150°C (TA)</t>
  </si>
  <si>
    <t>DFN2510D-10</t>
  </si>
  <si>
    <t>HDMI, USB</t>
  </si>
  <si>
    <t>0.4pF @ 1MHz</t>
  </si>
  <si>
    <t>7A (8/20µs)</t>
  </si>
  <si>
    <t>6V</t>
  </si>
  <si>
    <t>3.5V (Typ)</t>
  </si>
  <si>
    <t>3.3V (Max)</t>
  </si>
  <si>
    <t>0.24pF @ 1MHz</t>
  </si>
  <si>
    <t>5.5V (Typ)</t>
  </si>
  <si>
    <t>5V (Max)</t>
  </si>
  <si>
    <t>DO-214AA, SMB</t>
  </si>
  <si>
    <t>VISHAY</t>
  </si>
  <si>
    <t>DO-214AA (SMBJ)</t>
  </si>
  <si>
    <t>SMB</t>
  </si>
  <si>
    <t>TransZorb®</t>
  </si>
  <si>
    <t>7.4A</t>
  </si>
  <si>
    <t>600W</t>
  </si>
  <si>
    <t>57.6V</t>
  </si>
  <si>
    <t>81.2V</t>
  </si>
  <si>
    <t>51V</t>
  </si>
  <si>
    <t>TVS</t>
  </si>
  <si>
    <t>glass passivated</t>
  </si>
  <si>
    <t>0.6kW</t>
  </si>
  <si>
    <t>0.5µA</t>
  </si>
  <si>
    <t>SMBJ</t>
  </si>
  <si>
    <t>BIVAR</t>
  </si>
  <si>
    <t>2...2.6V DC</t>
  </si>
  <si>
    <t>78mW</t>
  </si>
  <si>
    <t>Yellow</t>
  </si>
  <si>
    <t>1000mcd</t>
  </si>
  <si>
    <t>2V</t>
  </si>
  <si>
    <t>592nm</t>
  </si>
  <si>
    <t>590nm</t>
  </si>
  <si>
    <t>3.2x1.6mm</t>
  </si>
  <si>
    <t>flat</t>
  </si>
  <si>
    <t>yellow</t>
  </si>
  <si>
    <t>transparent</t>
  </si>
  <si>
    <t>0.079" L x 0.047" W (2.00mm x 1.20mm)</t>
  </si>
  <si>
    <t>0.043" (1.10mm)</t>
  </si>
  <si>
    <t>300mOhm</t>
  </si>
  <si>
    <t>Signal Line</t>
  </si>
  <si>
    <t>1 kOhms @ 100 MHz</t>
  </si>
  <si>
    <t>Surface Mount, Right Angle</t>
  </si>
  <si>
    <t>Solder Retention</t>
  </si>
  <si>
    <t>-40°C ~ 115°C</t>
  </si>
  <si>
    <t>Varies by Wire Gauge</t>
  </si>
  <si>
    <t>Brass</t>
  </si>
  <si>
    <t>Header</t>
  </si>
  <si>
    <t>Gold</t>
  </si>
  <si>
    <t>Tin</t>
  </si>
  <si>
    <t>15.0µin (0.38µm)</t>
  </si>
  <si>
    <t>Square</t>
  </si>
  <si>
    <t>Male Pin</t>
  </si>
  <si>
    <t>Latch Holder</t>
  </si>
  <si>
    <t>Black</t>
  </si>
  <si>
    <t>0.275" (6.99mm)</t>
  </si>
  <si>
    <t>Liquid Crystal Polymer (LCP)</t>
  </si>
  <si>
    <t>UL94 V-0</t>
  </si>
  <si>
    <t>All</t>
  </si>
  <si>
    <t>0.098" (2.50mm)</t>
  </si>
  <si>
    <t>Shrouded - 4 Wall</t>
  </si>
  <si>
    <t>Board to Cable/Wire</t>
  </si>
  <si>
    <t>Solder</t>
  </si>
  <si>
    <t>250VAC</t>
  </si>
  <si>
    <t>JST</t>
  </si>
  <si>
    <t>-25°C ~ 85°C, -25...85°C</t>
  </si>
  <si>
    <t>2A</t>
  </si>
  <si>
    <t>Copper Alloy</t>
  </si>
  <si>
    <t>socket</t>
  </si>
  <si>
    <t>PH</t>
  </si>
  <si>
    <t>0.130" (3.30mm)</t>
  </si>
  <si>
    <t>SMT</t>
  </si>
  <si>
    <t>Detent Lock</t>
  </si>
  <si>
    <t>Natural</t>
  </si>
  <si>
    <t>0.217" (5.51mm)</t>
  </si>
  <si>
    <t>Polyamide (PA6T), Nylon 6T</t>
  </si>
  <si>
    <t>male</t>
  </si>
  <si>
    <t>0.079" (2.00mm)</t>
  </si>
  <si>
    <t>horizontal</t>
  </si>
  <si>
    <t>wire-board</t>
  </si>
  <si>
    <t>2mm</t>
  </si>
  <si>
    <t>-25°C ~ 85°C</t>
  </si>
  <si>
    <t>Phosphor Bronze</t>
  </si>
  <si>
    <t>GH</t>
  </si>
  <si>
    <t>Rectangular</t>
  </si>
  <si>
    <t>Outer Shroud Contact</t>
  </si>
  <si>
    <t>Locking Ramp</t>
  </si>
  <si>
    <t>0.167" (4.25mm)</t>
  </si>
  <si>
    <t>Polyamide (PA9T), Nylon 9T</t>
  </si>
  <si>
    <t>0.049" (1.25mm)</t>
  </si>
  <si>
    <t>1.25mm</t>
  </si>
  <si>
    <t>-20...120°C</t>
  </si>
  <si>
    <t>brass</t>
  </si>
  <si>
    <t>XT60</t>
  </si>
  <si>
    <t>30A</t>
  </si>
  <si>
    <t>THT</t>
  </si>
  <si>
    <t>female</t>
  </si>
  <si>
    <t>500V</t>
  </si>
  <si>
    <t>angled 90°</t>
  </si>
  <si>
    <t>DC supply</t>
  </si>
  <si>
    <t>polyamide</t>
  </si>
  <si>
    <t>gold flash</t>
  </si>
  <si>
    <t>UL94V-0</t>
  </si>
  <si>
    <t>1000 cycles</t>
  </si>
  <si>
    <t>on PCBs</t>
  </si>
  <si>
    <t>Strip</t>
  </si>
  <si>
    <t>Nonstandard</t>
  </si>
  <si>
    <t>0.154" L x 0.154" W (3.90mm x 3.90mm)</t>
  </si>
  <si>
    <t>0.071" (1.80mm)</t>
  </si>
  <si>
    <t>-40°C ~ 125°C</t>
  </si>
  <si>
    <t>650 mA</t>
  </si>
  <si>
    <t>Drum Core</t>
  </si>
  <si>
    <t>740mA</t>
  </si>
  <si>
    <t>360mOhm Max</t>
  </si>
  <si>
    <t>26MHz</t>
  </si>
  <si>
    <t>22 µH</t>
  </si>
  <si>
    <t>100 kHz</t>
  </si>
  <si>
    <t>Ferrite</t>
  </si>
  <si>
    <t>Shielded</t>
  </si>
  <si>
    <t>NEXPERIA</t>
  </si>
  <si>
    <t>TO-236AB</t>
  </si>
  <si>
    <t>TO236AB</t>
  </si>
  <si>
    <t>MOSFET (Metal Oxide)</t>
  </si>
  <si>
    <t>3A (Ta)</t>
  </si>
  <si>
    <t>1.9A</t>
  </si>
  <si>
    <t>30 V</t>
  </si>
  <si>
    <t>30V</t>
  </si>
  <si>
    <t>4.5V, 10V</t>
  </si>
  <si>
    <t>N-Channel</t>
  </si>
  <si>
    <t>logic level</t>
  </si>
  <si>
    <t>5.5 nC @ 10 V</t>
  </si>
  <si>
    <t>160 pF @ 15 V</t>
  </si>
  <si>
    <t>enhanced</t>
  </si>
  <si>
    <t>0.118Ω</t>
  </si>
  <si>
    <t>unipolar</t>
  </si>
  <si>
    <t>460mW (Ta)</t>
  </si>
  <si>
    <t>12A</t>
  </si>
  <si>
    <t>72mOhm @ 3A, 10V</t>
  </si>
  <si>
    <t>N-MOSFET</t>
  </si>
  <si>
    <t>±20V</t>
  </si>
  <si>
    <t>2.5V @ 250µA</t>
  </si>
  <si>
    <t>5.5nC</t>
  </si>
  <si>
    <t>8-PowerVDFN</t>
  </si>
  <si>
    <t>TOSHIBA</t>
  </si>
  <si>
    <t>175°C</t>
  </si>
  <si>
    <t>8-DSOP Advance</t>
  </si>
  <si>
    <t>DSOP8</t>
  </si>
  <si>
    <t>260A (Tc)</t>
  </si>
  <si>
    <t>260A</t>
  </si>
  <si>
    <t>60 V</t>
  </si>
  <si>
    <t>60V</t>
  </si>
  <si>
    <t>91 nC @ 10 V</t>
  </si>
  <si>
    <t>8100 pF @ 30 V</t>
  </si>
  <si>
    <t>2.3mΩ</t>
  </si>
  <si>
    <t>960mW (Ta), 170W (Tc)</t>
  </si>
  <si>
    <t>500A</t>
  </si>
  <si>
    <t>1.29mOhm @ 50A, 10V</t>
  </si>
  <si>
    <t>2.5V @ 1mA</t>
  </si>
  <si>
    <t>170W</t>
  </si>
  <si>
    <t>Automotive AEC-Q200, Current Sense, Moisture Resistant</t>
  </si>
  <si>
    <t>0.126" L x 0.065" W (3.20mm x 1.65mm)</t>
  </si>
  <si>
    <t>±1%</t>
  </si>
  <si>
    <t>0.041" (1.05mm)</t>
  </si>
  <si>
    <t>-55°C ~ 170°C</t>
  </si>
  <si>
    <t>±200ppm/°C</t>
  </si>
  <si>
    <t>0.5 mOhms</t>
  </si>
  <si>
    <t>Metal Element</t>
  </si>
  <si>
    <t>2W</t>
  </si>
  <si>
    <t>Automotive AEC-Q200</t>
  </si>
  <si>
    <t>PANASONIC</t>
  </si>
  <si>
    <t>Jumper</t>
  </si>
  <si>
    <t>0.016" (0.40mm)</t>
  </si>
  <si>
    <t>-55°C ~ 155°C, -55...155°C</t>
  </si>
  <si>
    <t>0 Ohms, 0Ω</t>
  </si>
  <si>
    <t>Thick Film</t>
  </si>
  <si>
    <t>0.1W</t>
  </si>
  <si>
    <t>thick film</t>
  </si>
  <si>
    <t>Automotive AEC-Q200, Pulse Withstanding</t>
  </si>
  <si>
    <t>0.063" L x 0.033" W (1.60mm x 0.85mm)</t>
  </si>
  <si>
    <t>75V</t>
  </si>
  <si>
    <t>Automotive AEC-Q200, Current Sense</t>
  </si>
  <si>
    <t>-55°C ~ 155°C</t>
  </si>
  <si>
    <t>±50ppm/°C</t>
  </si>
  <si>
    <t>5 Ohms</t>
  </si>
  <si>
    <t>Thin Film</t>
  </si>
  <si>
    <t>0.4W</t>
  </si>
  <si>
    <t>±100ppm/°C</t>
  </si>
  <si>
    <t>7.5 Ohms</t>
  </si>
  <si>
    <t>0.5W, 1/2W</t>
  </si>
  <si>
    <t>100ppm/°C</t>
  </si>
  <si>
    <t>10 Ohms, 10Ω</t>
  </si>
  <si>
    <t>0.333W, 1/3W</t>
  </si>
  <si>
    <t>22 Ohms, 22Ω</t>
  </si>
  <si>
    <t>0.1W, 1/10W</t>
  </si>
  <si>
    <t>60.4 Ohms</t>
  </si>
  <si>
    <t>0.25W, 1/4W</t>
  </si>
  <si>
    <t>100 Ohms</t>
  </si>
  <si>
    <t>0.2W, 1/5W</t>
  </si>
  <si>
    <t>150 Ohms</t>
  </si>
  <si>
    <t>2 kOhms, 2kΩ</t>
  </si>
  <si>
    <t>Moisture Resistant</t>
  </si>
  <si>
    <t>0.014" (0.35mm)</t>
  </si>
  <si>
    <t>4.7 kOhms</t>
  </si>
  <si>
    <t>0.063W, 1/16W</t>
  </si>
  <si>
    <t>9.09 kOhms</t>
  </si>
  <si>
    <t>-55°C ~ 155°C, -55...125°C</t>
  </si>
  <si>
    <t>50ppm/°C</t>
  </si>
  <si>
    <t>10 kOhms, 10kΩ</t>
  </si>
  <si>
    <t>62.5mW</t>
  </si>
  <si>
    <t>thin film</t>
  </si>
  <si>
    <t>precise</t>
  </si>
  <si>
    <t>100 kOhms</t>
  </si>
  <si>
    <t>Tape Seal</t>
  </si>
  <si>
    <t>-40°C ~ 85°C</t>
  </si>
  <si>
    <t>100mA</t>
  </si>
  <si>
    <t>Flush</t>
  </si>
  <si>
    <t>J Lead</t>
  </si>
  <si>
    <t>DPDT</t>
  </si>
  <si>
    <t>47kΩ</t>
  </si>
  <si>
    <t>4131K</t>
  </si>
  <si>
    <t>4050K</t>
  </si>
  <si>
    <t>4108K</t>
  </si>
  <si>
    <t>100 mW</t>
  </si>
  <si>
    <t>47k</t>
  </si>
  <si>
    <t>NTC thermistor</t>
  </si>
  <si>
    <t>Request Inventory Verification</t>
  </si>
  <si>
    <t>3V ~ 3.6V, 4.5V ~ 5.5V</t>
  </si>
  <si>
    <t>PWM</t>
  </si>
  <si>
    <t>Not Verified</t>
  </si>
  <si>
    <t>External Magnet, Not Included</t>
  </si>
  <si>
    <t>SMD (SMT) Tab</t>
  </si>
  <si>
    <t>Magnetic</t>
  </si>
  <si>
    <t>Programmable</t>
  </si>
  <si>
    <t>14-TSSOP (0.173", 4.40mm Width)</t>
  </si>
  <si>
    <t>-40°C ~ 150°C</t>
  </si>
  <si>
    <t>14-TSSOP</t>
  </si>
  <si>
    <t>Hall Effect</t>
  </si>
  <si>
    <t>Gull Wing</t>
  </si>
  <si>
    <t>Angle</t>
  </si>
  <si>
    <t>I2C, PWM</t>
  </si>
  <si>
    <t>0° ~ 360°, Continuous</t>
  </si>
  <si>
    <t>SOT-23-5 Thin, TSOT-23-5</t>
  </si>
  <si>
    <t>DIODES INCORPORATED</t>
  </si>
  <si>
    <t>-40°C ~ 125°C (TA), -40...125°C</t>
  </si>
  <si>
    <t>TSOT-25 (Type TH)</t>
  </si>
  <si>
    <t>TSOT25</t>
  </si>
  <si>
    <t>driver</t>
  </si>
  <si>
    <t>4.5V ~ 18V</t>
  </si>
  <si>
    <t>high-/low-side</t>
  </si>
  <si>
    <t>-1.8...1.9A</t>
  </si>
  <si>
    <t>4.5...18V</t>
  </si>
  <si>
    <t>Single</t>
  </si>
  <si>
    <t>1.9A, 1.8A</t>
  </si>
  <si>
    <t>Low-Side</t>
  </si>
  <si>
    <t>IGBT, N-Channel MOSFET</t>
  </si>
  <si>
    <t>25ns</t>
  </si>
  <si>
    <t>Inverting, Non-Inverting</t>
  </si>
  <si>
    <t>non-inverting</t>
  </si>
  <si>
    <t>0.8V, 2.4V</t>
  </si>
  <si>
    <t>15ns, 15ns</t>
  </si>
  <si>
    <t>40-WFQFN Exposed Pad</t>
  </si>
  <si>
    <t>-40°C ~ 125°C (TA)</t>
  </si>
  <si>
    <t>40-WQFN (6x6)</t>
  </si>
  <si>
    <t>Brushless DC (BLDC)</t>
  </si>
  <si>
    <t>Power MOSFET</t>
  </si>
  <si>
    <t>7V ~ 100V</t>
  </si>
  <si>
    <t>25mA</t>
  </si>
  <si>
    <t>Pre-Driver - Half Bridge (3)</t>
  </si>
  <si>
    <t>Controller - Commutation, Direction Management</t>
  </si>
  <si>
    <t>SPI</t>
  </si>
  <si>
    <t>Multiphase</t>
  </si>
  <si>
    <t>9V ~ 75V</t>
  </si>
  <si>
    <t>12-PowerVFQFN</t>
  </si>
  <si>
    <t>TEXAS INSTRUMENTS</t>
  </si>
  <si>
    <t>-40°C ~ 150°C (TJ), -40...150°C</t>
  </si>
  <si>
    <t>12-VQFN-HR (3x2)</t>
  </si>
  <si>
    <t>VQFNHR12</t>
  </si>
  <si>
    <t>PMIC</t>
  </si>
  <si>
    <t>AEC-Q100</t>
  </si>
  <si>
    <t>600mA</t>
  </si>
  <si>
    <t>synchronous</t>
  </si>
  <si>
    <t>Positive</t>
  </si>
  <si>
    <t>Adjustable</t>
  </si>
  <si>
    <t>0.6A</t>
  </si>
  <si>
    <t>Step-Down</t>
  </si>
  <si>
    <t>4.2...60V DC</t>
  </si>
  <si>
    <t>3.3V DC</t>
  </si>
  <si>
    <t>2.1MHz</t>
  </si>
  <si>
    <t>Yes</t>
  </si>
  <si>
    <t>Buck, buck</t>
  </si>
  <si>
    <t>4.2V</t>
  </si>
  <si>
    <t>automotive industry</t>
  </si>
  <si>
    <t>9-PowerVFQFN</t>
  </si>
  <si>
    <t>-40°C ~ 125°C (TA), -40...150°C</t>
  </si>
  <si>
    <t>9-VQFN-HR (2x2)</t>
  </si>
  <si>
    <t>VQFNHR9</t>
  </si>
  <si>
    <t>300mA</t>
  </si>
  <si>
    <t>Fixed</t>
  </si>
  <si>
    <t>0.3A</t>
  </si>
  <si>
    <t>3...65V DC</t>
  </si>
  <si>
    <t>5V DC</t>
  </si>
  <si>
    <t>65V</t>
  </si>
  <si>
    <t>5V</t>
  </si>
  <si>
    <t>2.2MHz</t>
  </si>
  <si>
    <t>SC-74A, SOT-753</t>
  </si>
  <si>
    <t>±5%</t>
  </si>
  <si>
    <t>-40°C ~ 125°C, -40...125°C</t>
  </si>
  <si>
    <t>SOT23-5</t>
  </si>
  <si>
    <t>voltage regulator</t>
  </si>
  <si>
    <t>250mA</t>
  </si>
  <si>
    <t>0.25A</t>
  </si>
  <si>
    <t>2.2...16V</t>
  </si>
  <si>
    <t>3.3V</t>
  </si>
  <si>
    <t>Enable</t>
  </si>
  <si>
    <t>95 µA</t>
  </si>
  <si>
    <t>4 mA</t>
  </si>
  <si>
    <t>LDO</t>
  </si>
  <si>
    <t>45dB (1kHz)</t>
  </si>
  <si>
    <t>Over Current, Over Temperature, Short Circuit</t>
  </si>
  <si>
    <t>0.85V @ 250mA</t>
  </si>
  <si>
    <t>0.85V</t>
  </si>
  <si>
    <t>14-SOIC (0.154", 3.90mm Width)</t>
  </si>
  <si>
    <t>-40°C ~ 85°C, -40...85°C</t>
  </si>
  <si>
    <t>14-SOIC</t>
  </si>
  <si>
    <t>SOIC14</t>
  </si>
  <si>
    <t>Transceiver</t>
  </si>
  <si>
    <t>interface</t>
  </si>
  <si>
    <t>3V ~ 3.6V</t>
  </si>
  <si>
    <t>receiver</t>
  </si>
  <si>
    <t>RS422 / RS485</t>
  </si>
  <si>
    <t>3...3.6V DC</t>
  </si>
  <si>
    <t>1Mbps</t>
  </si>
  <si>
    <t>Full</t>
  </si>
  <si>
    <t>differential</t>
  </si>
  <si>
    <t>1/1</t>
  </si>
  <si>
    <t>RS422, RS485</t>
  </si>
  <si>
    <t>50 mV</t>
  </si>
  <si>
    <t>Tray</t>
  </si>
  <si>
    <t>64-LQFP</t>
  </si>
  <si>
    <t>64-LQFP (10x10)</t>
  </si>
  <si>
    <t>LQFP64</t>
  </si>
  <si>
    <t>in-tray</t>
  </si>
  <si>
    <t>STM32 ARM microcontroller</t>
  </si>
  <si>
    <t>USB</t>
  </si>
  <si>
    <t>1.71...3.6V DC</t>
  </si>
  <si>
    <t>watchdog</t>
  </si>
  <si>
    <t>170MHz</t>
  </si>
  <si>
    <t>CANbus, I2C, IrDA, LINbus, QSPI, SPI, UART/USART</t>
  </si>
  <si>
    <t>ARM® Cortex®-M4F</t>
  </si>
  <si>
    <t>32-Bit Single-Core</t>
  </si>
  <si>
    <t>A/D 26x12b; D/A 7x12b</t>
  </si>
  <si>
    <t>STM32G4</t>
  </si>
  <si>
    <t>Cortex M4</t>
  </si>
  <si>
    <t>512kB FLASH</t>
  </si>
  <si>
    <t>Internal</t>
  </si>
  <si>
    <t>Brown-out Detect/Reset, DMA, I2S, POR, PWM, WDT</t>
  </si>
  <si>
    <t>512KB (512K x 8)</t>
  </si>
  <si>
    <t>FLASH</t>
  </si>
  <si>
    <t>128K x 8</t>
  </si>
  <si>
    <t>1.71V ~ 3.6V</t>
  </si>
  <si>
    <t>8-VDFN Exposed Pad</t>
  </si>
  <si>
    <t>8-VSON (3x3)</t>
  </si>
  <si>
    <t>4.5V ~ 5.5V</t>
  </si>
  <si>
    <t>5Mbps</t>
  </si>
  <si>
    <t>Half</t>
  </si>
  <si>
    <t>CANbus</t>
  </si>
  <si>
    <t>120 mV</t>
  </si>
  <si>
    <t>8-WFDFN Exposed Pad</t>
  </si>
  <si>
    <t>-40°C ~ 85°C (TA), -40...125°C</t>
  </si>
  <si>
    <t>8-WSON (2x2)</t>
  </si>
  <si>
    <t>WSON8</t>
  </si>
  <si>
    <t>500mA</t>
  </si>
  <si>
    <t>DC/DC converter</t>
  </si>
  <si>
    <t>0.5A</t>
  </si>
  <si>
    <t>3...17V DC</t>
  </si>
  <si>
    <t>17V</t>
  </si>
  <si>
    <t>2.25MHz</t>
  </si>
  <si>
    <t>Columns colors</t>
  </si>
  <si>
    <t>KiCad Fields (default)</t>
  </si>
  <si>
    <t>Generated Fields</t>
  </si>
  <si>
    <t>User Fields</t>
  </si>
  <si>
    <t>Empty Fields</t>
  </si>
  <si>
    <t>Costs sheet colors</t>
  </si>
  <si>
    <t>Best price</t>
  </si>
  <si>
    <t>No manufacturer or distributor code</t>
  </si>
  <si>
    <t>Not available</t>
  </si>
  <si>
    <t>Purchase quantity is more than what is available</t>
  </si>
  <si>
    <t>Minimum order quantity not respected</t>
  </si>
  <si>
    <t>Total available part quantity is less than needed</t>
  </si>
  <si>
    <t>Total purchased part quantity is less than needed</t>
  </si>
  <si>
    <t>This part is obsolete</t>
  </si>
  <si>
    <t>This part is listed but is not normally stocked</t>
  </si>
</sst>
</file>

<file path=xl/styles.xml><?xml version="1.0" encoding="utf-8"?>
<styleSheet xmlns="http://schemas.openxmlformats.org/spreadsheetml/2006/main">
  <numFmts count="2">
    <numFmt numFmtId="164" formatCode="$#,##0.00"/>
    <numFmt numFmtId="165" formatCode="$#,##0.000"/>
  </numFmts>
  <fonts count="16">
    <font>
      <sz val="11"/>
      <color theme="1"/>
      <name val="Calibri"/>
      <family val="2"/>
      <scheme val="minor"/>
    </font>
    <font>
      <b/>
      <sz val="24"/>
      <color theme="1"/>
      <name val="Arial"/>
      <family val="2"/>
    </font>
    <font>
      <b/>
      <sz val="11"/>
      <color theme="1"/>
      <name val="Calibri"/>
      <family val="2"/>
      <scheme val="minor"/>
    </font>
    <font>
      <b/>
      <sz val="11"/>
      <color rgb="FFFFFFFF"/>
      <name val="Calibri"/>
      <family val="2"/>
      <scheme val="minor"/>
    </font>
    <font>
      <b/>
      <sz val="13"/>
      <color theme="1"/>
      <name val="Calibri"/>
      <family val="2"/>
      <scheme val="minor"/>
    </font>
    <font>
      <b/>
      <sz val="13"/>
      <color rgb="FF008000"/>
      <name val="Calibri"/>
      <family val="2"/>
      <scheme val="minor"/>
    </font>
    <font>
      <b/>
      <sz val="13"/>
      <color rgb="FFFF0000"/>
      <name val="Calibri"/>
      <family val="2"/>
      <scheme val="minor"/>
    </font>
    <font>
      <b/>
      <i/>
      <sz val="10"/>
      <color theme="1"/>
      <name val="Calibri"/>
      <family val="2"/>
      <scheme val="minor"/>
    </font>
    <font>
      <b/>
      <sz val="12"/>
      <color rgb="FFFFFFFF"/>
      <name val="Calibri"/>
      <family val="2"/>
      <scheme val="minor"/>
    </font>
    <font>
      <b/>
      <sz val="11"/>
      <color rgb="FFFFFFFF"/>
      <name val="Calibri"/>
      <family val="2"/>
      <scheme val="minor"/>
    </font>
    <font>
      <sz val="11"/>
      <color rgb="FF909090"/>
      <name val="Calibri"/>
      <family val="2"/>
      <scheme val="minor"/>
    </font>
    <font>
      <u/>
      <sz val="11"/>
      <color theme="10"/>
      <name val="Calibri"/>
      <family val="2"/>
    </font>
    <font>
      <sz val="8"/>
      <color theme="1"/>
      <name val="Calibri"/>
      <family val="2"/>
      <scheme val="minor"/>
    </font>
    <font>
      <sz val="11"/>
      <color rgb="FFFFFFFF"/>
      <name val="Calibri"/>
      <family val="2"/>
      <scheme val="minor"/>
    </font>
    <font>
      <sz val="11"/>
      <color rgb="FF000000"/>
      <name val="Calibri"/>
      <family val="2"/>
      <scheme val="minor"/>
    </font>
    <font>
      <sz val="8"/>
      <color indexed="81"/>
      <name val="Tahoma"/>
      <family val="2"/>
    </font>
  </fonts>
  <fills count="22">
    <fill>
      <patternFill patternType="none"/>
    </fill>
    <fill>
      <patternFill patternType="gray125"/>
    </fill>
    <fill>
      <patternFill patternType="solid">
        <fgColor rgb="FF0E4E8E"/>
        <bgColor indexed="64"/>
      </patternFill>
    </fill>
    <fill>
      <patternFill patternType="solid">
        <fgColor rgb="FFE6FFEE"/>
        <bgColor indexed="64"/>
      </patternFill>
    </fill>
    <fill>
      <patternFill patternType="solid">
        <fgColor rgb="FFE6F9FF"/>
        <bgColor indexed="64"/>
      </patternFill>
    </fill>
    <fill>
      <patternFill patternType="solid">
        <fgColor rgb="FFFFE6B3"/>
        <bgColor indexed="64"/>
      </patternFill>
    </fill>
    <fill>
      <patternFill patternType="solid">
        <fgColor rgb="FFFF8080"/>
        <bgColor indexed="64"/>
      </patternFill>
    </fill>
    <fill>
      <patternFill patternType="solid">
        <fgColor rgb="FFF0FFF4"/>
        <bgColor indexed="64"/>
      </patternFill>
    </fill>
    <fill>
      <patternFill patternType="solid">
        <fgColor rgb="FFF0FFFF"/>
        <bgColor indexed="64"/>
      </patternFill>
    </fill>
    <fill>
      <patternFill patternType="solid">
        <fgColor rgb="FFFFF0BD"/>
        <bgColor indexed="64"/>
      </patternFill>
    </fill>
    <fill>
      <patternFill patternType="solid">
        <fgColor rgb="FFFF8A8A"/>
        <bgColor indexed="64"/>
      </patternFill>
    </fill>
    <fill>
      <patternFill patternType="solid">
        <fgColor rgb="FF004A85"/>
        <bgColor indexed="64"/>
      </patternFill>
    </fill>
    <fill>
      <patternFill patternType="solid">
        <fgColor rgb="FFCC0000"/>
        <bgColor indexed="64"/>
      </patternFill>
    </fill>
    <fill>
      <patternFill patternType="solid">
        <fgColor rgb="FF0C4DA1"/>
        <bgColor indexed="64"/>
      </patternFill>
    </fill>
    <fill>
      <patternFill patternType="solid">
        <fgColor rgb="FF80FF80"/>
        <bgColor indexed="64"/>
      </patternFill>
    </fill>
    <fill>
      <patternFill patternType="solid">
        <fgColor rgb="FFAAAAAA"/>
        <bgColor indexed="64"/>
      </patternFill>
    </fill>
    <fill>
      <patternFill patternType="solid">
        <fgColor rgb="FFFF0000"/>
        <bgColor indexed="64"/>
      </patternFill>
    </fill>
    <fill>
      <patternFill patternType="solid">
        <fgColor rgb="FFFF4040"/>
        <bgColor indexed="64"/>
      </patternFill>
    </fill>
    <fill>
      <patternFill patternType="solid">
        <fgColor rgb="FFFF6060"/>
        <bgColor indexed="64"/>
      </patternFill>
    </fill>
    <fill>
      <patternFill patternType="solid">
        <fgColor rgb="FFFF9900"/>
        <bgColor indexed="64"/>
      </patternFill>
    </fill>
    <fill>
      <patternFill patternType="solid">
        <fgColor rgb="FFFFFF00"/>
        <bgColor indexed="64"/>
      </patternFill>
    </fill>
    <fill>
      <patternFill patternType="solid">
        <fgColor rgb="FFC000C0"/>
        <bgColor indexed="64"/>
      </patternFill>
    </fill>
  </fills>
  <borders count="1">
    <border>
      <left/>
      <right/>
      <top/>
      <bottom/>
      <diagonal/>
    </border>
  </borders>
  <cellStyleXfs count="2">
    <xf numFmtId="0" fontId="0" fillId="0" borderId="0"/>
    <xf numFmtId="0" fontId="11" fillId="0" borderId="0" applyNumberFormat="0" applyFill="0" applyBorder="0" applyAlignment="0" applyProtection="0">
      <alignment vertical="top"/>
      <protection locked="0"/>
    </xf>
  </cellStyleXfs>
  <cellXfs count="41">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xf>
    <xf numFmtId="0" fontId="3" fillId="2" borderId="0" xfId="0" applyFont="1" applyFill="1" applyAlignment="1">
      <alignment horizontal="centerContinuous" vertical="center" wrapText="1"/>
    </xf>
    <xf numFmtId="0" fontId="0" fillId="3" borderId="0" xfId="0" applyFill="1" applyAlignment="1">
      <alignment horizontal="centerContinuous" vertical="center" wrapText="1"/>
    </xf>
    <xf numFmtId="0" fontId="0" fillId="4" borderId="0" xfId="0" applyFill="1" applyAlignment="1">
      <alignment horizontal="centerContinuous" vertical="center" wrapText="1"/>
    </xf>
    <xf numFmtId="0" fontId="0" fillId="5" borderId="0" xfId="0" applyFill="1" applyAlignment="1">
      <alignment horizontal="centerContinuous" vertical="center" wrapText="1"/>
    </xf>
    <xf numFmtId="0" fontId="0" fillId="6" borderId="0" xfId="0" applyFill="1" applyAlignment="1">
      <alignment horizontal="centerContinuous" vertical="center" wrapText="1"/>
    </xf>
    <xf numFmtId="0" fontId="0" fillId="7" borderId="0" xfId="0" applyFill="1" applyAlignment="1">
      <alignment horizontal="centerContinuous" vertical="center" wrapText="1"/>
    </xf>
    <xf numFmtId="0" fontId="0" fillId="8" borderId="0" xfId="0" applyFill="1" applyAlignment="1">
      <alignment horizontal="centerContinuous" vertical="center" wrapText="1"/>
    </xf>
    <xf numFmtId="0" fontId="0" fillId="9" borderId="0" xfId="0" applyFill="1" applyAlignment="1">
      <alignment horizontal="centerContinuous" vertical="center" wrapText="1"/>
    </xf>
    <xf numFmtId="0" fontId="0" fillId="10" borderId="0" xfId="0" applyFill="1" applyAlignment="1">
      <alignment horizontal="centerContinuous" vertical="center" wrapText="1"/>
    </xf>
    <xf numFmtId="0" fontId="4" fillId="0" borderId="0" xfId="0" applyFont="1" applyAlignment="1">
      <alignment horizontal="right"/>
    </xf>
    <xf numFmtId="0" fontId="4" fillId="0" borderId="0" xfId="0" applyFont="1" applyAlignment="1">
      <alignment horizontal="right" vertical="center"/>
    </xf>
    <xf numFmtId="164" fontId="5" fillId="0" borderId="0" xfId="0" applyNumberFormat="1" applyFont="1" applyAlignment="1">
      <alignment vertical="center"/>
    </xf>
    <xf numFmtId="164" fontId="6" fillId="0" borderId="0" xfId="0" applyNumberFormat="1" applyFont="1" applyAlignment="1">
      <alignment vertical="center"/>
    </xf>
    <xf numFmtId="0" fontId="7" fillId="0" borderId="0" xfId="0" applyFont="1" applyAlignment="1">
      <alignment vertical="center"/>
    </xf>
    <xf numFmtId="0" fontId="8" fillId="2" borderId="0" xfId="0" applyFont="1" applyFill="1" applyAlignment="1">
      <alignment horizontal="center" vertical="center"/>
    </xf>
    <xf numFmtId="0" fontId="8" fillId="11" borderId="0" xfId="0" applyFont="1" applyFill="1" applyAlignment="1">
      <alignment horizontal="center" vertical="center"/>
    </xf>
    <xf numFmtId="0" fontId="8" fillId="12" borderId="0" xfId="0" applyFont="1" applyFill="1" applyAlignment="1">
      <alignment horizontal="center" vertical="center"/>
    </xf>
    <xf numFmtId="0" fontId="8" fillId="13" borderId="0" xfId="0" applyFont="1" applyFill="1" applyAlignment="1">
      <alignment horizontal="center" vertical="center"/>
    </xf>
    <xf numFmtId="0" fontId="9" fillId="2" borderId="0" xfId="0" applyFont="1" applyFill="1" applyAlignment="1">
      <alignment horizontal="center" vertical="top" wrapText="1"/>
    </xf>
    <xf numFmtId="0" fontId="0" fillId="0" borderId="0" xfId="0" applyAlignment="1">
      <alignment vertical="center" wrapText="1"/>
    </xf>
    <xf numFmtId="165" fontId="0" fillId="0" borderId="0" xfId="0" applyNumberFormat="1" applyAlignment="1">
      <alignment vertical="center"/>
    </xf>
    <xf numFmtId="164" fontId="0" fillId="0" borderId="0" xfId="0" applyNumberFormat="1" applyAlignment="1">
      <alignment vertical="center"/>
    </xf>
    <xf numFmtId="0" fontId="10" fillId="0" borderId="0" xfId="0" applyFont="1" applyAlignment="1">
      <alignment horizontal="right" vertical="center"/>
    </xf>
    <xf numFmtId="0" fontId="0" fillId="0" borderId="0" xfId="0" applyAlignment="1">
      <alignment horizontal="right"/>
    </xf>
    <xf numFmtId="0" fontId="11" fillId="0" borderId="0" xfId="1" applyAlignment="1" applyProtection="1"/>
    <xf numFmtId="0" fontId="0" fillId="0" borderId="0" xfId="0" applyAlignment="1">
      <alignment vertical="top" wrapText="1"/>
    </xf>
    <xf numFmtId="0" fontId="2" fillId="0" borderId="0" xfId="0" applyFont="1" applyAlignment="1">
      <alignment horizontal="right" vertical="center"/>
    </xf>
    <xf numFmtId="0" fontId="0" fillId="0" borderId="0" xfId="0" applyAlignment="1">
      <alignment horizontal="left" vertical="center"/>
    </xf>
    <xf numFmtId="0" fontId="12" fillId="0" borderId="0" xfId="0" applyFont="1" applyAlignment="1">
      <alignment horizontal="left" vertical="center"/>
    </xf>
    <xf numFmtId="0" fontId="0" fillId="14" borderId="0" xfId="0" applyFill="1"/>
    <xf numFmtId="0" fontId="0" fillId="15" borderId="0" xfId="0" applyFill="1"/>
    <xf numFmtId="0" fontId="13" fillId="16" borderId="0" xfId="0" applyFont="1" applyFill="1"/>
    <xf numFmtId="0" fontId="13" fillId="17" borderId="0" xfId="0" applyFont="1" applyFill="1"/>
    <xf numFmtId="0" fontId="0" fillId="18" borderId="0" xfId="0" applyFill="1"/>
    <xf numFmtId="0" fontId="14" fillId="19" borderId="0" xfId="0" applyFont="1" applyFill="1"/>
    <xf numFmtId="0" fontId="0" fillId="20" borderId="0" xfId="0" applyFill="1"/>
    <xf numFmtId="0" fontId="0" fillId="21" borderId="0" xfId="0" applyFill="1" applyAlignment="1">
      <alignment vertical="center" wrapText="1"/>
    </xf>
  </cellXfs>
  <cellStyles count="2">
    <cellStyle name="Hyperlink" xfId="1" builtinId="8"/>
    <cellStyle name="Normal" xfId="0" builtinId="0"/>
  </cellStyles>
  <dxfs count="7">
    <dxf>
      <font>
        <color rgb="FF000000"/>
      </font>
      <fill>
        <patternFill>
          <bgColor rgb="FFFF9900"/>
        </patternFill>
      </fill>
    </dxf>
    <dxf>
      <font>
        <color rgb="FFFFFFFF"/>
      </font>
      <fill>
        <patternFill>
          <bgColor rgb="FFFF4040"/>
        </patternFill>
      </fill>
    </dxf>
    <dxf>
      <fill>
        <patternFill>
          <bgColor rgb="FF80FF80"/>
        </patternFill>
      </fill>
    </dxf>
    <dxf>
      <fill>
        <patternFill>
          <bgColor rgb="FFFF6060"/>
        </patternFill>
      </fill>
    </dxf>
    <dxf>
      <fill>
        <patternFill>
          <bgColor rgb="FFAAAAAA"/>
        </patternFill>
      </fill>
    </dxf>
    <dxf>
      <font>
        <color rgb="FFFFFFFF"/>
      </font>
      <fill>
        <patternFill>
          <bgColor rgb="FFFF0000"/>
        </patternFill>
      </fill>
    </dxf>
    <dxf>
      <fill>
        <patternFill>
          <bgColor rgb="FFFFFF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yageo.com/upload/media/product/app/datasheet/mlcc/upy-ac_np0x7rx7s_6_3v-to-2kv.pdf" TargetMode="External"/><Relationship Id="rId2" Type="http://schemas.openxmlformats.org/officeDocument/2006/relationships/hyperlink" Target="https://search.murata.co.jp/Ceramy/image/img/A01X/G101/ENG/GRM155R72A332KA01-01.pdf" TargetMode="External"/><Relationship Id="rId3" Type="http://schemas.openxmlformats.org/officeDocument/2006/relationships/hyperlink" Target="https://www.murata.com/-/media/webrenewal/support/library/catalog/products/k35e.ashx?la=en-us&amp;cvid=20200508021757000000" TargetMode="External"/><Relationship Id="rId4" Type="http://schemas.openxmlformats.org/officeDocument/2006/relationships/hyperlink" Target="https://mm.digikey.com/Volume0/opasdata/d220001/medias/docus/2615/HMR105B7103KV-F_SS.pdf" TargetMode="External"/><Relationship Id="rId5" Type="http://schemas.openxmlformats.org/officeDocument/2006/relationships/hyperlink" Target="https://connect.kemet.com:7667/gateway/IntelliData-ComponentDocumentation/1.0/download/datasheet/C0603C473K1RECAUTO" TargetMode="External"/><Relationship Id="rId6" Type="http://schemas.openxmlformats.org/officeDocument/2006/relationships/hyperlink" Target="https://search.murata.co.jp/Ceramy/image/img/A01X/G101/ENG/GCM155R71H104KE02-01.pdf" TargetMode="External"/><Relationship Id="rId7" Type="http://schemas.openxmlformats.org/officeDocument/2006/relationships/hyperlink" Target="https://mm.digikey.com/Volume0/opasdata/d220001/medias/docus/21/HMK107B7104KAHT_SS.pdf" TargetMode="External"/><Relationship Id="rId8" Type="http://schemas.openxmlformats.org/officeDocument/2006/relationships/hyperlink" Target="https://search.murata.co.jp/Ceramy/image/img/A01X/G101/ENG/GCM155R71C104KA55-01.pdf" TargetMode="External"/><Relationship Id="rId9" Type="http://schemas.openxmlformats.org/officeDocument/2006/relationships/hyperlink" Target="https://connect.kemet.com:7667/gateway/IntelliData-ComponentDocumentation/1.0/download/datasheet/C1206C104K1RACAUTO" TargetMode="External"/><Relationship Id="rId10" Type="http://schemas.openxmlformats.org/officeDocument/2006/relationships/hyperlink" Target="https://mm.digikey.com/Volume0/opasdata/d220001/medias/docus/2249/TMK105B7224KV-FR_SS.pdf" TargetMode="External"/><Relationship Id="rId11" Type="http://schemas.openxmlformats.org/officeDocument/2006/relationships/hyperlink" Target="https://search.murata.co.jp/Ceramy/image/img/A01X/G101/ENG/GRM155Z71A105KE01-01A.pdf" TargetMode="External"/><Relationship Id="rId12" Type="http://schemas.openxmlformats.org/officeDocument/2006/relationships/hyperlink" Target="https://mm.digikey.com/Volume0/opasdata/d220001/medias/docus/2146/TMK107AB7105KAHT_SS.pdf" TargetMode="External"/><Relationship Id="rId13" Type="http://schemas.openxmlformats.org/officeDocument/2006/relationships/hyperlink" Target="https://search.murata.co.jp/Ceramy/image/img/A01X/G101/ENG/GRT155R70J105KE01-01.pdf" TargetMode="External"/><Relationship Id="rId14" Type="http://schemas.openxmlformats.org/officeDocument/2006/relationships/hyperlink" Target="https://product.tdk.com/system/files/dam/doc/product/capacitor/ceramic/mlcc/catalog/mlcc_automotive_midvoltage_en.pdf" TargetMode="External"/><Relationship Id="rId15" Type="http://schemas.openxmlformats.org/officeDocument/2006/relationships/hyperlink" Target="https://search.murata.co.jp/Ceramy/image/img/A01X/G101/ENG/GRM188Z71C475KE21-01A.pdf" TargetMode="External"/><Relationship Id="rId16" Type="http://schemas.openxmlformats.org/officeDocument/2006/relationships/hyperlink" Target="https://search.murata.co.jp/Ceramy/image/img/A01X/G101/ENG/GRJ31CZ72A475KE01-01.pdf" TargetMode="External"/><Relationship Id="rId17" Type="http://schemas.openxmlformats.org/officeDocument/2006/relationships/hyperlink" Target="https://search.murata.co.jp/Ceramy/image/img/A01X/G101/ENG/GRJ31CZ72A475KE01-01.pdf" TargetMode="External"/><Relationship Id="rId18" Type="http://schemas.openxmlformats.org/officeDocument/2006/relationships/hyperlink" Target="https://datasheets.kyocera-avx.com/cx5r.pdf" TargetMode="External"/><Relationship Id="rId19" Type="http://schemas.openxmlformats.org/officeDocument/2006/relationships/hyperlink" Target="https://search.murata.co.jp/Ceramy/image/img/A01X/G101/ENG/GRM21BZ71E106KE15-01.pdf" TargetMode="External"/><Relationship Id="rId20" Type="http://schemas.openxmlformats.org/officeDocument/2006/relationships/hyperlink" Target="https://product.tdk.com/system/files/dam/doc/product/capacitor/ceramic/mlcc/catalog/mlcc_automotive_general_en.pdf" TargetMode="External"/><Relationship Id="rId21" Type="http://schemas.openxmlformats.org/officeDocument/2006/relationships/hyperlink" Target="https://search.murata.co.jp/Ceramy/image/img/A01X/G101/ENG/GRM21BZ71A226ME15-01.pdf" TargetMode="External"/><Relationship Id="rId22" Type="http://schemas.openxmlformats.org/officeDocument/2006/relationships/hyperlink" Target="https://connect.kemet.com:7667/gateway/IntelliData-ComponentDocumentation/1.0/download/specsheet/C0603V102KDRAC7867" TargetMode="External"/><Relationship Id="rId23" Type="http://schemas.openxmlformats.org/officeDocument/2006/relationships/hyperlink" Target="https://www.st.com/content/ccc/resource/technical/document/datasheet/5b/cd/d8/0a/45/56/41/6c/CD00130227.pdf/files/CD00130227.pdf/jcr:content/translations/en.CD00130227.pdf" TargetMode="External"/><Relationship Id="rId24" Type="http://schemas.openxmlformats.org/officeDocument/2006/relationships/hyperlink" Target="https://www.bourns.com/docs/Product-Datasheets/CDSOT23-SM712.pdf" TargetMode="External"/><Relationship Id="rId25" Type="http://schemas.openxmlformats.org/officeDocument/2006/relationships/hyperlink" Target="https://www.bivar.com/parts_content/Datasheets/SM1206NPGC-IL.pdf" TargetMode="External"/><Relationship Id="rId26" Type="http://schemas.openxmlformats.org/officeDocument/2006/relationships/hyperlink" Target="https://assets.nexperia.com/documents/data-sheet/PESD2CANFD24V-U.pdf" TargetMode="External"/><Relationship Id="rId27" Type="http://schemas.openxmlformats.org/officeDocument/2006/relationships/hyperlink" Target="https://assets.nexperia.com/documents/data-sheet/PESD4USB3U-TBS.pdf" TargetMode="External"/><Relationship Id="rId28" Type="http://schemas.openxmlformats.org/officeDocument/2006/relationships/hyperlink" Target="https://assets.nexperia.com/documents/data-sheet/PESD4USB5B-TBS.pdf" TargetMode="External"/><Relationship Id="rId29" Type="http://schemas.openxmlformats.org/officeDocument/2006/relationships/hyperlink" Target="https://www.vishay.com/docs/87606/smbj5cdthrusmbj120cd.pdf" TargetMode="External"/><Relationship Id="rId30" Type="http://schemas.openxmlformats.org/officeDocument/2006/relationships/hyperlink" Target="https://www.bivar.com/parts_content/Datasheets/SM1206NYC-IL.pdf" TargetMode="External"/><Relationship Id="rId31" Type="http://schemas.openxmlformats.org/officeDocument/2006/relationships/hyperlink" Target="https://www.we-online.com/katalog/datasheet/742792096.pdf" TargetMode="External"/><Relationship Id="rId32" Type="http://schemas.openxmlformats.org/officeDocument/2006/relationships/hyperlink" Target="https://www.literature.molex.com/SQLImages/kelmscott/Molex/PDF_Images/987651-1223.PDF" TargetMode="External"/><Relationship Id="rId33" Type="http://schemas.openxmlformats.org/officeDocument/2006/relationships/hyperlink" Target="https://www.jst-mfg.com/product/pdf/eng/ePH.pdf" TargetMode="External"/><Relationship Id="rId34" Type="http://schemas.openxmlformats.org/officeDocument/2006/relationships/hyperlink" Target="https://www.jst-mfg.com/product/pdf/eng/eGH.pdf" TargetMode="External"/><Relationship Id="rId35" Type="http://schemas.openxmlformats.org/officeDocument/2006/relationships/hyperlink" Target="https://www.jst-mfg.com/product/pdf/eng/eGH.pdf" TargetMode="External"/><Relationship Id="rId36" Type="http://schemas.openxmlformats.org/officeDocument/2006/relationships/hyperlink" Target="https://www.jst-mfg.com/product/pdf/eng/eGH.pdf" TargetMode="External"/><Relationship Id="rId37" Type="http://schemas.openxmlformats.org/officeDocument/2006/relationships/hyperlink" Target="https://www.jst-mfg.com/product/pdf/eng/eGH.pdf" TargetMode="External"/><Relationship Id="rId38" Type="http://schemas.openxmlformats.org/officeDocument/2006/relationships/hyperlink" Target="https://www.tme.eu/Document/1191bc2fa3aee3c446e5a895fd8f7983/XT60PW-F.pdf" TargetMode="External"/><Relationship Id="rId39" Type="http://schemas.openxmlformats.org/officeDocument/2006/relationships/hyperlink" Target="https://www.tme.eu/Document/b13629717d44ae038681dba08d18c0b6/XT60PW-M.pdf" TargetMode="External"/><Relationship Id="rId40" Type="http://schemas.openxmlformats.org/officeDocument/2006/relationships/hyperlink" Target="https://www.coilcraft.com/getmedia/3ba581dc-6d87-4be6-9dea-9167ac97554d/lps3314.pdf" TargetMode="External"/><Relationship Id="rId41" Type="http://schemas.openxmlformats.org/officeDocument/2006/relationships/hyperlink" Target="https://www.coilcraft.com/getmedia/31b05c96-4c4c-4498-8dbb-fe092de76bad/lps4018.pdf" TargetMode="External"/><Relationship Id="rId42" Type="http://schemas.openxmlformats.org/officeDocument/2006/relationships/hyperlink" Target="https://assets.nexperia.com/documents/data-sheet/PMV90ENE.pdf" TargetMode="External"/><Relationship Id="rId43" Type="http://schemas.openxmlformats.org/officeDocument/2006/relationships/hyperlink" Target="https://toshiba.semicon-storage.com/info/TPW1R306PL_datasheet_en_20191021.pdf?did=55843&amp;prodName=TPW1R306PL" TargetMode="External"/><Relationship Id="rId44" Type="http://schemas.openxmlformats.org/officeDocument/2006/relationships/hyperlink" Target="https://www.seielect.com/catalog/sei-hcs.pdf" TargetMode="External"/><Relationship Id="rId45" Type="http://schemas.openxmlformats.org/officeDocument/2006/relationships/hyperlink" Target="https://industrial.panasonic.com/ww/products/pt/general-purpose-chip-resistors/models/ERJ2GE0R00X" TargetMode="External"/><Relationship Id="rId46" Type="http://schemas.openxmlformats.org/officeDocument/2006/relationships/hyperlink" Target="https://www.vishay.com/docs/20043/crcwhpe3.pdf" TargetMode="External"/><Relationship Id="rId47" Type="http://schemas.openxmlformats.org/officeDocument/2006/relationships/hyperlink" Target="https://www.seielect.com/catalog/sei-csrt.pdf" TargetMode="External"/><Relationship Id="rId48" Type="http://schemas.openxmlformats.org/officeDocument/2006/relationships/hyperlink" Target="https://www.vishay.com/docs/20043/crcwhpe3.pdf" TargetMode="External"/><Relationship Id="rId49" Type="http://schemas.openxmlformats.org/officeDocument/2006/relationships/hyperlink" Target="https://www.vishay.com/docs/20043/crcwhpe3.pdf" TargetMode="External"/><Relationship Id="rId50" Type="http://schemas.openxmlformats.org/officeDocument/2006/relationships/hyperlink" Target="https://industrial.panasonic.com/cdbs/www-data/pdf/RDA0000/AOA0000C304.pdf" TargetMode="External"/><Relationship Id="rId51" Type="http://schemas.openxmlformats.org/officeDocument/2006/relationships/hyperlink" Target="https://www.rohm.com/datasheet?p=ESR01MZPF&amp;dist=Digi-key&amp;media=referral&amp;source=digi-key.com&amp;campaign=Digi-key" TargetMode="External"/><Relationship Id="rId52" Type="http://schemas.openxmlformats.org/officeDocument/2006/relationships/hyperlink" Target="https://www.vishay.com/docs/20065/rcse3.pdf" TargetMode="External"/><Relationship Id="rId53" Type="http://schemas.openxmlformats.org/officeDocument/2006/relationships/hyperlink" Target="https://www.vishay.com/docs/20043/crcwhpe3.pdf" TargetMode="External"/><Relationship Id="rId54" Type="http://schemas.openxmlformats.org/officeDocument/2006/relationships/hyperlink" Target="https://industrial.panasonic.com/cdbs/www-data/pdf/RDA0000/AOA0000C304.pdf" TargetMode="External"/><Relationship Id="rId55" Type="http://schemas.openxmlformats.org/officeDocument/2006/relationships/hyperlink" Target="https://www.yageo.com/upload/media/product/app/datasheet/rchip/pyu-rt_1-to-0.01_rohs_l.pdf" TargetMode="External"/><Relationship Id="rId56" Type="http://schemas.openxmlformats.org/officeDocument/2006/relationships/hyperlink" Target="https://www.yageo.com/upload/media/product/app/datasheet/rchip/pyu-rt_1-to-0.01_rohs_l.pdf" TargetMode="External"/><Relationship Id="rId57" Type="http://schemas.openxmlformats.org/officeDocument/2006/relationships/hyperlink" Target="https://www.yageo.com/upload/media/product/app/datasheet/rchip/pyu-rt_1-to-0.01_rohs_l.pdf" TargetMode="External"/><Relationship Id="rId58" Type="http://schemas.openxmlformats.org/officeDocument/2006/relationships/hyperlink" Target="https://www.yageo.com/upload/media/product/app/datasheet/rchip/pyu-rt_1-to-0.01_rohs_l.pdf" TargetMode="External"/><Relationship Id="rId59" Type="http://schemas.openxmlformats.org/officeDocument/2006/relationships/hyperlink" Target="https://www.nidec-copal-electronics.com/e/catalog/switch/cas.pdf" TargetMode="External"/><Relationship Id="rId60" Type="http://schemas.openxmlformats.org/officeDocument/2006/relationships/hyperlink" Target="https://www.murata.com/~/media/webrenewal/support/library/catalog/products/thermistor/r01e.ashx" TargetMode="External"/><Relationship Id="rId61" Type="http://schemas.openxmlformats.org/officeDocument/2006/relationships/hyperlink" Target="https://ams.com/documents/20143/36005/AS5047P_DS000324_3-00.pdf" TargetMode="External"/><Relationship Id="rId62" Type="http://schemas.openxmlformats.org/officeDocument/2006/relationships/hyperlink" Target="https://ams.com/documents/20143/36005/AS5048_DS000298_4-00.pdf" TargetMode="External"/><Relationship Id="rId63" Type="http://schemas.openxmlformats.org/officeDocument/2006/relationships/hyperlink" Target="https://www.diodes.com/assets/Datasheets/DGD0215-0216.pdf" TargetMode="External"/><Relationship Id="rId64" Type="http://schemas.openxmlformats.org/officeDocument/2006/relationships/hyperlink" Target="https://www.ti.com/lit/ds/symlink/drv8353f.pdf" TargetMode="External"/><Relationship Id="rId65" Type="http://schemas.openxmlformats.org/officeDocument/2006/relationships/hyperlink" Target="https://www.ti.com/lit/ds/symlink/lmr36006-q1.pdf" TargetMode="External"/><Relationship Id="rId66" Type="http://schemas.openxmlformats.org/officeDocument/2006/relationships/hyperlink" Target="https://www.ti.com/lit/ds/symlink/lmr36506-q1.pdf" TargetMode="External"/><Relationship Id="rId67" Type="http://schemas.openxmlformats.org/officeDocument/2006/relationships/hyperlink" Target="https://www.ti.com/lit/ds/symlink/lp2992.pdf" TargetMode="External"/><Relationship Id="rId68" Type="http://schemas.openxmlformats.org/officeDocument/2006/relationships/hyperlink" Target="https://www.ti.com/lit/ds/symlink/sn65hvd30.pdf" TargetMode="External"/><Relationship Id="rId69" Type="http://schemas.openxmlformats.org/officeDocument/2006/relationships/hyperlink" Target="https://www.st.com/resource/en/datasheet/stm32g474re.pdf" TargetMode="External"/><Relationship Id="rId70" Type="http://schemas.openxmlformats.org/officeDocument/2006/relationships/hyperlink" Target="https://www.ti.com/general/docs/suppproductinfo.tsp?distId=10&amp;gotoUrl=https%3A%2F%2Fwww.ti.com%2Flit%2Fgpn%2Ftcan1051-q1" TargetMode="External"/><Relationship Id="rId71" Type="http://schemas.openxmlformats.org/officeDocument/2006/relationships/hyperlink" Target="http://www.ti.com/lit/ds/symlink/tps62170.pdf"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yageo.com/upload/media/product/app/datasheet/mlcc/upy-ac_np0x7rx7s_6_3v-to-2kv.pdf" TargetMode="External"/><Relationship Id="rId2" Type="http://schemas.openxmlformats.org/officeDocument/2006/relationships/hyperlink" Target="https://www.mouser.ch/ProductDetail/YAGEO/AC0402KRX7R8BB102?qs=tS%2FAHvPQ%2F579k0N5kxlvHA%3D%3D" TargetMode="External"/><Relationship Id="rId3" Type="http://schemas.openxmlformats.org/officeDocument/2006/relationships/hyperlink" Target="https://www.digikey.com/en/products/detail/yageo/AC0402KRX7R8BB102/6643051" TargetMode="External"/><Relationship Id="rId4" Type="http://schemas.openxmlformats.org/officeDocument/2006/relationships/hyperlink" Target="https://search.murata.co.jp/Ceramy/image/img/A01X/G101/ENG/GRM155R72A332KA01-01.pdf" TargetMode="External"/><Relationship Id="rId5" Type="http://schemas.openxmlformats.org/officeDocument/2006/relationships/hyperlink" Target="https://www.mouser.ch/ProductDetail/Murata-Electronics/GRM155R72A332KA01D?qs=c4yvaafl%252BAxYu3jvZTY4dA%3D%3D" TargetMode="External"/><Relationship Id="rId6" Type="http://schemas.openxmlformats.org/officeDocument/2006/relationships/hyperlink" Target="https://www.digikey.com/en/products/detail/murata-electronics/GRM155R72A332KA01D/2610962" TargetMode="External"/><Relationship Id="rId7" Type="http://schemas.openxmlformats.org/officeDocument/2006/relationships/hyperlink" Target="https://www.murata.com/-/media/webrenewal/support/library/catalog/products/k35e.ashx?la=en-us&amp;cvid=20200508021757000000" TargetMode="External"/><Relationship Id="rId8" Type="http://schemas.openxmlformats.org/officeDocument/2006/relationships/hyperlink" Target="https://www.mouser.ch/ProductDetail/Murata-Electronics/GCM155R72A472KA37D?qs=aEuGZpxfbxUdOQVE8GeD2Q%3D%3D" TargetMode="External"/><Relationship Id="rId9" Type="http://schemas.openxmlformats.org/officeDocument/2006/relationships/hyperlink" Target="https://www.digikey.com/en/products/detail/murata-electronics/GCM155R72A472KA37D/1641639" TargetMode="External"/><Relationship Id="rId10" Type="http://schemas.openxmlformats.org/officeDocument/2006/relationships/hyperlink" Target="https://www.tme.eu/en/details/gcm155r72a472ka37d/mlcc-smd-capacitors/murata/" TargetMode="External"/><Relationship Id="rId11" Type="http://schemas.openxmlformats.org/officeDocument/2006/relationships/hyperlink" Target="https://mm.digikey.com/Volume0/opasdata/d220001/medias/docus/2615/HMR105B7103KV-F_SS.pdf" TargetMode="External"/><Relationship Id="rId12" Type="http://schemas.openxmlformats.org/officeDocument/2006/relationships/hyperlink" Target="https://www.mouser.ch/ProductDetail/TAIYO-YUDEN/HMR105B7103KV-F?qs=DPoM0jnrROWFrxFFz%252BuG3g%3D%3D" TargetMode="External"/><Relationship Id="rId13" Type="http://schemas.openxmlformats.org/officeDocument/2006/relationships/hyperlink" Target="https://www.digikey.com/en/products/detail/taiyo-yuden/HMR105B7103KV-F/15184802" TargetMode="External"/><Relationship Id="rId14" Type="http://schemas.openxmlformats.org/officeDocument/2006/relationships/hyperlink" Target="https://connect.kemet.com:7667/gateway/IntelliData-ComponentDocumentation/1.0/download/datasheet/C0603C473K1RECAUTO" TargetMode="External"/><Relationship Id="rId15" Type="http://schemas.openxmlformats.org/officeDocument/2006/relationships/hyperlink" Target="https://www.mouser.ch/ProductDetail/KEMET/C0603C473K1RECAUTO?qs=Mv7BduZupUhm5WsRGzWjwg%3D%3D" TargetMode="External"/><Relationship Id="rId16" Type="http://schemas.openxmlformats.org/officeDocument/2006/relationships/hyperlink" Target="https://www.digikey.com/en/products/detail/kemet/C0603C473K1RECAUTO/6825981" TargetMode="External"/><Relationship Id="rId17" Type="http://schemas.openxmlformats.org/officeDocument/2006/relationships/hyperlink" Target="https://www.tme.eu/en/details/c0603c473k1recauto/mlcc-smd-capacitors/kemet/" TargetMode="External"/><Relationship Id="rId18" Type="http://schemas.openxmlformats.org/officeDocument/2006/relationships/hyperlink" Target="https://search.murata.co.jp/Ceramy/image/img/A01X/G101/ENG/GCM155R71H104KE02-01.pdf" TargetMode="External"/><Relationship Id="rId19" Type="http://schemas.openxmlformats.org/officeDocument/2006/relationships/hyperlink" Target="https://www.mouser.ch/ProductDetail/Murata-Electronics/GCM155R71H104KE02J?qs=hNud%2FORuBR1wlwGPFWBVDg%3D%3D" TargetMode="External"/><Relationship Id="rId20" Type="http://schemas.openxmlformats.org/officeDocument/2006/relationships/hyperlink" Target="https://www.digikey.com/en/products/detail/murata-electronics/GCM155R71H104KE02J/4903705" TargetMode="External"/><Relationship Id="rId21" Type="http://schemas.openxmlformats.org/officeDocument/2006/relationships/hyperlink" Target="https://www.tme.eu/en/details/gcm155r71h104ke02j/mlcc-smd-capacitors/murata/" TargetMode="External"/><Relationship Id="rId22" Type="http://schemas.openxmlformats.org/officeDocument/2006/relationships/hyperlink" Target="https://mm.digikey.com/Volume0/opasdata/d220001/medias/docus/21/HMK107B7104KAHT_SS.pdf" TargetMode="External"/><Relationship Id="rId23" Type="http://schemas.openxmlformats.org/officeDocument/2006/relationships/hyperlink" Target="https://www.mouser.ch/ProductDetail/TAIYO-YUDEN/HMK107B7104KAHT?qs=sBf%2Fb4nBSlcS9BY1YfslAQ%3D%3D" TargetMode="External"/><Relationship Id="rId24" Type="http://schemas.openxmlformats.org/officeDocument/2006/relationships/hyperlink" Target="https://www.digikey.com/en/products/detail/taiyo-yuden/HMK107B7104KAHT/5810930" TargetMode="External"/><Relationship Id="rId25" Type="http://schemas.openxmlformats.org/officeDocument/2006/relationships/hyperlink" Target="https://search.murata.co.jp/Ceramy/image/img/A01X/G101/ENG/GCM155R71C104KA55-01.pdf" TargetMode="External"/><Relationship Id="rId26" Type="http://schemas.openxmlformats.org/officeDocument/2006/relationships/hyperlink" Target="https://www.mouser.ch/ProductDetail/Murata-Electronics/GCM155R71C104KA55D?qs=aEuGZpxfbxVTPYRtXT4ecg%3D%3D" TargetMode="External"/><Relationship Id="rId27" Type="http://schemas.openxmlformats.org/officeDocument/2006/relationships/hyperlink" Target="https://www.digikey.com/en/products/detail/murata-electronics/GCM155R71C104KA55D/1641633" TargetMode="External"/><Relationship Id="rId28" Type="http://schemas.openxmlformats.org/officeDocument/2006/relationships/hyperlink" Target="https://www.tme.eu/en/details/gcm155r71c104ka55d/mlcc-smd-capacitors/murata/" TargetMode="External"/><Relationship Id="rId29" Type="http://schemas.openxmlformats.org/officeDocument/2006/relationships/hyperlink" Target="https://connect.kemet.com:7667/gateway/IntelliData-ComponentDocumentation/1.0/download/datasheet/C1206C104K1RACAUTO" TargetMode="External"/><Relationship Id="rId30" Type="http://schemas.openxmlformats.org/officeDocument/2006/relationships/hyperlink" Target="https://www.mouser.ch/ProductDetail/KEMET/C1206C104K1RACAUTO?qs=%252B6Xa7QjhZQleY3kyBK3H0Q%3D%3D" TargetMode="External"/><Relationship Id="rId31" Type="http://schemas.openxmlformats.org/officeDocument/2006/relationships/hyperlink" Target="https://www.digikey.com/en/products/detail/kemet/C1206C104K1RACAUTO/3315000" TargetMode="External"/><Relationship Id="rId32" Type="http://schemas.openxmlformats.org/officeDocument/2006/relationships/hyperlink" Target="https://www.tme.eu/en/details/c1206c104k1racauto/mlcc-smd-capacitors/kemet/" TargetMode="External"/><Relationship Id="rId33" Type="http://schemas.openxmlformats.org/officeDocument/2006/relationships/hyperlink" Target="https://mm.digikey.com/Volume0/opasdata/d220001/medias/docus/2249/TMK105B7224KV-FR_SS.pdf" TargetMode="External"/><Relationship Id="rId34" Type="http://schemas.openxmlformats.org/officeDocument/2006/relationships/hyperlink" Target="https://www.mouser.ch/ProductDetail/TAIYO-YUDEN/HMK107C7224KAHTE?qs=VWNNG7jHlrKdSvXhIn%252BDVA%3D%3D" TargetMode="External"/><Relationship Id="rId35" Type="http://schemas.openxmlformats.org/officeDocument/2006/relationships/hyperlink" Target="https://www.digikey.com/en/products/detail/taiyo-yuden/HMK107C7224KAHTE/6563605" TargetMode="External"/><Relationship Id="rId36" Type="http://schemas.openxmlformats.org/officeDocument/2006/relationships/hyperlink" Target="https://search.murata.co.jp/Ceramy/image/img/A01X/G101/ENG/GRM155Z71A105KE01-01A.pdf" TargetMode="External"/><Relationship Id="rId37" Type="http://schemas.openxmlformats.org/officeDocument/2006/relationships/hyperlink" Target="https://www.mouser.ch/ProductDetail/Murata-Electronics/GRM155Z71A105KE01J?qs=xZ%2FP%252Ba9zWqaF%2FmyRgV0iOA%3D%3D" TargetMode="External"/><Relationship Id="rId38" Type="http://schemas.openxmlformats.org/officeDocument/2006/relationships/hyperlink" Target="https://www.digikey.com/en/products/detail/murata-electronics/GRM155Z71A105KE01J/16033607" TargetMode="External"/><Relationship Id="rId39" Type="http://schemas.openxmlformats.org/officeDocument/2006/relationships/hyperlink" Target="https://www.tme.eu/en/details/grm155z71a105ke01j/mlcc-smd-capacitors/murata/" TargetMode="External"/><Relationship Id="rId40" Type="http://schemas.openxmlformats.org/officeDocument/2006/relationships/hyperlink" Target="https://mm.digikey.com/Volume0/opasdata/d220001/medias/docus/2146/TMK107AB7105KAHT_SS.pdf" TargetMode="External"/><Relationship Id="rId41" Type="http://schemas.openxmlformats.org/officeDocument/2006/relationships/hyperlink" Target="https://www.mouser.ch/ProductDetail/TAIYO-YUDEN/TMK107AB7105KAHT?qs=CNQs48zzdnoVdVTaiU1P8w%3D%3D" TargetMode="External"/><Relationship Id="rId42" Type="http://schemas.openxmlformats.org/officeDocument/2006/relationships/hyperlink" Target="https://www.digikey.com/en/products/detail/taiyo-yuden/TMK107AB7105KAHT/4157337" TargetMode="External"/><Relationship Id="rId43" Type="http://schemas.openxmlformats.org/officeDocument/2006/relationships/hyperlink" Target="https://search.murata.co.jp/Ceramy/image/img/A01X/G101/ENG/GRT155R70J105KE01-01.pdf" TargetMode="External"/><Relationship Id="rId44" Type="http://schemas.openxmlformats.org/officeDocument/2006/relationships/hyperlink" Target="https://www.mouser.ch/ProductDetail/Murata-Electronics/GRT155R70J105KE01D?qs=qkDYIeTQ%252BEkbqNjtKkFs6Q%3D%3D" TargetMode="External"/><Relationship Id="rId45" Type="http://schemas.openxmlformats.org/officeDocument/2006/relationships/hyperlink" Target="https://www.digikey.com/en/products/detail/murata-electronics/GRT155R70J105KE01D/9867924" TargetMode="External"/><Relationship Id="rId46" Type="http://schemas.openxmlformats.org/officeDocument/2006/relationships/hyperlink" Target="https://www.tme.eu/en/details/grt155r70j105ke01d/mlcc-smd-capacitors/murata/" TargetMode="External"/><Relationship Id="rId47" Type="http://schemas.openxmlformats.org/officeDocument/2006/relationships/hyperlink" Target="https://product.tdk.com/system/files/dam/doc/product/capacitor/ceramic/mlcc/catalog/mlcc_automotive_midvoltage_en.pdf" TargetMode="External"/><Relationship Id="rId48" Type="http://schemas.openxmlformats.org/officeDocument/2006/relationships/hyperlink" Target="https://www.mouser.ch/ProductDetail/TDK/CGA4J1X7R2A225K125AC?qs=17ckDYBRdekdsr2vV7W%252BtA%3D%3D" TargetMode="External"/><Relationship Id="rId49" Type="http://schemas.openxmlformats.org/officeDocument/2006/relationships/hyperlink" Target="https://www.digikey.com/en/products/detail/tdk-corporation/CGA4J1X7R2A225K125AC/20482636" TargetMode="External"/><Relationship Id="rId50" Type="http://schemas.openxmlformats.org/officeDocument/2006/relationships/hyperlink" Target="https://search.murata.co.jp/Ceramy/image/img/A01X/G101/ENG/GRM188Z71C475KE21-01A.pdf" TargetMode="External"/><Relationship Id="rId51" Type="http://schemas.openxmlformats.org/officeDocument/2006/relationships/hyperlink" Target="https://www.mouser.ch/ProductDetail/Murata-Electronics/GRM188Z71C475KE21J?qs=d0WKAl%252BL4KaHna24r8oPpQ%3D%3D" TargetMode="External"/><Relationship Id="rId52" Type="http://schemas.openxmlformats.org/officeDocument/2006/relationships/hyperlink" Target="https://www.digikey.com/en/products/detail/murata-electronics/GRM188Z71C475KE21J/16033436" TargetMode="External"/><Relationship Id="rId53" Type="http://schemas.openxmlformats.org/officeDocument/2006/relationships/hyperlink" Target="https://www.tme.eu/en/details/grm188z71c475ke21j/mlcc-smd-capacitors/murata/" TargetMode="External"/><Relationship Id="rId54" Type="http://schemas.openxmlformats.org/officeDocument/2006/relationships/hyperlink" Target="https://search.murata.co.jp/Ceramy/image/img/A01X/G101/ENG/GRJ31CZ72A475KE01-01.pdf" TargetMode="External"/><Relationship Id="rId55" Type="http://schemas.openxmlformats.org/officeDocument/2006/relationships/hyperlink" Target="https://www.mouser.ch/ProductDetail/Murata-Electronics/GRJ31CZ72A475KE01L?qs=d0WKAl%252BL4Ka6osQt%252BNFlHw%3D%3D" TargetMode="External"/><Relationship Id="rId56" Type="http://schemas.openxmlformats.org/officeDocument/2006/relationships/hyperlink" Target="https://www.digikey.com/en/products/detail/murata-electronics/GRJ31CZ72A475KE01L/16033704" TargetMode="External"/><Relationship Id="rId57" Type="http://schemas.openxmlformats.org/officeDocument/2006/relationships/hyperlink" Target="https://www.tme.eu/en/details/grj31cz72a475ke01l/mlcc-smd-capacitors/murata/" TargetMode="External"/><Relationship Id="rId58" Type="http://schemas.openxmlformats.org/officeDocument/2006/relationships/hyperlink" Target="https://search.murata.co.jp/Ceramy/image/img/A01X/G101/ENG/GRJ31CZ72A475KE01-01.pdf" TargetMode="External"/><Relationship Id="rId59" Type="http://schemas.openxmlformats.org/officeDocument/2006/relationships/hyperlink" Target="https://www.mouser.ch/ProductDetail/Murata-Electronics/GRJ31CZ72A475KE01L?qs=d0WKAl%252BL4Ka6osQt%252BNFlHw%3D%3D" TargetMode="External"/><Relationship Id="rId60" Type="http://schemas.openxmlformats.org/officeDocument/2006/relationships/hyperlink" Target="https://www.digikey.com/en/products/detail/murata-electronics/GRJ31CZ72A475KE01L/16033704" TargetMode="External"/><Relationship Id="rId61" Type="http://schemas.openxmlformats.org/officeDocument/2006/relationships/hyperlink" Target="https://www.tme.eu/en/details/grj31cz72a475ke01l/mlcc-smd-capacitors/murata/" TargetMode="External"/><Relationship Id="rId62" Type="http://schemas.openxmlformats.org/officeDocument/2006/relationships/hyperlink" Target="https://datasheets.kyocera-avx.com/cx5r.pdf" TargetMode="External"/><Relationship Id="rId63" Type="http://schemas.openxmlformats.org/officeDocument/2006/relationships/hyperlink" Target="https://www.mouser.ch/ProductDetail/KYOCERA-AVX/04023D475MAT2A?qs=4ASt3YYao0X5X6UT9Na63w%3D%3D" TargetMode="External"/><Relationship Id="rId64" Type="http://schemas.openxmlformats.org/officeDocument/2006/relationships/hyperlink" Target="https://www.digikey.com/en/products/detail/kyocera-avx/04023D475MAT2A/17866297" TargetMode="External"/><Relationship Id="rId65" Type="http://schemas.openxmlformats.org/officeDocument/2006/relationships/hyperlink" Target="https://search.murata.co.jp/Ceramy/image/img/A01X/G101/ENG/GRM21BZ71E106KE15-01.pdf" TargetMode="External"/><Relationship Id="rId66" Type="http://schemas.openxmlformats.org/officeDocument/2006/relationships/hyperlink" Target="https://www.mouser.ch/ProductDetail/Murata-Electronics/GRM21BZ71E106KE15L?qs=Ey7%2FXF42M3fdXe9bIpCO9w%3D%3D" TargetMode="External"/><Relationship Id="rId67" Type="http://schemas.openxmlformats.org/officeDocument/2006/relationships/hyperlink" Target="https://www.digikey.com/en/products/detail/murata-electronics/GRM21BZ71E106KE15L/13904911" TargetMode="External"/><Relationship Id="rId68" Type="http://schemas.openxmlformats.org/officeDocument/2006/relationships/hyperlink" Target="https://www.tme.eu/en/details/grm21bz71e106ke15l/mlcc-smd-capacitors/murata/" TargetMode="External"/><Relationship Id="rId69" Type="http://schemas.openxmlformats.org/officeDocument/2006/relationships/hyperlink" Target="https://product.tdk.com/system/files/dam/doc/product/capacitor/ceramic/mlcc/catalog/mlcc_automotive_general_en.pdf" TargetMode="External"/><Relationship Id="rId70" Type="http://schemas.openxmlformats.org/officeDocument/2006/relationships/hyperlink" Target="https://www.mouser.ch/ProductDetail/TDK/CGA6M3X7R1E156M200AB?qs=rrS6PyfT74dLe7t2WFOTVg%3D%3D" TargetMode="External"/><Relationship Id="rId71" Type="http://schemas.openxmlformats.org/officeDocument/2006/relationships/hyperlink" Target="https://www.digikey.com/en/products/detail/tdk-corporation/CGA6M3X7R1E156M200AB/8343809" TargetMode="External"/><Relationship Id="rId72" Type="http://schemas.openxmlformats.org/officeDocument/2006/relationships/hyperlink" Target="https://www.tme.eu/en/details/cga6m3x7r1e156mab/mlcc-smd-capacitors/tdk/cga6m3x7r1e156m200ab/" TargetMode="External"/><Relationship Id="rId73" Type="http://schemas.openxmlformats.org/officeDocument/2006/relationships/hyperlink" Target="https://search.murata.co.jp/Ceramy/image/img/A01X/G101/ENG/GRM21BZ71A226ME15-01.pdf" TargetMode="External"/><Relationship Id="rId74" Type="http://schemas.openxmlformats.org/officeDocument/2006/relationships/hyperlink" Target="https://www.mouser.ch/ProductDetail/Murata-Electronics/GRM21BZ71A226ME15L?qs=Ey7%2FXF42M3ejDq7iqlmWWw%3D%3D" TargetMode="External"/><Relationship Id="rId75" Type="http://schemas.openxmlformats.org/officeDocument/2006/relationships/hyperlink" Target="https://www.digikey.com/en/products/detail/murata-electronics/GRM21BZ71A226ME15L/13904953" TargetMode="External"/><Relationship Id="rId76" Type="http://schemas.openxmlformats.org/officeDocument/2006/relationships/hyperlink" Target="https://www.tme.eu/en/details/grm21bz71a226me15l/mlcc-smd-capacitors/murata/" TargetMode="External"/><Relationship Id="rId77" Type="http://schemas.openxmlformats.org/officeDocument/2006/relationships/hyperlink" Target="https://connect.kemet.com:7667/gateway/IntelliData-ComponentDocumentation/1.0/download/specsheet/C0603V102KDRAC7867" TargetMode="External"/><Relationship Id="rId78" Type="http://schemas.openxmlformats.org/officeDocument/2006/relationships/hyperlink" Target="https://www.mouser.ch/ProductDetail/KEMET/C0603V102KDRAC7867?qs=sSYV1F9c5cFUkpdTww7WIA%3D%3D" TargetMode="External"/><Relationship Id="rId79" Type="http://schemas.openxmlformats.org/officeDocument/2006/relationships/hyperlink" Target="https://www.digikey.com/en/products/detail/kemet/C0603V102KDRACTU/5451648" TargetMode="External"/><Relationship Id="rId80" Type="http://schemas.openxmlformats.org/officeDocument/2006/relationships/hyperlink" Target="https://www.tme.eu/en/details/c0603v102kdractu/mlcc-smd-capacitors/kemet/" TargetMode="External"/><Relationship Id="rId81" Type="http://schemas.openxmlformats.org/officeDocument/2006/relationships/hyperlink" Target="https://www.st.com/content/ccc/resource/technical/document/datasheet/5b/cd/d8/0a/45/56/41/6c/CD00130227.pdf/files/CD00130227.pdf/jcr:content/translations/en.CD00130227.pdf" TargetMode="External"/><Relationship Id="rId82" Type="http://schemas.openxmlformats.org/officeDocument/2006/relationships/hyperlink" Target="https://www.mouser.ch/ProductDetail/STMicroelectronics/BAT41KFILM?qs=jZi1jxfVU94ZzsUNeiIqGg%3D%3D" TargetMode="External"/><Relationship Id="rId83" Type="http://schemas.openxmlformats.org/officeDocument/2006/relationships/hyperlink" Target="https://www.digikey.com/en/products/detail/stmicroelectronics/BAT41KFILM/1207023" TargetMode="External"/><Relationship Id="rId84" Type="http://schemas.openxmlformats.org/officeDocument/2006/relationships/hyperlink" Target="https://www.tme.eu/en/details/bat41kfilm/smd-schottky-diodes/stmicroelectronics/" TargetMode="External"/><Relationship Id="rId85" Type="http://schemas.openxmlformats.org/officeDocument/2006/relationships/hyperlink" Target="https://www.bourns.com/docs/Product-Datasheets/CDSOT23-SM712.pdf" TargetMode="External"/><Relationship Id="rId86" Type="http://schemas.openxmlformats.org/officeDocument/2006/relationships/hyperlink" Target="https://www.mouser.ch/ProductDetail/Bourns/CDSOT23-SM712?qs=FuI%252BOVLl4%2FLTY%2FGQ265RLA%3D%3D" TargetMode="External"/><Relationship Id="rId87" Type="http://schemas.openxmlformats.org/officeDocument/2006/relationships/hyperlink" Target="https://www.digikey.com/en/products/detail/bourns-inc/CDSOT23-SM712/1630592" TargetMode="External"/><Relationship Id="rId88" Type="http://schemas.openxmlformats.org/officeDocument/2006/relationships/hyperlink" Target="https://www.tme.eu/en/details/cdsot23-sm712/protection-diodes-arrays/bourns/" TargetMode="External"/><Relationship Id="rId89" Type="http://schemas.openxmlformats.org/officeDocument/2006/relationships/hyperlink" Target="https://www.bivar.com/parts_content/Datasheets/SM1206NPGC-IL.pdf" TargetMode="External"/><Relationship Id="rId90" Type="http://schemas.openxmlformats.org/officeDocument/2006/relationships/hyperlink" Target="https://www.mouser.ch/ProductDetail/Bivar/SM1206NPGC-IL?qs=KTQu7UTzQvVxy7AkcJ%2FGwQ%3D%3D" TargetMode="External"/><Relationship Id="rId91" Type="http://schemas.openxmlformats.org/officeDocument/2006/relationships/hyperlink" Target="https://www.digikey.com/en/products/detail/bivar-inc/SM1206NPGC-IL/5030133" TargetMode="External"/><Relationship Id="rId92" Type="http://schemas.openxmlformats.org/officeDocument/2006/relationships/hyperlink" Target="https://assets.nexperia.com/documents/data-sheet/PESD2CANFD24V-U.pdf" TargetMode="External"/><Relationship Id="rId93" Type="http://schemas.openxmlformats.org/officeDocument/2006/relationships/hyperlink" Target="https://www.mouser.ch/ProductDetail/Nexperia/PESD2CANFD24V-UX?qs=xZ%2FP%252Ba9zWqYt%2Ft8UKiQnig%3D%3D" TargetMode="External"/><Relationship Id="rId94" Type="http://schemas.openxmlformats.org/officeDocument/2006/relationships/hyperlink" Target="https://www.digikey.com/en/products/detail/nexperia-usa-inc/PESD2CANFD24V-UX/11487050" TargetMode="External"/><Relationship Id="rId95" Type="http://schemas.openxmlformats.org/officeDocument/2006/relationships/hyperlink" Target="https://assets.nexperia.com/documents/data-sheet/PESD4USB3U-TBS.pdf" TargetMode="External"/><Relationship Id="rId96" Type="http://schemas.openxmlformats.org/officeDocument/2006/relationships/hyperlink" Target="https://www.mouser.ch/ProductDetail/Nexperia/PESD4USB3U-TBSX?qs=ljCeji4nMDkX73AskgWsOw%3D%3D" TargetMode="External"/><Relationship Id="rId97" Type="http://schemas.openxmlformats.org/officeDocument/2006/relationships/hyperlink" Target="https://www.digikey.com/en/products/detail/nexperia-usa-inc/PESD4USB3U-TBSX/15777945" TargetMode="External"/><Relationship Id="rId98" Type="http://schemas.openxmlformats.org/officeDocument/2006/relationships/hyperlink" Target="https://assets.nexperia.com/documents/data-sheet/PESD4USB5B-TBS.pdf" TargetMode="External"/><Relationship Id="rId99" Type="http://schemas.openxmlformats.org/officeDocument/2006/relationships/hyperlink" Target="https://www.mouser.ch/ProductDetail/Nexperia/PESD4USB5B-TBSX?qs=ljCeji4nMDncW6w%2F3oPpKQ%3D%3D" TargetMode="External"/><Relationship Id="rId100" Type="http://schemas.openxmlformats.org/officeDocument/2006/relationships/hyperlink" Target="https://www.digikey.com/en/products/detail/nexperia-usa-inc/PESD4USB5B-TBSX/15778182" TargetMode="External"/><Relationship Id="rId101" Type="http://schemas.openxmlformats.org/officeDocument/2006/relationships/hyperlink" Target="https://www.vishay.com/docs/87606/smbj5cdthrusmbj120cd.pdf" TargetMode="External"/><Relationship Id="rId102" Type="http://schemas.openxmlformats.org/officeDocument/2006/relationships/hyperlink" Target="https://www.mouser.ch/ProductDetail/Vishay-General-Semiconductor/SMBJ51CD-M3-H?qs=lBTPRtX1sU%252BY7hek7nzA7Q%3D%3D" TargetMode="External"/><Relationship Id="rId103" Type="http://schemas.openxmlformats.org/officeDocument/2006/relationships/hyperlink" Target="https://www.digikey.com/en/products/detail/vishay-general-semiconductor-diodes-division/SMBJ51CD-M3-H/7594545" TargetMode="External"/><Relationship Id="rId104" Type="http://schemas.openxmlformats.org/officeDocument/2006/relationships/hyperlink" Target="https://www.tme.eu/en/details/smbj51cd-m3_h/bidirectional-tvs-smd-diodes/vishay/" TargetMode="External"/><Relationship Id="rId105" Type="http://schemas.openxmlformats.org/officeDocument/2006/relationships/hyperlink" Target="https://www.bivar.com/parts_content/Datasheets/SM1206NYC-IL.pdf" TargetMode="External"/><Relationship Id="rId106" Type="http://schemas.openxmlformats.org/officeDocument/2006/relationships/hyperlink" Target="https://www.mouser.ch/ProductDetail/Bivar/SM1206NYC-IL?qs=KTQu7UTzQvVEQRBh6fGTPw%3D%3D" TargetMode="External"/><Relationship Id="rId107" Type="http://schemas.openxmlformats.org/officeDocument/2006/relationships/hyperlink" Target="https://www.digikey.com/en/products/detail/bivar-inc/SM1206NYC-IL/5030135" TargetMode="External"/><Relationship Id="rId108" Type="http://schemas.openxmlformats.org/officeDocument/2006/relationships/hyperlink" Target="https://www.tme.eu/en/details/sm1206nyc-il/smd-colour-leds/bivar/" TargetMode="External"/><Relationship Id="rId109" Type="http://schemas.openxmlformats.org/officeDocument/2006/relationships/hyperlink" Target="https://www.we-online.com/katalog/datasheet/742792096.pdf" TargetMode="External"/><Relationship Id="rId110" Type="http://schemas.openxmlformats.org/officeDocument/2006/relationships/hyperlink" Target="https://www.mouser.ch/ProductDetail/Wurth-Elektronik/742792096?qs=Wn16VcyqZWorsJ9EXBamCw%3D%3D" TargetMode="External"/><Relationship Id="rId111" Type="http://schemas.openxmlformats.org/officeDocument/2006/relationships/hyperlink" Target="https://www.digikey.com/en/products/detail/w&#252;rth-elektronik/742792096/4310376" TargetMode="External"/><Relationship Id="rId112" Type="http://schemas.openxmlformats.org/officeDocument/2006/relationships/hyperlink" Target="https://www.literature.molex.com/SQLImages/kelmscott/Molex/PDF_Images/987651-1223.PDF" TargetMode="External"/><Relationship Id="rId113" Type="http://schemas.openxmlformats.org/officeDocument/2006/relationships/hyperlink" Target="https://www.mouser.ch/ProductDetail/Molex/105430-1203?qs=gZXFycFWdAPIM7%252BCQQwwXQ%3D%3D" TargetMode="External"/><Relationship Id="rId114" Type="http://schemas.openxmlformats.org/officeDocument/2006/relationships/hyperlink" Target="https://www.digikey.com/en/products/detail/molex/1054301203/9959384" TargetMode="External"/><Relationship Id="rId115" Type="http://schemas.openxmlformats.org/officeDocument/2006/relationships/hyperlink" Target="https://www.jst-mfg.com/product/pdf/eng/ePH.pdf" TargetMode="External"/><Relationship Id="rId116" Type="http://schemas.openxmlformats.org/officeDocument/2006/relationships/hyperlink" Target="https://www.mouser.ch/ProductDetail/JST/S2B-PH-SM4-TB?qs=sPbYRqrBIVniObBh9YAkMw%3D%3D" TargetMode="External"/><Relationship Id="rId117" Type="http://schemas.openxmlformats.org/officeDocument/2006/relationships/hyperlink" Target="https://www.digikey.com/en/products/detail/jst-sales-america-inc/S2B-PH-SM4-TB/926655" TargetMode="External"/><Relationship Id="rId118" Type="http://schemas.openxmlformats.org/officeDocument/2006/relationships/hyperlink" Target="https://www.tme.eu/en/details/s2b-ph-sm4-tb/raster-signal-connectors-2-00mm/jst/s2b-ph-sm4-tb-lf-sn/" TargetMode="External"/><Relationship Id="rId119" Type="http://schemas.openxmlformats.org/officeDocument/2006/relationships/hyperlink" Target="https://www.jst-mfg.com/product/pdf/eng/eGH.pdf" TargetMode="External"/><Relationship Id="rId120" Type="http://schemas.openxmlformats.org/officeDocument/2006/relationships/hyperlink" Target="https://www.mouser.ch/ProductDetail/JST/SM05B-GHS-TB-LFSN?qs=RhI%2FHMCK%252B8JxEu6zeP3p0g%3D%3D" TargetMode="External"/><Relationship Id="rId121" Type="http://schemas.openxmlformats.org/officeDocument/2006/relationships/hyperlink" Target="https://www.digikey.com/en/products/detail/jst-sales-america-inc/SM05B-GHS-TB/807789" TargetMode="External"/><Relationship Id="rId122" Type="http://schemas.openxmlformats.org/officeDocument/2006/relationships/hyperlink" Target="https://www.tme.eu/en/details/sm05b-ghs-tb/raster-signal-connectors-1-25mm/jst/" TargetMode="External"/><Relationship Id="rId123" Type="http://schemas.openxmlformats.org/officeDocument/2006/relationships/hyperlink" Target="https://www.jst-mfg.com/product/pdf/eng/eGH.pdf" TargetMode="External"/><Relationship Id="rId124" Type="http://schemas.openxmlformats.org/officeDocument/2006/relationships/hyperlink" Target="https://www.mouser.ch/ProductDetail/JST-Commercial/SM06B-GHS-TBLFSN?qs=dbcCsuKDzFVtzW8gaymizQ%3D%3D" TargetMode="External"/><Relationship Id="rId125" Type="http://schemas.openxmlformats.org/officeDocument/2006/relationships/hyperlink" Target="https://www.digikey.com/en/products/detail/jst-sales-america-inc/SM06B-GHS-TB/807790" TargetMode="External"/><Relationship Id="rId126" Type="http://schemas.openxmlformats.org/officeDocument/2006/relationships/hyperlink" Target="https://www.tme.eu/en/details/sm06b-ghs-tb/raster-signal-connectors-1-25mm/jst/sm06b-ghs-tb-lf-sn/" TargetMode="External"/><Relationship Id="rId127" Type="http://schemas.openxmlformats.org/officeDocument/2006/relationships/hyperlink" Target="https://www.jst-mfg.com/product/pdf/eng/eGH.pdf" TargetMode="External"/><Relationship Id="rId128" Type="http://schemas.openxmlformats.org/officeDocument/2006/relationships/hyperlink" Target="https://www.mouser.ch/ProductDetail/JST/SM07B-GHS-TB-LFSN?qs=7MVldsJ5UaxewbA9EKjWlw%3D%3D" TargetMode="External"/><Relationship Id="rId129" Type="http://schemas.openxmlformats.org/officeDocument/2006/relationships/hyperlink" Target="https://www.digikey.com/en/products/detail/jst-sales-america-inc/SM07B-GHS-TB/807791" TargetMode="External"/><Relationship Id="rId130" Type="http://schemas.openxmlformats.org/officeDocument/2006/relationships/hyperlink" Target="https://www.jst-mfg.com/product/pdf/eng/eGH.pdf" TargetMode="External"/><Relationship Id="rId131" Type="http://schemas.openxmlformats.org/officeDocument/2006/relationships/hyperlink" Target="https://www.mouser.ch/ProductDetail/JST/SM08B-GHS-TB-LFSN?qs=Fobv33ltQGhDilmqK0s8ng%3D%3D" TargetMode="External"/><Relationship Id="rId132" Type="http://schemas.openxmlformats.org/officeDocument/2006/relationships/hyperlink" Target="https://www.digikey.com/en/products/detail/jst-sales-america-inc/SM08B-GHS-TB/807792" TargetMode="External"/><Relationship Id="rId133" Type="http://schemas.openxmlformats.org/officeDocument/2006/relationships/hyperlink" Target="https://www.tme.eu/en/details/sm08b-ghs-tb/raster-signal-connectors-1-25mm/jst/sm08b-ghs-tb-lf-sn/" TargetMode="External"/><Relationship Id="rId134" Type="http://schemas.openxmlformats.org/officeDocument/2006/relationships/hyperlink" Target="https://www.tme.eu/Document/1191bc2fa3aee3c446e5a895fd8f7983/XT60PW-F.pdf" TargetMode="External"/><Relationship Id="rId135" Type="http://schemas.openxmlformats.org/officeDocument/2006/relationships/hyperlink" Target="https://www.tme.eu/en/details/xt60pw-f/dc-power-connectors/amass/" TargetMode="External"/><Relationship Id="rId136" Type="http://schemas.openxmlformats.org/officeDocument/2006/relationships/hyperlink" Target="https://www.tme.eu/Document/b13629717d44ae038681dba08d18c0b6/XT60PW-M.pdf" TargetMode="External"/><Relationship Id="rId137" Type="http://schemas.openxmlformats.org/officeDocument/2006/relationships/hyperlink" Target="https://www.tme.eu/en/details/xt60pw-m/dc-power-connectors/amass/" TargetMode="External"/><Relationship Id="rId138" Type="http://schemas.openxmlformats.org/officeDocument/2006/relationships/hyperlink" Target="https://www.coilcraft.com/getmedia/3ba581dc-6d87-4be6-9dea-9167ac97554d/lps3314.pdf" TargetMode="External"/><Relationship Id="rId139" Type="http://schemas.openxmlformats.org/officeDocument/2006/relationships/hyperlink" Target="https://www.mouser.ch/ProductDetail/Coilcraft/LPS3314-222MRC?qs=MW2gS7wPCVwDdyEOzvS9HA%3D%3D" TargetMode="External"/><Relationship Id="rId140" Type="http://schemas.openxmlformats.org/officeDocument/2006/relationships/hyperlink" Target="https://www.coilcraft.com/getmedia/31b05c96-4c4c-4498-8dbb-fe092de76bad/lps4018.pdf" TargetMode="External"/><Relationship Id="rId141" Type="http://schemas.openxmlformats.org/officeDocument/2006/relationships/hyperlink" Target="https://www.mouser.ch/ProductDetail/Coilcraft/LPS4018-223MRC?qs=QQJxVsr8EGZ1iTyTHMP0jg%3D%3D" TargetMode="External"/><Relationship Id="rId142" Type="http://schemas.openxmlformats.org/officeDocument/2006/relationships/hyperlink" Target="https://www.digikey.com/en/products/detail/coilcraft/LPS4018-223MRC/12714610" TargetMode="External"/><Relationship Id="rId143" Type="http://schemas.openxmlformats.org/officeDocument/2006/relationships/hyperlink" Target="https://assets.nexperia.com/documents/data-sheet/PMV90ENE.pdf" TargetMode="External"/><Relationship Id="rId144" Type="http://schemas.openxmlformats.org/officeDocument/2006/relationships/hyperlink" Target="https://www.mouser.ch/ProductDetail/Nexperia/PMV90ENER?qs=gH1BdSMZm8U46al1TitK1w%3D%3D" TargetMode="External"/><Relationship Id="rId145" Type="http://schemas.openxmlformats.org/officeDocument/2006/relationships/hyperlink" Target="https://www.digikey.com/en/products/detail/nexperia-usa-inc/PMV90ENER/6575990" TargetMode="External"/><Relationship Id="rId146" Type="http://schemas.openxmlformats.org/officeDocument/2006/relationships/hyperlink" Target="https://www.tme.eu/en/details/pmv90ener/smd-n-channel-transistors/nexperia/" TargetMode="External"/><Relationship Id="rId147" Type="http://schemas.openxmlformats.org/officeDocument/2006/relationships/hyperlink" Target="https://toshiba.semicon-storage.com/info/TPW1R306PL_datasheet_en_20191021.pdf?did=55843&amp;prodName=TPW1R306PL" TargetMode="External"/><Relationship Id="rId148" Type="http://schemas.openxmlformats.org/officeDocument/2006/relationships/hyperlink" Target="https://www.mouser.ch/ProductDetail/Toshiba/TPW1R306PLL1Q?qs=LtAzLad%252BoeXbsUxp0VQDOg%3D%3D" TargetMode="External"/><Relationship Id="rId149" Type="http://schemas.openxmlformats.org/officeDocument/2006/relationships/hyperlink" Target="https://www.digikey.com/en/products/detail/toshiba-semiconductor-and-storage/TPW1R306PL-L1Q/6188442" TargetMode="External"/><Relationship Id="rId150" Type="http://schemas.openxmlformats.org/officeDocument/2006/relationships/hyperlink" Target="https://www.tme.eu/en/details/tpw1r306pl/smd-n-channel-transistors/toshiba/tpw1r306pl-l1q-m/" TargetMode="External"/><Relationship Id="rId151" Type="http://schemas.openxmlformats.org/officeDocument/2006/relationships/hyperlink" Target="https://www.seielect.com/catalog/sei-hcs.pdf" TargetMode="External"/><Relationship Id="rId152" Type="http://schemas.openxmlformats.org/officeDocument/2006/relationships/hyperlink" Target="https://www.mouser.ch/ProductDetail/SEI-Stackpole/HCS1206FTL500?qs=IPgv5n7u5QYgC9%252B5sPTgaQ%3D%3D" TargetMode="External"/><Relationship Id="rId153" Type="http://schemas.openxmlformats.org/officeDocument/2006/relationships/hyperlink" Target="https://www.digikey.com/en/products/detail/stackpole-electronics-inc/HCS1206FTL500/5574626" TargetMode="External"/><Relationship Id="rId154" Type="http://schemas.openxmlformats.org/officeDocument/2006/relationships/hyperlink" Target="https://industrial.panasonic.com/ww/products/pt/general-purpose-chip-resistors/models/ERJ2GE0R00X" TargetMode="External"/><Relationship Id="rId155" Type="http://schemas.openxmlformats.org/officeDocument/2006/relationships/hyperlink" Target="https://www.mouser.ch/ProductDetail/Panasonic/ERJ-2GE0R00X?qs=Cz%252B5TvT4yly5%252BP7oLZcLxw%3D%3D" TargetMode="External"/><Relationship Id="rId156" Type="http://schemas.openxmlformats.org/officeDocument/2006/relationships/hyperlink" Target="https://www.digikey.com/en/products/detail/panasonic-electronic-components/ERJ-2GE0R00X/146727" TargetMode="External"/><Relationship Id="rId157" Type="http://schemas.openxmlformats.org/officeDocument/2006/relationships/hyperlink" Target="https://www.tme.eu/en/details/erj2ge0r00x/smd-resistors/panasonic/" TargetMode="External"/><Relationship Id="rId158" Type="http://schemas.openxmlformats.org/officeDocument/2006/relationships/hyperlink" Target="https://www.vishay.com/docs/20043/crcwhpe3.pdf" TargetMode="External"/><Relationship Id="rId159" Type="http://schemas.openxmlformats.org/officeDocument/2006/relationships/hyperlink" Target="https://www.mouser.ch/ProductDetail/Vishay-Dale/CRCW06030000Z0EAHP?qs=pTGEtN%252BMLlBR2wfI1qu2Ng%3D%3D" TargetMode="External"/><Relationship Id="rId160" Type="http://schemas.openxmlformats.org/officeDocument/2006/relationships/hyperlink" Target="https://www.digikey.com/en/products/detail/vishay-dale/CRCW06030000Z0EAHP/2222231" TargetMode="External"/><Relationship Id="rId161" Type="http://schemas.openxmlformats.org/officeDocument/2006/relationships/hyperlink" Target="https://www.tme.eu/en/details/crcw06030000z0eahp/smd-resistors/vishay/" TargetMode="External"/><Relationship Id="rId162" Type="http://schemas.openxmlformats.org/officeDocument/2006/relationships/hyperlink" Target="https://www.seielect.com/catalog/sei-csrt.pdf" TargetMode="External"/><Relationship Id="rId163" Type="http://schemas.openxmlformats.org/officeDocument/2006/relationships/hyperlink" Target="https://www.mouser.ch/ProductDetail/SEI-Stackpole/CSRT0603FT5R00?qs=IPgv5n7u5QZ2EOfKoyxtbQ%3D%3D" TargetMode="External"/><Relationship Id="rId164" Type="http://schemas.openxmlformats.org/officeDocument/2006/relationships/hyperlink" Target="https://www.digikey.com/en/products/detail/stackpole-electronics-inc/CSRT0603FT5R00/16204542" TargetMode="External"/><Relationship Id="rId165" Type="http://schemas.openxmlformats.org/officeDocument/2006/relationships/hyperlink" Target="https://www.vishay.com/docs/20043/crcwhpe3.pdf" TargetMode="External"/><Relationship Id="rId166" Type="http://schemas.openxmlformats.org/officeDocument/2006/relationships/hyperlink" Target="https://www.mouser.ch/ProductDetail/Vishay-Dale/CRCW08057R50FKEAHP?qs=udq735CAsV3fZKLIG4%252BmDg%3D%3D" TargetMode="External"/><Relationship Id="rId167" Type="http://schemas.openxmlformats.org/officeDocument/2006/relationships/hyperlink" Target="https://www.digikey.com/en/products/detail/vishay-dale/CRCW08057R50FKEAHP/2226734" TargetMode="External"/><Relationship Id="rId168" Type="http://schemas.openxmlformats.org/officeDocument/2006/relationships/hyperlink" Target="https://www.vishay.com/docs/20043/crcwhpe3.pdf" TargetMode="External"/><Relationship Id="rId169" Type="http://schemas.openxmlformats.org/officeDocument/2006/relationships/hyperlink" Target="https://www.mouser.ch/ProductDetail/Vishay-Dale/CRCW060310R0FKEAHP?qs=k2%2FDWSARqgHKJ7AdmQKyZw%3D%3D" TargetMode="External"/><Relationship Id="rId170" Type="http://schemas.openxmlformats.org/officeDocument/2006/relationships/hyperlink" Target="https://www.digikey.com/en/products/detail/vishay-dale/CRCW060310R0FKEAHP/2222235" TargetMode="External"/><Relationship Id="rId171" Type="http://schemas.openxmlformats.org/officeDocument/2006/relationships/hyperlink" Target="https://www.tme.eu/en/details/crcw060310r0fkeahp/smd-resistors/vishay/" TargetMode="External"/><Relationship Id="rId172" Type="http://schemas.openxmlformats.org/officeDocument/2006/relationships/hyperlink" Target="https://industrial.panasonic.com/cdbs/www-data/pdf/RDA0000/AOA0000C304.pdf" TargetMode="External"/><Relationship Id="rId173" Type="http://schemas.openxmlformats.org/officeDocument/2006/relationships/hyperlink" Target="https://www.mouser.ch/ProductDetail/Panasonic/ERJ-2RKF22R0X?qs=ph3nBm4l4ejALS%2FLFiCIgg%3D%3D" TargetMode="External"/><Relationship Id="rId174" Type="http://schemas.openxmlformats.org/officeDocument/2006/relationships/hyperlink" Target="https://www.digikey.com/en/products/detail/panasonic-electronic-components/ERJ-2RKF22R0X/1746157" TargetMode="External"/><Relationship Id="rId175" Type="http://schemas.openxmlformats.org/officeDocument/2006/relationships/hyperlink" Target="https://www.tme.eu/en/details/erj2rkf22r0x/smd-resistors/panasonic/" TargetMode="External"/><Relationship Id="rId176" Type="http://schemas.openxmlformats.org/officeDocument/2006/relationships/hyperlink" Target="https://www.rohm.com/datasheet?p=ESR01MZPF&amp;dist=Digi-key&amp;media=referral&amp;source=digi-key.com&amp;campaign=Digi-key" TargetMode="External"/><Relationship Id="rId177" Type="http://schemas.openxmlformats.org/officeDocument/2006/relationships/hyperlink" Target="https://www.mouser.ch/ProductDetail/ROHM-Semiconductor/ESR03EZPF60R4?qs=17ckDYBRdelWfRDqGd74uQ%3D%3D" TargetMode="External"/><Relationship Id="rId178" Type="http://schemas.openxmlformats.org/officeDocument/2006/relationships/hyperlink" Target="https://www.digikey.com/en/products/detail/rohm-semiconductor/ESR03EZPF60R4/20486478" TargetMode="External"/><Relationship Id="rId179" Type="http://schemas.openxmlformats.org/officeDocument/2006/relationships/hyperlink" Target="https://www.vishay.com/docs/20065/rcse3.pdf" TargetMode="External"/><Relationship Id="rId180" Type="http://schemas.openxmlformats.org/officeDocument/2006/relationships/hyperlink" Target="https://www.mouser.ch/ProductDetail/Vishay-Dale/RCS0402100RFKED?qs=NKmfXavxMaykuHEaJBK0%252BA%3D%3D" TargetMode="External"/><Relationship Id="rId181" Type="http://schemas.openxmlformats.org/officeDocument/2006/relationships/hyperlink" Target="https://www.digikey.com/en/products/detail/vishay-dale/RCS0402100RFKED/5867032" TargetMode="External"/><Relationship Id="rId182" Type="http://schemas.openxmlformats.org/officeDocument/2006/relationships/hyperlink" Target="https://www.vishay.com/docs/20043/crcwhpe3.pdf" TargetMode="External"/><Relationship Id="rId183" Type="http://schemas.openxmlformats.org/officeDocument/2006/relationships/hyperlink" Target="https://www.mouser.ch/ProductDetail/Vishay-Dale/CRCW0402150RFKEDHP?qs=40TFAHZMFvfqtIOyP%252B2vGQ%3D%3D" TargetMode="External"/><Relationship Id="rId184" Type="http://schemas.openxmlformats.org/officeDocument/2006/relationships/hyperlink" Target="https://www.digikey.com/en/products/detail/vishay-dale/CRCW0402150RFKEDHP/2225278" TargetMode="External"/><Relationship Id="rId185" Type="http://schemas.openxmlformats.org/officeDocument/2006/relationships/hyperlink" Target="https://industrial.panasonic.com/cdbs/www-data/pdf/RDA0000/AOA0000C304.pdf" TargetMode="External"/><Relationship Id="rId186" Type="http://schemas.openxmlformats.org/officeDocument/2006/relationships/hyperlink" Target="https://www.mouser.ch/ProductDetail/Panasonic/ERJ-2RKF2001X?qs=H7k1u0Mp9JSbtBe1nkwQGA%3D%3D" TargetMode="External"/><Relationship Id="rId187" Type="http://schemas.openxmlformats.org/officeDocument/2006/relationships/hyperlink" Target="https://www.digikey.com/en/products/detail/panasonic-electronic-components/ERJ-2RKF2001X/192194" TargetMode="External"/><Relationship Id="rId188" Type="http://schemas.openxmlformats.org/officeDocument/2006/relationships/hyperlink" Target="https://www.tme.eu/en/details/erj2rkf2001x/smd-resistors/panasonic/" TargetMode="External"/><Relationship Id="rId189" Type="http://schemas.openxmlformats.org/officeDocument/2006/relationships/hyperlink" Target="https://www.yageo.com/upload/media/product/app/datasheet/rchip/pyu-rt_1-to-0.01_rohs_l.pdf" TargetMode="External"/><Relationship Id="rId190" Type="http://schemas.openxmlformats.org/officeDocument/2006/relationships/hyperlink" Target="https://www.mouser.ch/ProductDetail/YAGEO/RT0402FRE134K7L?qs=GBLSl2AkirvjEcw6k0Ze1w%3D%3D" TargetMode="External"/><Relationship Id="rId191" Type="http://schemas.openxmlformats.org/officeDocument/2006/relationships/hyperlink" Target="https://www.digikey.com/en/products/detail/yageo/RT0402FRE134K7L/17017061" TargetMode="External"/><Relationship Id="rId192" Type="http://schemas.openxmlformats.org/officeDocument/2006/relationships/hyperlink" Target="https://www.yageo.com/upload/media/product/app/datasheet/rchip/pyu-rt_1-to-0.01_rohs_l.pdf" TargetMode="External"/><Relationship Id="rId193" Type="http://schemas.openxmlformats.org/officeDocument/2006/relationships/hyperlink" Target="https://www.mouser.ch/ProductDetail/YAGEO/RT0402FRE079K09L?qs=gY0y7AQI9SMESuwE6MtNDg%3D%3D" TargetMode="External"/><Relationship Id="rId194" Type="http://schemas.openxmlformats.org/officeDocument/2006/relationships/hyperlink" Target="https://www.digikey.com/en/products/detail/yageo/RT0402FRE079K09L/1072182" TargetMode="External"/><Relationship Id="rId195" Type="http://schemas.openxmlformats.org/officeDocument/2006/relationships/hyperlink" Target="https://www.yageo.com/upload/media/product/app/datasheet/rchip/pyu-rt_1-to-0.01_rohs_l.pdf" TargetMode="External"/><Relationship Id="rId196" Type="http://schemas.openxmlformats.org/officeDocument/2006/relationships/hyperlink" Target="https://www.mouser.ch/ProductDetail/YAGEO/RT0402FRE0710KL?qs=BXCcY9r%252B08Amup7nMFKW1g%3D%3D" TargetMode="External"/><Relationship Id="rId197" Type="http://schemas.openxmlformats.org/officeDocument/2006/relationships/hyperlink" Target="https://www.digikey.com/en/products/detail/yageo/RT0402FRE0710KL/1071709" TargetMode="External"/><Relationship Id="rId198" Type="http://schemas.openxmlformats.org/officeDocument/2006/relationships/hyperlink" Target="https://www.tme.eu/en/details/rt0402fre0710kl/smd-resistors/yageo/" TargetMode="External"/><Relationship Id="rId199" Type="http://schemas.openxmlformats.org/officeDocument/2006/relationships/hyperlink" Target="https://www.yageo.com/upload/media/product/app/datasheet/rchip/pyu-rt_1-to-0.01_rohs_l.pdf" TargetMode="External"/><Relationship Id="rId200" Type="http://schemas.openxmlformats.org/officeDocument/2006/relationships/hyperlink" Target="https://www.mouser.ch/ProductDetail/YAGEO/RT0402FRE07100KL?qs=BXCcY9r%252B08CxTvf5JB1kiw%3D%3D" TargetMode="External"/><Relationship Id="rId201" Type="http://schemas.openxmlformats.org/officeDocument/2006/relationships/hyperlink" Target="https://www.digikey.com/en/products/detail/yageo/RT0402FRE07100KL/1071698" TargetMode="External"/><Relationship Id="rId202" Type="http://schemas.openxmlformats.org/officeDocument/2006/relationships/hyperlink" Target="https://www.nidec-copal-electronics.com/e/catalog/switch/cas.pdf" TargetMode="External"/><Relationship Id="rId203" Type="http://schemas.openxmlformats.org/officeDocument/2006/relationships/hyperlink" Target="https://www.mouser.ch/ProductDetail/Vishay-BC-Components/CAS220TA?qs=qyJrp8S94mID8ErkjDXxCA%3D%3D" TargetMode="External"/><Relationship Id="rId204" Type="http://schemas.openxmlformats.org/officeDocument/2006/relationships/hyperlink" Target="https://www.digikey.com/en/products/detail/nidec-components-corporation/CAS-220TA/341663" TargetMode="External"/><Relationship Id="rId205" Type="http://schemas.openxmlformats.org/officeDocument/2006/relationships/hyperlink" Target="https://www.murata.com/~/media/webrenewal/support/library/catalog/products/thermistor/r01e.ashx" TargetMode="External"/><Relationship Id="rId206" Type="http://schemas.openxmlformats.org/officeDocument/2006/relationships/hyperlink" Target="https://www.mouser.ch/ProductDetail/Murata-Electronics/NCP15WB473F03RC?qs=HUu8IBgW%2FSWYbRtmgJuyIw%3D%3D" TargetMode="External"/><Relationship Id="rId207" Type="http://schemas.openxmlformats.org/officeDocument/2006/relationships/hyperlink" Target="https://www.digikey.com/en/products/detail/murata-electronics/NCP15WB473F03RC/1644667" TargetMode="External"/><Relationship Id="rId208" Type="http://schemas.openxmlformats.org/officeDocument/2006/relationships/hyperlink" Target="https://www.tme.eu/en/details/ncp15wb473f03rc/smd-measurement-ntc-thermistors/murata/" TargetMode="External"/><Relationship Id="rId209" Type="http://schemas.openxmlformats.org/officeDocument/2006/relationships/hyperlink" Target="https://ams.com/documents/20143/36005/AS5047P_DS000324_3-00.pdf" TargetMode="External"/><Relationship Id="rId210" Type="http://schemas.openxmlformats.org/officeDocument/2006/relationships/hyperlink" Target="https://www.mouser.ch/ProductDetail/ams-OSRAM/AS5047P-ATSM?qs=cGEy3R83DS8fzNOVLHtOgg%3D%3D" TargetMode="External"/><Relationship Id="rId211" Type="http://schemas.openxmlformats.org/officeDocument/2006/relationships/hyperlink" Target="https://www.digikey.com/en/products/detail/ams-osram-usa-inc/AS5047P-ATSM-TSSOP14-LF-T-RDP/5287311" TargetMode="External"/><Relationship Id="rId212" Type="http://schemas.openxmlformats.org/officeDocument/2006/relationships/hyperlink" Target="https://ams.com/documents/20143/36005/AS5048_DS000298_4-00.pdf" TargetMode="External"/><Relationship Id="rId213" Type="http://schemas.openxmlformats.org/officeDocument/2006/relationships/hyperlink" Target="https://www.mouser.ch/ProductDetail/ams-OSRAM/AS5048B-HTSP-500?qs=YVUHYZFLFLvwh7JZARqADA%3D%3D" TargetMode="External"/><Relationship Id="rId214" Type="http://schemas.openxmlformats.org/officeDocument/2006/relationships/hyperlink" Target="https://www.digikey.com/en/products/detail/ams-osram-usa-inc/AS5048B-HTSP-500/3188616" TargetMode="External"/><Relationship Id="rId215" Type="http://schemas.openxmlformats.org/officeDocument/2006/relationships/hyperlink" Target="https://www.diodes.com/assets/Datasheets/DGD0215-0216.pdf" TargetMode="External"/><Relationship Id="rId216" Type="http://schemas.openxmlformats.org/officeDocument/2006/relationships/hyperlink" Target="https://www.mouser.ch/ProductDetail/Diodes-Incorporated/DGD0216WT-7?qs=gZXFycFWdAPwZN%2F%2FKH0w5A%3D%3D" TargetMode="External"/><Relationship Id="rId217" Type="http://schemas.openxmlformats.org/officeDocument/2006/relationships/hyperlink" Target="https://www.digikey.com/en/products/detail/diodes-incorporated/DGD0216WT-7/10130662" TargetMode="External"/><Relationship Id="rId218" Type="http://schemas.openxmlformats.org/officeDocument/2006/relationships/hyperlink" Target="https://www.tme.eu/en/details/dgd0216wt-7/mosfet-igbt-drivers/diodes-incorporated/" TargetMode="External"/><Relationship Id="rId219" Type="http://schemas.openxmlformats.org/officeDocument/2006/relationships/hyperlink" Target="https://www.ti.com/lit/ds/symlink/drv8353f.pdf" TargetMode="External"/><Relationship Id="rId220" Type="http://schemas.openxmlformats.org/officeDocument/2006/relationships/hyperlink" Target="https://www.mouser.ch/ProductDetail/Texas-Instruments/DRV8353FSRTAR?qs=hd1VzrDQEGj9xu7LrY%252BpOw%3D%3D" TargetMode="External"/><Relationship Id="rId221" Type="http://schemas.openxmlformats.org/officeDocument/2006/relationships/hyperlink" Target="https://www.digikey.com/en/products/detail/texas-instruments/DRV8353FSRTAR/13542552" TargetMode="External"/><Relationship Id="rId222" Type="http://schemas.openxmlformats.org/officeDocument/2006/relationships/hyperlink" Target="https://www.ti.com/lit/ds/symlink/lmr36006-q1.pdf" TargetMode="External"/><Relationship Id="rId223" Type="http://schemas.openxmlformats.org/officeDocument/2006/relationships/hyperlink" Target="https://www.mouser.ch/ProductDetail/Texas-Instruments/LMR36006FSCQRNXTQ1?qs=9r4v7xj2Lnke7iODslmEhg%3D%3D" TargetMode="External"/><Relationship Id="rId224" Type="http://schemas.openxmlformats.org/officeDocument/2006/relationships/hyperlink" Target="https://www.digikey.com/en/products/detail/texas-instruments/LMR36006FSCQRNXTQ1/10820227" TargetMode="External"/><Relationship Id="rId225" Type="http://schemas.openxmlformats.org/officeDocument/2006/relationships/hyperlink" Target="https://www.tme.eu/en/details/lmr36006fscqrnxtq1/voltage-regulators-dc-dc-circuits/texas-instruments/" TargetMode="External"/><Relationship Id="rId226" Type="http://schemas.openxmlformats.org/officeDocument/2006/relationships/hyperlink" Target="https://www.ti.com/lit/ds/symlink/lmr36506-q1.pdf" TargetMode="External"/><Relationship Id="rId227" Type="http://schemas.openxmlformats.org/officeDocument/2006/relationships/hyperlink" Target="https://www.mouser.ch/ProductDetail/Texas-Instruments/LMR36503MSC5RPERQ1?qs=DPoM0jnrROUnuES7mEeO0Q%3D%3D" TargetMode="External"/><Relationship Id="rId228" Type="http://schemas.openxmlformats.org/officeDocument/2006/relationships/hyperlink" Target="https://www.digikey.com/en/products/detail/texas-instruments/LMR36503MSC5RPERQ1/13280061" TargetMode="External"/><Relationship Id="rId229" Type="http://schemas.openxmlformats.org/officeDocument/2006/relationships/hyperlink" Target="https://www.tme.eu/en/details/lmr36503msc5rperq1/voltage-regulators-dc-dc-circuits/texas-instruments/" TargetMode="External"/><Relationship Id="rId230" Type="http://schemas.openxmlformats.org/officeDocument/2006/relationships/hyperlink" Target="https://www.ti.com/lit/ds/symlink/lp2992.pdf" TargetMode="External"/><Relationship Id="rId231" Type="http://schemas.openxmlformats.org/officeDocument/2006/relationships/hyperlink" Target="https://www.mouser.ch/ProductDetail/Texas-Instruments/LP2992IM5-3.3-NOPB?qs=1FNqv8aZn1SZ%252BHpEiwk63w%3D%3D" TargetMode="External"/><Relationship Id="rId232" Type="http://schemas.openxmlformats.org/officeDocument/2006/relationships/hyperlink" Target="https://www.digikey.com/en/products/detail/texas-instruments/LP2992IM5-3-3-NOPB/483035" TargetMode="External"/><Relationship Id="rId233" Type="http://schemas.openxmlformats.org/officeDocument/2006/relationships/hyperlink" Target="https://www.tme.eu/en/details/lp2992im5-3.3_nopb/ldo-unregulated-voltage-regulators/texas-instruments/" TargetMode="External"/><Relationship Id="rId234" Type="http://schemas.openxmlformats.org/officeDocument/2006/relationships/hyperlink" Target="https://www.ti.com/lit/ds/symlink/sn65hvd30.pdf" TargetMode="External"/><Relationship Id="rId235" Type="http://schemas.openxmlformats.org/officeDocument/2006/relationships/hyperlink" Target="https://www.mouser.ch/ProductDetail/Texas-Instruments/SN65HVD35DR?qs=QViXGNcIEAs%2FviEodT6PFQ%3D%3D" TargetMode="External"/><Relationship Id="rId236" Type="http://schemas.openxmlformats.org/officeDocument/2006/relationships/hyperlink" Target="https://www.digikey.com/en/products/detail/texas-instruments/SN65HVD35DR/863477" TargetMode="External"/><Relationship Id="rId237" Type="http://schemas.openxmlformats.org/officeDocument/2006/relationships/hyperlink" Target="https://www.tme.eu/en/details/sn65hvd35dr/rs232-rs422-rs485-integr-circ/texas-instruments/" TargetMode="External"/><Relationship Id="rId238" Type="http://schemas.openxmlformats.org/officeDocument/2006/relationships/hyperlink" Target="https://www.st.com/resource/en/datasheet/stm32g474re.pdf" TargetMode="External"/><Relationship Id="rId239" Type="http://schemas.openxmlformats.org/officeDocument/2006/relationships/hyperlink" Target="https://www.mouser.ch/ProductDetail/STMicroelectronics/STM32G474RET3?qs=xZ%2FP%252Ba9zWqYL6K%252Ba4ZBwGg%3D%3D" TargetMode="External"/><Relationship Id="rId240" Type="http://schemas.openxmlformats.org/officeDocument/2006/relationships/hyperlink" Target="https://www.digikey.com/en/products/detail/stmicroelectronics/STM32G474RET3/11590973" TargetMode="External"/><Relationship Id="rId241" Type="http://schemas.openxmlformats.org/officeDocument/2006/relationships/hyperlink" Target="https://www.tme.eu/en/details/stm32g474ret3/st-microcontrollers/stmicroelectronics/" TargetMode="External"/><Relationship Id="rId242" Type="http://schemas.openxmlformats.org/officeDocument/2006/relationships/hyperlink" Target="https://www.ti.com/general/docs/suppproductinfo.tsp?distId=10&amp;gotoUrl=https%3A%2F%2Fwww.ti.com%2Flit%2Fgpn%2Ftcan1051-q1" TargetMode="External"/><Relationship Id="rId243" Type="http://schemas.openxmlformats.org/officeDocument/2006/relationships/hyperlink" Target="https://www.mouser.ch/ProductDetail/Texas-Instruments/TCAN1051HGVDRBRQ1?qs=HXFqYaX1Q2xR%252Bfd0ySUCjA%3D%3D" TargetMode="External"/><Relationship Id="rId244" Type="http://schemas.openxmlformats.org/officeDocument/2006/relationships/hyperlink" Target="https://www.digikey.com/en/products/detail/texas-instruments/TCAN1051HGVDRBRQ1/8106053" TargetMode="External"/><Relationship Id="rId245" Type="http://schemas.openxmlformats.org/officeDocument/2006/relationships/hyperlink" Target="http://www.ti.com/lit/ds/symlink/tps62170.pdf" TargetMode="External"/><Relationship Id="rId246" Type="http://schemas.openxmlformats.org/officeDocument/2006/relationships/hyperlink" Target="https://www.mouser.ch/ProductDetail/Texas-Instruments/TPS62172DSGR?qs=gXEV9p%2FxLgd8QageKVLt1g%3D%3D" TargetMode="External"/><Relationship Id="rId247" Type="http://schemas.openxmlformats.org/officeDocument/2006/relationships/hyperlink" Target="https://www.digikey.com/en/products/detail/texas-instruments/TPS62172DSGR/2833456" TargetMode="External"/><Relationship Id="rId248" Type="http://schemas.openxmlformats.org/officeDocument/2006/relationships/hyperlink" Target="https://www.tme.eu/en/details/tps62172dsgr/voltage-regulators-dc-dc-circuits/texas-instruments/" TargetMode="External"/><Relationship Id="rId249" Type="http://schemas.openxmlformats.org/officeDocument/2006/relationships/hyperlink" Target="https://mouser.com/bom/" TargetMode="External"/><Relationship Id="rId250" Type="http://schemas.openxmlformats.org/officeDocument/2006/relationships/hyperlink" Target="https://www.digikey.com/ordering/shoppingcart" TargetMode="External"/><Relationship Id="rId251" Type="http://schemas.openxmlformats.org/officeDocument/2006/relationships/hyperlink" Target="https://www.tme.eu/en/Profile/QuickBuy/load.html" TargetMode="External"/><Relationship Id="rId252" Type="http://schemas.openxmlformats.org/officeDocument/2006/relationships/vmlDrawing" Target="../drawings/vmlDrawing1.vml"/><Relationship Id="rId25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N79"/>
  <sheetViews>
    <sheetView tabSelected="1" workbookViewId="0">
      <pane ySplit="8" topLeftCell="A9" activePane="bottomLeft" state="frozen"/>
      <selection pane="bottomLeft"/>
    </sheetView>
  </sheetViews>
  <sheetFormatPr defaultRowHeight="15"/>
  <cols>
    <col min="1" max="1" width="15.7109375" customWidth="1"/>
    <col min="2" max="2" width="60.7109375" customWidth="1"/>
    <col min="3" max="3" width="24.7109375" customWidth="1"/>
    <col min="4" max="4" width="60.7109375" customWidth="1"/>
    <col min="5" max="5" width="23.7109375" customWidth="1"/>
    <col min="6" max="6" width="55.7109375" customWidth="1"/>
    <col min="7" max="7" width="26.7109375" customWidth="1"/>
    <col min="8" max="8" width="16.7109375" customWidth="1"/>
    <col min="9" max="9" width="60.7109375" customWidth="1"/>
    <col min="10" max="10" width="34.7109375" customWidth="1"/>
    <col min="11" max="11" width="32.7109375" customWidth="1"/>
    <col min="12" max="12" width="38.7109375" customWidth="1"/>
    <col min="13" max="13" width="25.7109375" customWidth="1"/>
    <col min="14" max="14" width="22.7109375" customWidth="1"/>
  </cols>
  <sheetData>
    <row r="1" spans="1:14" ht="32" customHeight="1">
      <c r="A1" s="1" t="s">
        <v>556</v>
      </c>
      <c r="B1" s="1"/>
      <c r="C1" s="1"/>
      <c r="D1" s="1"/>
      <c r="E1" s="1"/>
      <c r="F1" s="1"/>
      <c r="G1" s="1"/>
      <c r="H1" s="1"/>
      <c r="I1" s="1"/>
      <c r="J1" s="1"/>
      <c r="K1" s="1"/>
      <c r="L1" s="1"/>
      <c r="M1" s="1"/>
      <c r="N1" s="1"/>
    </row>
    <row r="2" spans="1:14">
      <c r="A2" s="2" t="s">
        <v>557</v>
      </c>
      <c r="B2" s="3" t="s">
        <v>558</v>
      </c>
      <c r="C2" s="2" t="s">
        <v>567</v>
      </c>
      <c r="D2" s="3">
        <v>71</v>
      </c>
    </row>
    <row r="3" spans="1:14">
      <c r="A3" s="2" t="s">
        <v>559</v>
      </c>
      <c r="B3" s="3" t="s">
        <v>560</v>
      </c>
      <c r="C3" s="2" t="s">
        <v>568</v>
      </c>
      <c r="D3" s="3" t="s">
        <v>569</v>
      </c>
    </row>
    <row r="4" spans="1:14">
      <c r="A4" s="2" t="s">
        <v>561</v>
      </c>
      <c r="B4" s="3" t="s">
        <v>562</v>
      </c>
      <c r="C4" s="2" t="s">
        <v>570</v>
      </c>
      <c r="D4" s="3" t="s">
        <v>569</v>
      </c>
    </row>
    <row r="5" spans="1:14">
      <c r="A5" s="2" t="s">
        <v>563</v>
      </c>
      <c r="B5" s="3" t="s">
        <v>564</v>
      </c>
      <c r="C5" s="2" t="s">
        <v>571</v>
      </c>
      <c r="D5" s="3">
        <v>1</v>
      </c>
    </row>
    <row r="6" spans="1:14">
      <c r="A6" s="2" t="s">
        <v>565</v>
      </c>
      <c r="B6" s="3" t="s">
        <v>566</v>
      </c>
      <c r="C6" s="2" t="s">
        <v>572</v>
      </c>
      <c r="D6" s="3">
        <v>253</v>
      </c>
    </row>
    <row r="8" spans="1:14">
      <c r="A8" s="4" t="s">
        <v>0</v>
      </c>
      <c r="B8" s="4" t="s">
        <v>1</v>
      </c>
      <c r="C8" s="4" t="s">
        <v>2</v>
      </c>
      <c r="D8" s="4" t="s">
        <v>3</v>
      </c>
      <c r="E8" s="4" t="s">
        <v>4</v>
      </c>
      <c r="F8" s="4" t="s">
        <v>5</v>
      </c>
      <c r="G8" s="4" t="s">
        <v>6</v>
      </c>
      <c r="H8" s="4" t="s">
        <v>7</v>
      </c>
      <c r="I8" s="4" t="s">
        <v>8</v>
      </c>
      <c r="J8" s="4" t="s">
        <v>9</v>
      </c>
      <c r="K8" s="4" t="s">
        <v>10</v>
      </c>
      <c r="L8" s="4" t="s">
        <v>11</v>
      </c>
      <c r="M8" s="4" t="s">
        <v>12</v>
      </c>
      <c r="N8" s="4" t="s">
        <v>13</v>
      </c>
    </row>
    <row r="9" spans="1:14" ht="30" customHeight="1">
      <c r="A9" s="5" t="s">
        <v>14</v>
      </c>
      <c r="B9" s="6" t="s">
        <v>15</v>
      </c>
      <c r="C9" s="7" t="s">
        <v>16</v>
      </c>
      <c r="D9" s="7" t="s">
        <v>17</v>
      </c>
      <c r="E9" s="7" t="s">
        <v>18</v>
      </c>
      <c r="F9" s="7" t="s">
        <v>19</v>
      </c>
      <c r="G9" s="5" t="s">
        <v>20</v>
      </c>
      <c r="H9" s="5" t="s">
        <v>21</v>
      </c>
      <c r="I9" s="7" t="s">
        <v>22</v>
      </c>
      <c r="J9" s="6" t="s">
        <v>23</v>
      </c>
      <c r="K9" s="6" t="s">
        <v>24</v>
      </c>
      <c r="L9" s="6" t="s">
        <v>25</v>
      </c>
      <c r="M9" s="6" t="s">
        <v>26</v>
      </c>
      <c r="N9" s="8" t="s">
        <v>27</v>
      </c>
    </row>
    <row r="10" spans="1:14" ht="30" customHeight="1">
      <c r="A10" s="9" t="s">
        <v>28</v>
      </c>
      <c r="B10" s="10" t="s">
        <v>29</v>
      </c>
      <c r="C10" s="11" t="s">
        <v>16</v>
      </c>
      <c r="D10" s="11" t="s">
        <v>30</v>
      </c>
      <c r="E10" s="11" t="s">
        <v>31</v>
      </c>
      <c r="F10" s="11" t="s">
        <v>19</v>
      </c>
      <c r="G10" s="9" t="s">
        <v>32</v>
      </c>
      <c r="H10" s="9" t="s">
        <v>21</v>
      </c>
      <c r="I10" s="11" t="s">
        <v>33</v>
      </c>
      <c r="J10" s="10" t="s">
        <v>23</v>
      </c>
      <c r="K10" s="10" t="s">
        <v>34</v>
      </c>
      <c r="L10" s="10" t="s">
        <v>35</v>
      </c>
      <c r="M10" s="10" t="s">
        <v>36</v>
      </c>
      <c r="N10" s="10" t="s">
        <v>37</v>
      </c>
    </row>
    <row r="11" spans="1:14" ht="45" customHeight="1">
      <c r="A11" s="5" t="s">
        <v>20</v>
      </c>
      <c r="B11" s="6" t="s">
        <v>38</v>
      </c>
      <c r="C11" s="7" t="s">
        <v>16</v>
      </c>
      <c r="D11" s="7" t="s">
        <v>39</v>
      </c>
      <c r="E11" s="7" t="s">
        <v>40</v>
      </c>
      <c r="F11" s="7" t="s">
        <v>19</v>
      </c>
      <c r="G11" s="5" t="s">
        <v>14</v>
      </c>
      <c r="H11" s="5" t="s">
        <v>21</v>
      </c>
      <c r="I11" s="7" t="s">
        <v>41</v>
      </c>
      <c r="J11" s="6" t="s">
        <v>23</v>
      </c>
      <c r="K11" s="6" t="s">
        <v>42</v>
      </c>
      <c r="L11" s="6" t="s">
        <v>35</v>
      </c>
      <c r="M11" s="6" t="s">
        <v>43</v>
      </c>
      <c r="N11" s="8" t="s">
        <v>27</v>
      </c>
    </row>
    <row r="12" spans="1:14" ht="30" customHeight="1">
      <c r="A12" s="9" t="s">
        <v>44</v>
      </c>
      <c r="B12" s="10" t="s">
        <v>45</v>
      </c>
      <c r="C12" s="11" t="s">
        <v>16</v>
      </c>
      <c r="D12" s="11" t="s">
        <v>46</v>
      </c>
      <c r="E12" s="11" t="s">
        <v>47</v>
      </c>
      <c r="F12" s="11" t="s">
        <v>19</v>
      </c>
      <c r="G12" s="9" t="s">
        <v>14</v>
      </c>
      <c r="H12" s="9" t="s">
        <v>21</v>
      </c>
      <c r="I12" s="11" t="s">
        <v>48</v>
      </c>
      <c r="J12" s="10" t="s">
        <v>23</v>
      </c>
      <c r="K12" s="10" t="s">
        <v>49</v>
      </c>
      <c r="L12" s="10" t="s">
        <v>50</v>
      </c>
      <c r="M12" s="10" t="s">
        <v>51</v>
      </c>
      <c r="N12" s="12" t="s">
        <v>27</v>
      </c>
    </row>
    <row r="13" spans="1:14" ht="30" customHeight="1">
      <c r="A13" s="5" t="s">
        <v>52</v>
      </c>
      <c r="B13" s="6" t="s">
        <v>53</v>
      </c>
      <c r="C13" s="7" t="s">
        <v>16</v>
      </c>
      <c r="D13" s="7" t="s">
        <v>54</v>
      </c>
      <c r="E13" s="7" t="s">
        <v>55</v>
      </c>
      <c r="F13" s="7" t="s">
        <v>56</v>
      </c>
      <c r="G13" s="5" t="s">
        <v>14</v>
      </c>
      <c r="H13" s="5" t="s">
        <v>21</v>
      </c>
      <c r="I13" s="7" t="s">
        <v>57</v>
      </c>
      <c r="J13" s="6" t="s">
        <v>23</v>
      </c>
      <c r="K13" s="6" t="s">
        <v>58</v>
      </c>
      <c r="L13" s="6" t="s">
        <v>59</v>
      </c>
      <c r="M13" s="6" t="s">
        <v>60</v>
      </c>
      <c r="N13" s="8" t="s">
        <v>27</v>
      </c>
    </row>
    <row r="14" spans="1:14" ht="30" customHeight="1">
      <c r="A14" s="9" t="s">
        <v>32</v>
      </c>
      <c r="B14" s="10" t="s">
        <v>61</v>
      </c>
      <c r="C14" s="11" t="s">
        <v>16</v>
      </c>
      <c r="D14" s="11" t="s">
        <v>62</v>
      </c>
      <c r="E14" s="11" t="s">
        <v>63</v>
      </c>
      <c r="F14" s="11" t="s">
        <v>19</v>
      </c>
      <c r="G14" s="9" t="s">
        <v>64</v>
      </c>
      <c r="H14" s="9" t="s">
        <v>21</v>
      </c>
      <c r="I14" s="11" t="s">
        <v>65</v>
      </c>
      <c r="J14" s="10" t="s">
        <v>23</v>
      </c>
      <c r="K14" s="10" t="s">
        <v>66</v>
      </c>
      <c r="L14" s="10" t="s">
        <v>35</v>
      </c>
      <c r="M14" s="10" t="s">
        <v>67</v>
      </c>
      <c r="N14" s="12" t="s">
        <v>27</v>
      </c>
    </row>
    <row r="15" spans="1:14" ht="30" customHeight="1">
      <c r="A15" s="5" t="s">
        <v>68</v>
      </c>
      <c r="B15" s="6" t="s">
        <v>69</v>
      </c>
      <c r="C15" s="7" t="s">
        <v>70</v>
      </c>
      <c r="D15" s="7" t="s">
        <v>71</v>
      </c>
      <c r="E15" s="7" t="s">
        <v>72</v>
      </c>
      <c r="F15" s="7" t="s">
        <v>56</v>
      </c>
      <c r="G15" s="5" t="s">
        <v>28</v>
      </c>
      <c r="H15" s="5" t="s">
        <v>21</v>
      </c>
      <c r="I15" s="7" t="s">
        <v>73</v>
      </c>
      <c r="J15" s="6" t="s">
        <v>23</v>
      </c>
      <c r="K15" s="6" t="s">
        <v>74</v>
      </c>
      <c r="L15" s="6" t="s">
        <v>50</v>
      </c>
      <c r="M15" s="6" t="s">
        <v>75</v>
      </c>
      <c r="N15" s="8" t="s">
        <v>27</v>
      </c>
    </row>
    <row r="16" spans="1:14" ht="30" customHeight="1">
      <c r="A16" s="9" t="s">
        <v>76</v>
      </c>
      <c r="B16" s="10" t="s">
        <v>77</v>
      </c>
      <c r="C16" s="11" t="s">
        <v>16</v>
      </c>
      <c r="D16" s="11" t="s">
        <v>78</v>
      </c>
      <c r="E16" s="11" t="s">
        <v>79</v>
      </c>
      <c r="F16" s="11" t="s">
        <v>19</v>
      </c>
      <c r="G16" s="9" t="s">
        <v>14</v>
      </c>
      <c r="H16" s="9" t="s">
        <v>21</v>
      </c>
      <c r="I16" s="11" t="s">
        <v>80</v>
      </c>
      <c r="J16" s="10" t="s">
        <v>23</v>
      </c>
      <c r="K16" s="10" t="s">
        <v>81</v>
      </c>
      <c r="L16" s="10" t="s">
        <v>35</v>
      </c>
      <c r="M16" s="10" t="s">
        <v>82</v>
      </c>
      <c r="N16" s="12" t="s">
        <v>27</v>
      </c>
    </row>
    <row r="17" spans="1:14" ht="30" customHeight="1">
      <c r="A17" s="5" t="s">
        <v>83</v>
      </c>
      <c r="B17" s="6" t="s">
        <v>84</v>
      </c>
      <c r="C17" s="7" t="s">
        <v>16</v>
      </c>
      <c r="D17" s="7" t="s">
        <v>85</v>
      </c>
      <c r="E17" s="7" t="s">
        <v>72</v>
      </c>
      <c r="F17" s="7" t="s">
        <v>86</v>
      </c>
      <c r="G17" s="5" t="s">
        <v>20</v>
      </c>
      <c r="H17" s="5" t="s">
        <v>21</v>
      </c>
      <c r="I17" s="7" t="s">
        <v>87</v>
      </c>
      <c r="J17" s="6" t="s">
        <v>23</v>
      </c>
      <c r="K17" s="6" t="s">
        <v>88</v>
      </c>
      <c r="L17" s="6" t="s">
        <v>59</v>
      </c>
      <c r="M17" s="6" t="s">
        <v>89</v>
      </c>
      <c r="N17" s="8" t="s">
        <v>27</v>
      </c>
    </row>
    <row r="18" spans="1:14" ht="30" customHeight="1">
      <c r="A18" s="9" t="s">
        <v>90</v>
      </c>
      <c r="B18" s="10" t="s">
        <v>91</v>
      </c>
      <c r="C18" s="11" t="s">
        <v>16</v>
      </c>
      <c r="D18" s="11" t="s">
        <v>92</v>
      </c>
      <c r="E18" s="11" t="s">
        <v>93</v>
      </c>
      <c r="F18" s="11" t="s">
        <v>56</v>
      </c>
      <c r="G18" s="9" t="s">
        <v>28</v>
      </c>
      <c r="H18" s="9" t="s">
        <v>21</v>
      </c>
      <c r="I18" s="11" t="s">
        <v>94</v>
      </c>
      <c r="J18" s="10" t="s">
        <v>23</v>
      </c>
      <c r="K18" s="10" t="s">
        <v>95</v>
      </c>
      <c r="L18" s="10" t="s">
        <v>50</v>
      </c>
      <c r="M18" s="10" t="s">
        <v>96</v>
      </c>
      <c r="N18" s="12" t="s">
        <v>27</v>
      </c>
    </row>
    <row r="19" spans="1:14" ht="30" customHeight="1">
      <c r="A19" s="5" t="s">
        <v>97</v>
      </c>
      <c r="B19" s="6" t="s">
        <v>98</v>
      </c>
      <c r="C19" s="7" t="s">
        <v>70</v>
      </c>
      <c r="D19" s="7" t="s">
        <v>99</v>
      </c>
      <c r="E19" s="7" t="s">
        <v>100</v>
      </c>
      <c r="F19" s="7" t="s">
        <v>19</v>
      </c>
      <c r="G19" s="5" t="s">
        <v>52</v>
      </c>
      <c r="H19" s="5" t="s">
        <v>21</v>
      </c>
      <c r="I19" s="7" t="s">
        <v>101</v>
      </c>
      <c r="J19" s="6" t="s">
        <v>23</v>
      </c>
      <c r="K19" s="6" t="s">
        <v>102</v>
      </c>
      <c r="L19" s="6" t="s">
        <v>35</v>
      </c>
      <c r="M19" s="6" t="s">
        <v>103</v>
      </c>
      <c r="N19" s="8" t="s">
        <v>27</v>
      </c>
    </row>
    <row r="20" spans="1:14" ht="30" customHeight="1">
      <c r="A20" s="9" t="s">
        <v>104</v>
      </c>
      <c r="B20" s="10" t="s">
        <v>105</v>
      </c>
      <c r="C20" s="11" t="s">
        <v>70</v>
      </c>
      <c r="D20" s="11" t="s">
        <v>106</v>
      </c>
      <c r="E20" s="11" t="s">
        <v>107</v>
      </c>
      <c r="F20" s="11" t="s">
        <v>56</v>
      </c>
      <c r="G20" s="9" t="s">
        <v>20</v>
      </c>
      <c r="H20" s="9" t="s">
        <v>21</v>
      </c>
      <c r="I20" s="11" t="s">
        <v>108</v>
      </c>
      <c r="J20" s="10" t="s">
        <v>23</v>
      </c>
      <c r="K20" s="10" t="s">
        <v>109</v>
      </c>
      <c r="L20" s="10" t="s">
        <v>50</v>
      </c>
      <c r="M20" s="10" t="s">
        <v>110</v>
      </c>
      <c r="N20" s="12" t="s">
        <v>27</v>
      </c>
    </row>
    <row r="21" spans="1:14" ht="30" customHeight="1">
      <c r="A21" s="5" t="s">
        <v>111</v>
      </c>
      <c r="B21" s="6" t="s">
        <v>112</v>
      </c>
      <c r="C21" s="7" t="s">
        <v>70</v>
      </c>
      <c r="D21" s="7" t="s">
        <v>113</v>
      </c>
      <c r="E21" s="7" t="s">
        <v>114</v>
      </c>
      <c r="F21" s="7" t="s">
        <v>19</v>
      </c>
      <c r="G21" s="5" t="s">
        <v>14</v>
      </c>
      <c r="H21" s="5" t="s">
        <v>21</v>
      </c>
      <c r="I21" s="7" t="s">
        <v>115</v>
      </c>
      <c r="J21" s="6" t="s">
        <v>23</v>
      </c>
      <c r="K21" s="6" t="s">
        <v>116</v>
      </c>
      <c r="L21" s="6" t="s">
        <v>35</v>
      </c>
      <c r="M21" s="6" t="s">
        <v>117</v>
      </c>
      <c r="N21" s="8" t="s">
        <v>27</v>
      </c>
    </row>
    <row r="22" spans="1:14" ht="30" customHeight="1">
      <c r="A22" s="9" t="s">
        <v>118</v>
      </c>
      <c r="B22" s="10" t="s">
        <v>119</v>
      </c>
      <c r="C22" s="11" t="s">
        <v>70</v>
      </c>
      <c r="D22" s="11" t="s">
        <v>120</v>
      </c>
      <c r="E22" s="11" t="s">
        <v>121</v>
      </c>
      <c r="F22" s="11" t="s">
        <v>122</v>
      </c>
      <c r="G22" s="9" t="s">
        <v>68</v>
      </c>
      <c r="H22" s="9" t="s">
        <v>21</v>
      </c>
      <c r="I22" s="11" t="s">
        <v>123</v>
      </c>
      <c r="J22" s="10" t="s">
        <v>124</v>
      </c>
      <c r="K22" s="10" t="s">
        <v>125</v>
      </c>
      <c r="L22" s="10" t="s">
        <v>126</v>
      </c>
      <c r="M22" s="10" t="s">
        <v>127</v>
      </c>
      <c r="N22" s="12" t="s">
        <v>27</v>
      </c>
    </row>
    <row r="23" spans="1:14" ht="30" customHeight="1">
      <c r="A23" s="5" t="s">
        <v>128</v>
      </c>
      <c r="B23" s="6" t="s">
        <v>129</v>
      </c>
      <c r="C23" s="7" t="s">
        <v>70</v>
      </c>
      <c r="D23" s="7" t="s">
        <v>130</v>
      </c>
      <c r="E23" s="7" t="s">
        <v>131</v>
      </c>
      <c r="F23" s="7" t="s">
        <v>56</v>
      </c>
      <c r="G23" s="5" t="s">
        <v>20</v>
      </c>
      <c r="H23" s="5" t="s">
        <v>21</v>
      </c>
      <c r="I23" s="7" t="s">
        <v>132</v>
      </c>
      <c r="J23" s="6" t="s">
        <v>23</v>
      </c>
      <c r="K23" s="6" t="s">
        <v>133</v>
      </c>
      <c r="L23" s="6" t="s">
        <v>35</v>
      </c>
      <c r="M23" s="6" t="s">
        <v>134</v>
      </c>
      <c r="N23" s="8" t="s">
        <v>27</v>
      </c>
    </row>
    <row r="24" spans="1:14" ht="30" customHeight="1">
      <c r="A24" s="9" t="s">
        <v>135</v>
      </c>
      <c r="B24" s="10" t="s">
        <v>136</v>
      </c>
      <c r="C24" s="11" t="s">
        <v>70</v>
      </c>
      <c r="D24" s="11" t="s">
        <v>137</v>
      </c>
      <c r="E24" s="11" t="s">
        <v>138</v>
      </c>
      <c r="F24" s="11" t="s">
        <v>86</v>
      </c>
      <c r="G24" s="9" t="s">
        <v>44</v>
      </c>
      <c r="H24" s="9" t="s">
        <v>21</v>
      </c>
      <c r="I24" s="11" t="s">
        <v>139</v>
      </c>
      <c r="J24" s="10" t="s">
        <v>23</v>
      </c>
      <c r="K24" s="10" t="s">
        <v>140</v>
      </c>
      <c r="L24" s="10" t="s">
        <v>35</v>
      </c>
      <c r="M24" s="10" t="s">
        <v>141</v>
      </c>
      <c r="N24" s="12" t="s">
        <v>27</v>
      </c>
    </row>
    <row r="25" spans="1:14" ht="60" customHeight="1">
      <c r="A25" s="5" t="s">
        <v>142</v>
      </c>
      <c r="B25" s="6" t="s">
        <v>136</v>
      </c>
      <c r="C25" s="7" t="s">
        <v>70</v>
      </c>
      <c r="D25" s="7" t="s">
        <v>143</v>
      </c>
      <c r="E25" s="7" t="s">
        <v>138</v>
      </c>
      <c r="F25" s="7" t="s">
        <v>144</v>
      </c>
      <c r="G25" s="5" t="s">
        <v>145</v>
      </c>
      <c r="H25" s="5" t="s">
        <v>21</v>
      </c>
      <c r="I25" s="7" t="s">
        <v>139</v>
      </c>
      <c r="J25" s="6" t="s">
        <v>23</v>
      </c>
      <c r="K25" s="6" t="s">
        <v>140</v>
      </c>
      <c r="L25" s="6" t="s">
        <v>35</v>
      </c>
      <c r="M25" s="6" t="s">
        <v>141</v>
      </c>
      <c r="N25" s="8" t="s">
        <v>27</v>
      </c>
    </row>
    <row r="26" spans="1:14">
      <c r="A26" s="9" t="s">
        <v>146</v>
      </c>
      <c r="B26" s="10" t="s">
        <v>147</v>
      </c>
      <c r="C26" s="11" t="s">
        <v>70</v>
      </c>
      <c r="D26" s="11" t="s">
        <v>148</v>
      </c>
      <c r="E26" s="11" t="s">
        <v>149</v>
      </c>
      <c r="F26" s="11" t="s">
        <v>19</v>
      </c>
      <c r="G26" s="9" t="s">
        <v>14</v>
      </c>
      <c r="H26" s="9" t="s">
        <v>21</v>
      </c>
      <c r="I26" s="11" t="s">
        <v>150</v>
      </c>
      <c r="J26" s="10" t="s">
        <v>23</v>
      </c>
      <c r="K26" s="10" t="s">
        <v>151</v>
      </c>
      <c r="L26" s="10" t="s">
        <v>152</v>
      </c>
      <c r="M26" s="10" t="s">
        <v>153</v>
      </c>
      <c r="N26" s="12" t="s">
        <v>27</v>
      </c>
    </row>
    <row r="27" spans="1:14" ht="30" customHeight="1">
      <c r="A27" s="5" t="s">
        <v>154</v>
      </c>
      <c r="B27" s="6" t="s">
        <v>155</v>
      </c>
      <c r="C27" s="7" t="s">
        <v>70</v>
      </c>
      <c r="D27" s="7" t="s">
        <v>156</v>
      </c>
      <c r="E27" s="7" t="s">
        <v>157</v>
      </c>
      <c r="F27" s="7" t="s">
        <v>158</v>
      </c>
      <c r="G27" s="5" t="s">
        <v>28</v>
      </c>
      <c r="H27" s="5" t="s">
        <v>21</v>
      </c>
      <c r="I27" s="7" t="s">
        <v>159</v>
      </c>
      <c r="J27" s="6" t="s">
        <v>23</v>
      </c>
      <c r="K27" s="6" t="s">
        <v>160</v>
      </c>
      <c r="L27" s="6" t="s">
        <v>35</v>
      </c>
      <c r="M27" s="6" t="s">
        <v>161</v>
      </c>
      <c r="N27" s="8" t="s">
        <v>27</v>
      </c>
    </row>
    <row r="28" spans="1:14" ht="30" customHeight="1">
      <c r="A28" s="9" t="s">
        <v>162</v>
      </c>
      <c r="B28" s="10" t="s">
        <v>163</v>
      </c>
      <c r="C28" s="11" t="s">
        <v>70</v>
      </c>
      <c r="D28" s="11" t="s">
        <v>164</v>
      </c>
      <c r="E28" s="11" t="s">
        <v>165</v>
      </c>
      <c r="F28" s="11" t="s">
        <v>166</v>
      </c>
      <c r="G28" s="9" t="s">
        <v>28</v>
      </c>
      <c r="H28" s="9" t="s">
        <v>21</v>
      </c>
      <c r="I28" s="11" t="s">
        <v>167</v>
      </c>
      <c r="J28" s="10" t="s">
        <v>23</v>
      </c>
      <c r="K28" s="10" t="s">
        <v>168</v>
      </c>
      <c r="L28" s="10" t="s">
        <v>126</v>
      </c>
      <c r="M28" s="10" t="s">
        <v>169</v>
      </c>
      <c r="N28" s="12" t="s">
        <v>27</v>
      </c>
    </row>
    <row r="29" spans="1:14" ht="30" customHeight="1">
      <c r="A29" s="5" t="s">
        <v>170</v>
      </c>
      <c r="B29" s="6" t="s">
        <v>171</v>
      </c>
      <c r="C29" s="7" t="s">
        <v>70</v>
      </c>
      <c r="D29" s="7" t="s">
        <v>172</v>
      </c>
      <c r="E29" s="7" t="s">
        <v>173</v>
      </c>
      <c r="F29" s="7" t="s">
        <v>158</v>
      </c>
      <c r="G29" s="5" t="s">
        <v>28</v>
      </c>
      <c r="H29" s="5" t="s">
        <v>21</v>
      </c>
      <c r="I29" s="7" t="s">
        <v>174</v>
      </c>
      <c r="J29" s="6" t="s">
        <v>23</v>
      </c>
      <c r="K29" s="6" t="s">
        <v>175</v>
      </c>
      <c r="L29" s="6" t="s">
        <v>35</v>
      </c>
      <c r="M29" s="6" t="s">
        <v>176</v>
      </c>
      <c r="N29" s="8" t="s">
        <v>27</v>
      </c>
    </row>
    <row r="30" spans="1:14" ht="30" customHeight="1">
      <c r="A30" s="9" t="s">
        <v>177</v>
      </c>
      <c r="B30" s="10" t="s">
        <v>178</v>
      </c>
      <c r="C30" s="11" t="s">
        <v>16</v>
      </c>
      <c r="D30" s="11" t="s">
        <v>179</v>
      </c>
      <c r="E30" s="11" t="s">
        <v>180</v>
      </c>
      <c r="F30" s="11" t="s">
        <v>56</v>
      </c>
      <c r="G30" s="9" t="s">
        <v>20</v>
      </c>
      <c r="H30" s="9" t="s">
        <v>21</v>
      </c>
      <c r="I30" s="11" t="s">
        <v>181</v>
      </c>
      <c r="J30" s="10" t="s">
        <v>23</v>
      </c>
      <c r="K30" s="10" t="s">
        <v>182</v>
      </c>
      <c r="L30" s="10" t="s">
        <v>59</v>
      </c>
      <c r="M30" s="10" t="s">
        <v>183</v>
      </c>
      <c r="N30" s="12" t="s">
        <v>27</v>
      </c>
    </row>
    <row r="31" spans="1:14" ht="45" customHeight="1">
      <c r="A31" s="5" t="s">
        <v>184</v>
      </c>
      <c r="B31" s="6" t="s">
        <v>185</v>
      </c>
      <c r="C31" s="7" t="s">
        <v>186</v>
      </c>
      <c r="D31" s="7" t="s">
        <v>187</v>
      </c>
      <c r="E31" s="7" t="s">
        <v>186</v>
      </c>
      <c r="F31" s="7" t="s">
        <v>188</v>
      </c>
      <c r="G31" s="5" t="s">
        <v>128</v>
      </c>
      <c r="H31" s="5" t="s">
        <v>21</v>
      </c>
      <c r="I31" s="7" t="s">
        <v>189</v>
      </c>
      <c r="J31" s="6" t="s">
        <v>23</v>
      </c>
      <c r="K31" s="6" t="s">
        <v>190</v>
      </c>
      <c r="L31" s="6" t="s">
        <v>191</v>
      </c>
      <c r="M31" s="6" t="s">
        <v>186</v>
      </c>
      <c r="N31" s="8" t="s">
        <v>27</v>
      </c>
    </row>
    <row r="32" spans="1:14" ht="30" customHeight="1">
      <c r="A32" s="9" t="s">
        <v>192</v>
      </c>
      <c r="B32" s="10" t="s">
        <v>193</v>
      </c>
      <c r="C32" s="11" t="s">
        <v>194</v>
      </c>
      <c r="D32" s="11" t="s">
        <v>195</v>
      </c>
      <c r="E32" s="11" t="s">
        <v>194</v>
      </c>
      <c r="F32" s="11" t="s">
        <v>196</v>
      </c>
      <c r="G32" s="9" t="s">
        <v>28</v>
      </c>
      <c r="H32" s="9" t="s">
        <v>21</v>
      </c>
      <c r="I32" s="11" t="s">
        <v>197</v>
      </c>
      <c r="J32" s="10" t="s">
        <v>23</v>
      </c>
      <c r="K32" s="10" t="s">
        <v>198</v>
      </c>
      <c r="L32" s="10" t="s">
        <v>199</v>
      </c>
      <c r="M32" s="10" t="s">
        <v>194</v>
      </c>
      <c r="N32" s="12" t="s">
        <v>27</v>
      </c>
    </row>
    <row r="33" spans="1:14" ht="30" customHeight="1">
      <c r="A33" s="5" t="s">
        <v>200</v>
      </c>
      <c r="B33" s="6" t="s">
        <v>201</v>
      </c>
      <c r="C33" s="7" t="s">
        <v>202</v>
      </c>
      <c r="D33" s="7" t="s">
        <v>203</v>
      </c>
      <c r="E33" s="7" t="s">
        <v>204</v>
      </c>
      <c r="F33" s="7" t="s">
        <v>205</v>
      </c>
      <c r="G33" s="5" t="s">
        <v>14</v>
      </c>
      <c r="H33" s="5" t="s">
        <v>21</v>
      </c>
      <c r="I33" s="7" t="s">
        <v>206</v>
      </c>
      <c r="J33" s="6" t="s">
        <v>23</v>
      </c>
      <c r="K33" s="6" t="s">
        <v>207</v>
      </c>
      <c r="L33" s="6" t="s">
        <v>208</v>
      </c>
      <c r="M33" s="6" t="s">
        <v>209</v>
      </c>
      <c r="N33" s="8" t="s">
        <v>27</v>
      </c>
    </row>
    <row r="34" spans="1:14" ht="30" customHeight="1">
      <c r="A34" s="9" t="s">
        <v>64</v>
      </c>
      <c r="B34" s="10" t="s">
        <v>210</v>
      </c>
      <c r="C34" s="11" t="s">
        <v>211</v>
      </c>
      <c r="D34" s="11" t="s">
        <v>212</v>
      </c>
      <c r="E34" s="11" t="s">
        <v>211</v>
      </c>
      <c r="F34" s="11" t="s">
        <v>213</v>
      </c>
      <c r="G34" s="9" t="s">
        <v>28</v>
      </c>
      <c r="H34" s="9" t="s">
        <v>21</v>
      </c>
      <c r="I34" s="11" t="s">
        <v>214</v>
      </c>
      <c r="J34" s="10" t="s">
        <v>23</v>
      </c>
      <c r="K34" s="10" t="s">
        <v>215</v>
      </c>
      <c r="L34" s="10" t="s">
        <v>216</v>
      </c>
      <c r="M34" s="10" t="s">
        <v>211</v>
      </c>
      <c r="N34" s="12" t="s">
        <v>27</v>
      </c>
    </row>
    <row r="35" spans="1:14" ht="30" customHeight="1">
      <c r="A35" s="5" t="s">
        <v>217</v>
      </c>
      <c r="B35" s="6" t="s">
        <v>218</v>
      </c>
      <c r="C35" s="7" t="s">
        <v>219</v>
      </c>
      <c r="D35" s="7" t="s">
        <v>220</v>
      </c>
      <c r="E35" s="7" t="s">
        <v>219</v>
      </c>
      <c r="F35" s="7" t="s">
        <v>221</v>
      </c>
      <c r="G35" s="5" t="s">
        <v>28</v>
      </c>
      <c r="H35" s="5" t="s">
        <v>21</v>
      </c>
      <c r="I35" s="7" t="s">
        <v>222</v>
      </c>
      <c r="J35" s="6" t="s">
        <v>23</v>
      </c>
      <c r="K35" s="6" t="s">
        <v>223</v>
      </c>
      <c r="L35" s="6" t="s">
        <v>216</v>
      </c>
      <c r="M35" s="6" t="s">
        <v>219</v>
      </c>
      <c r="N35" s="8" t="s">
        <v>27</v>
      </c>
    </row>
    <row r="36" spans="1:14" ht="30" customHeight="1">
      <c r="A36" s="9" t="s">
        <v>224</v>
      </c>
      <c r="B36" s="10" t="s">
        <v>225</v>
      </c>
      <c r="C36" s="11" t="s">
        <v>226</v>
      </c>
      <c r="D36" s="11" t="s">
        <v>227</v>
      </c>
      <c r="E36" s="11" t="s">
        <v>226</v>
      </c>
      <c r="F36" s="11" t="s">
        <v>221</v>
      </c>
      <c r="G36" s="9" t="s">
        <v>28</v>
      </c>
      <c r="H36" s="9" t="s">
        <v>21</v>
      </c>
      <c r="I36" s="11" t="s">
        <v>228</v>
      </c>
      <c r="J36" s="10" t="s">
        <v>23</v>
      </c>
      <c r="K36" s="10" t="s">
        <v>229</v>
      </c>
      <c r="L36" s="10" t="s">
        <v>216</v>
      </c>
      <c r="M36" s="10" t="s">
        <v>226</v>
      </c>
      <c r="N36" s="12" t="s">
        <v>27</v>
      </c>
    </row>
    <row r="37" spans="1:14">
      <c r="A37" s="5" t="s">
        <v>230</v>
      </c>
      <c r="B37" s="6" t="s">
        <v>231</v>
      </c>
      <c r="C37" s="7" t="s">
        <v>232</v>
      </c>
      <c r="D37" s="7" t="s">
        <v>233</v>
      </c>
      <c r="E37" s="7" t="s">
        <v>232</v>
      </c>
      <c r="F37" s="7" t="s">
        <v>234</v>
      </c>
      <c r="G37" s="5" t="s">
        <v>28</v>
      </c>
      <c r="H37" s="5" t="s">
        <v>21</v>
      </c>
      <c r="I37" s="7" t="s">
        <v>235</v>
      </c>
      <c r="J37" s="6" t="s">
        <v>23</v>
      </c>
      <c r="K37" s="6" t="s">
        <v>236</v>
      </c>
      <c r="L37" s="6" t="s">
        <v>237</v>
      </c>
      <c r="M37" s="6" t="s">
        <v>232</v>
      </c>
      <c r="N37" s="8" t="s">
        <v>27</v>
      </c>
    </row>
    <row r="38" spans="1:14" ht="30" customHeight="1">
      <c r="A38" s="9" t="s">
        <v>238</v>
      </c>
      <c r="B38" s="10" t="s">
        <v>239</v>
      </c>
      <c r="C38" s="11" t="s">
        <v>202</v>
      </c>
      <c r="D38" s="11" t="s">
        <v>240</v>
      </c>
      <c r="E38" s="11" t="s">
        <v>241</v>
      </c>
      <c r="F38" s="11" t="s">
        <v>205</v>
      </c>
      <c r="G38" s="9" t="s">
        <v>14</v>
      </c>
      <c r="H38" s="9" t="s">
        <v>21</v>
      </c>
      <c r="I38" s="11" t="s">
        <v>242</v>
      </c>
      <c r="J38" s="10" t="s">
        <v>23</v>
      </c>
      <c r="K38" s="10" t="s">
        <v>243</v>
      </c>
      <c r="L38" s="10" t="s">
        <v>208</v>
      </c>
      <c r="M38" s="10" t="s">
        <v>244</v>
      </c>
      <c r="N38" s="12" t="s">
        <v>27</v>
      </c>
    </row>
    <row r="39" spans="1:14" ht="30" customHeight="1">
      <c r="A39" s="5" t="s">
        <v>245</v>
      </c>
      <c r="B39" s="6" t="s">
        <v>246</v>
      </c>
      <c r="C39" s="7" t="s">
        <v>247</v>
      </c>
      <c r="D39" s="7" t="s">
        <v>248</v>
      </c>
      <c r="E39" s="7" t="s">
        <v>249</v>
      </c>
      <c r="F39" s="7" t="s">
        <v>122</v>
      </c>
      <c r="G39" s="5" t="s">
        <v>44</v>
      </c>
      <c r="H39" s="5" t="s">
        <v>21</v>
      </c>
      <c r="I39" s="7" t="s">
        <v>250</v>
      </c>
      <c r="J39" s="6" t="s">
        <v>23</v>
      </c>
      <c r="K39" s="6" t="s">
        <v>251</v>
      </c>
      <c r="L39" s="6" t="s">
        <v>252</v>
      </c>
      <c r="M39" s="6" t="s">
        <v>253</v>
      </c>
      <c r="N39" s="8" t="s">
        <v>27</v>
      </c>
    </row>
    <row r="40" spans="1:14" ht="30" customHeight="1">
      <c r="A40" s="9" t="s">
        <v>254</v>
      </c>
      <c r="B40" s="10" t="s">
        <v>255</v>
      </c>
      <c r="C40" s="11" t="s">
        <v>256</v>
      </c>
      <c r="D40" s="11" t="s">
        <v>257</v>
      </c>
      <c r="E40" s="11" t="s">
        <v>258</v>
      </c>
      <c r="F40" s="11" t="s">
        <v>259</v>
      </c>
      <c r="G40" s="9" t="s">
        <v>28</v>
      </c>
      <c r="H40" s="9" t="s">
        <v>21</v>
      </c>
      <c r="I40" s="11" t="s">
        <v>260</v>
      </c>
      <c r="J40" s="10" t="s">
        <v>23</v>
      </c>
      <c r="K40" s="10" t="s">
        <v>261</v>
      </c>
      <c r="L40" s="10" t="s">
        <v>262</v>
      </c>
      <c r="M40" s="10" t="s">
        <v>259</v>
      </c>
      <c r="N40" s="12" t="s">
        <v>27</v>
      </c>
    </row>
    <row r="41" spans="1:14" ht="30" customHeight="1">
      <c r="A41" s="5" t="s">
        <v>263</v>
      </c>
      <c r="B41" s="6" t="s">
        <v>264</v>
      </c>
      <c r="C41" s="7" t="s">
        <v>265</v>
      </c>
      <c r="D41" s="7" t="s">
        <v>266</v>
      </c>
      <c r="E41" s="7" t="s">
        <v>267</v>
      </c>
      <c r="F41" s="7" t="s">
        <v>268</v>
      </c>
      <c r="G41" s="5" t="s">
        <v>28</v>
      </c>
      <c r="H41" s="5" t="s">
        <v>21</v>
      </c>
      <c r="I41" s="7" t="s">
        <v>269</v>
      </c>
      <c r="J41" s="6" t="s">
        <v>23</v>
      </c>
      <c r="K41" s="6" t="s">
        <v>270</v>
      </c>
      <c r="L41" s="6" t="s">
        <v>271</v>
      </c>
      <c r="M41" s="6" t="s">
        <v>267</v>
      </c>
      <c r="N41" s="8" t="s">
        <v>27</v>
      </c>
    </row>
    <row r="42" spans="1:14" ht="30" customHeight="1">
      <c r="A42" s="9" t="s">
        <v>272</v>
      </c>
      <c r="B42" s="10" t="s">
        <v>273</v>
      </c>
      <c r="C42" s="11" t="s">
        <v>274</v>
      </c>
      <c r="D42" s="11" t="s">
        <v>275</v>
      </c>
      <c r="E42" s="11" t="s">
        <v>276</v>
      </c>
      <c r="F42" s="11" t="s">
        <v>277</v>
      </c>
      <c r="G42" s="9" t="s">
        <v>14</v>
      </c>
      <c r="H42" s="9" t="s">
        <v>21</v>
      </c>
      <c r="I42" s="11" t="s">
        <v>278</v>
      </c>
      <c r="J42" s="10" t="s">
        <v>23</v>
      </c>
      <c r="K42" s="10" t="s">
        <v>279</v>
      </c>
      <c r="L42" s="10" t="s">
        <v>271</v>
      </c>
      <c r="M42" s="10" t="s">
        <v>276</v>
      </c>
      <c r="N42" s="12" t="s">
        <v>27</v>
      </c>
    </row>
    <row r="43" spans="1:14" ht="30" customHeight="1">
      <c r="A43" s="5" t="s">
        <v>280</v>
      </c>
      <c r="B43" s="6" t="s">
        <v>281</v>
      </c>
      <c r="C43" s="7" t="s">
        <v>282</v>
      </c>
      <c r="D43" s="7" t="s">
        <v>283</v>
      </c>
      <c r="E43" s="7" t="s">
        <v>284</v>
      </c>
      <c r="F43" s="7" t="s">
        <v>285</v>
      </c>
      <c r="G43" s="5" t="s">
        <v>14</v>
      </c>
      <c r="H43" s="5" t="s">
        <v>21</v>
      </c>
      <c r="I43" s="7" t="s">
        <v>278</v>
      </c>
      <c r="J43" s="6" t="s">
        <v>23</v>
      </c>
      <c r="K43" s="6" t="s">
        <v>286</v>
      </c>
      <c r="L43" s="6" t="s">
        <v>271</v>
      </c>
      <c r="M43" s="6" t="s">
        <v>284</v>
      </c>
      <c r="N43" s="8" t="s">
        <v>27</v>
      </c>
    </row>
    <row r="44" spans="1:14" ht="30" customHeight="1">
      <c r="A44" s="9" t="s">
        <v>287</v>
      </c>
      <c r="B44" s="10" t="s">
        <v>288</v>
      </c>
      <c r="C44" s="11" t="s">
        <v>289</v>
      </c>
      <c r="D44" s="11" t="s">
        <v>290</v>
      </c>
      <c r="E44" s="11" t="s">
        <v>291</v>
      </c>
      <c r="F44" s="11" t="s">
        <v>292</v>
      </c>
      <c r="G44" s="9" t="s">
        <v>14</v>
      </c>
      <c r="H44" s="9" t="s">
        <v>21</v>
      </c>
      <c r="I44" s="11" t="s">
        <v>278</v>
      </c>
      <c r="J44" s="10" t="s">
        <v>23</v>
      </c>
      <c r="K44" s="10" t="s">
        <v>293</v>
      </c>
      <c r="L44" s="10" t="s">
        <v>271</v>
      </c>
      <c r="M44" s="10" t="s">
        <v>294</v>
      </c>
      <c r="N44" s="12" t="s">
        <v>27</v>
      </c>
    </row>
    <row r="45" spans="1:14" ht="30" customHeight="1">
      <c r="A45" s="5" t="s">
        <v>295</v>
      </c>
      <c r="B45" s="6" t="s">
        <v>296</v>
      </c>
      <c r="C45" s="7" t="s">
        <v>297</v>
      </c>
      <c r="D45" s="7" t="s">
        <v>298</v>
      </c>
      <c r="E45" s="7" t="s">
        <v>299</v>
      </c>
      <c r="F45" s="7" t="s">
        <v>300</v>
      </c>
      <c r="G45" s="5" t="s">
        <v>14</v>
      </c>
      <c r="H45" s="5" t="s">
        <v>21</v>
      </c>
      <c r="I45" s="7" t="s">
        <v>278</v>
      </c>
      <c r="J45" s="6" t="s">
        <v>23</v>
      </c>
      <c r="K45" s="6" t="s">
        <v>301</v>
      </c>
      <c r="L45" s="6" t="s">
        <v>271</v>
      </c>
      <c r="M45" s="6" t="s">
        <v>299</v>
      </c>
      <c r="N45" s="8" t="s">
        <v>27</v>
      </c>
    </row>
    <row r="46" spans="1:14" ht="30" customHeight="1">
      <c r="A46" s="9" t="s">
        <v>302</v>
      </c>
      <c r="B46" s="10" t="s">
        <v>303</v>
      </c>
      <c r="C46" s="11" t="s">
        <v>265</v>
      </c>
      <c r="D46" s="11" t="s">
        <v>304</v>
      </c>
      <c r="E46" s="11" t="s">
        <v>305</v>
      </c>
      <c r="F46" s="11" t="s">
        <v>306</v>
      </c>
      <c r="G46" s="9" t="s">
        <v>14</v>
      </c>
      <c r="H46" s="9" t="s">
        <v>21</v>
      </c>
      <c r="I46" s="11" t="s">
        <v>307</v>
      </c>
      <c r="J46" s="10" t="s">
        <v>308</v>
      </c>
      <c r="K46" s="10" t="s">
        <v>305</v>
      </c>
      <c r="L46" s="10" t="s">
        <v>309</v>
      </c>
      <c r="M46" s="10" t="s">
        <v>305</v>
      </c>
      <c r="N46" s="10" t="s">
        <v>310</v>
      </c>
    </row>
    <row r="47" spans="1:14" ht="30" customHeight="1">
      <c r="A47" s="5" t="s">
        <v>311</v>
      </c>
      <c r="B47" s="6" t="s">
        <v>312</v>
      </c>
      <c r="C47" s="7" t="s">
        <v>265</v>
      </c>
      <c r="D47" s="7" t="s">
        <v>313</v>
      </c>
      <c r="E47" s="7" t="s">
        <v>314</v>
      </c>
      <c r="F47" s="7" t="s">
        <v>315</v>
      </c>
      <c r="G47" s="5" t="s">
        <v>14</v>
      </c>
      <c r="H47" s="5" t="s">
        <v>21</v>
      </c>
      <c r="I47" s="7" t="s">
        <v>316</v>
      </c>
      <c r="J47" s="6" t="s">
        <v>308</v>
      </c>
      <c r="K47" s="6" t="s">
        <v>314</v>
      </c>
      <c r="L47" s="6" t="s">
        <v>309</v>
      </c>
      <c r="M47" s="6" t="s">
        <v>314</v>
      </c>
      <c r="N47" s="6" t="s">
        <v>310</v>
      </c>
    </row>
    <row r="48" spans="1:14" ht="30" customHeight="1">
      <c r="A48" s="9" t="s">
        <v>317</v>
      </c>
      <c r="B48" s="10" t="s">
        <v>318</v>
      </c>
      <c r="C48" s="11" t="s">
        <v>319</v>
      </c>
      <c r="D48" s="11" t="s">
        <v>320</v>
      </c>
      <c r="E48" s="11" t="s">
        <v>321</v>
      </c>
      <c r="F48" s="11" t="s">
        <v>322</v>
      </c>
      <c r="G48" s="9" t="s">
        <v>14</v>
      </c>
      <c r="H48" s="9" t="s">
        <v>21</v>
      </c>
      <c r="I48" s="11" t="s">
        <v>323</v>
      </c>
      <c r="J48" s="10" t="s">
        <v>124</v>
      </c>
      <c r="K48" s="10" t="s">
        <v>324</v>
      </c>
      <c r="L48" s="10" t="s">
        <v>325</v>
      </c>
      <c r="M48" s="10" t="s">
        <v>326</v>
      </c>
      <c r="N48" s="12" t="s">
        <v>27</v>
      </c>
    </row>
    <row r="49" spans="1:14" ht="30" customHeight="1">
      <c r="A49" s="5" t="s">
        <v>327</v>
      </c>
      <c r="B49" s="6" t="s">
        <v>328</v>
      </c>
      <c r="C49" s="7" t="s">
        <v>319</v>
      </c>
      <c r="D49" s="7" t="s">
        <v>329</v>
      </c>
      <c r="E49" s="7" t="s">
        <v>330</v>
      </c>
      <c r="F49" s="7" t="s">
        <v>331</v>
      </c>
      <c r="G49" s="5" t="s">
        <v>28</v>
      </c>
      <c r="H49" s="5" t="s">
        <v>21</v>
      </c>
      <c r="I49" s="7" t="s">
        <v>332</v>
      </c>
      <c r="J49" s="6" t="s">
        <v>124</v>
      </c>
      <c r="K49" s="6" t="s">
        <v>333</v>
      </c>
      <c r="L49" s="6" t="s">
        <v>325</v>
      </c>
      <c r="M49" s="6" t="s">
        <v>334</v>
      </c>
      <c r="N49" s="8" t="s">
        <v>27</v>
      </c>
    </row>
    <row r="50" spans="1:14" ht="30" customHeight="1">
      <c r="A50" s="9" t="s">
        <v>335</v>
      </c>
      <c r="B50" s="10" t="s">
        <v>336</v>
      </c>
      <c r="C50" s="11" t="s">
        <v>337</v>
      </c>
      <c r="D50" s="11" t="s">
        <v>338</v>
      </c>
      <c r="E50" s="11" t="s">
        <v>337</v>
      </c>
      <c r="F50" s="11" t="s">
        <v>339</v>
      </c>
      <c r="G50" s="9" t="s">
        <v>20</v>
      </c>
      <c r="H50" s="9" t="s">
        <v>21</v>
      </c>
      <c r="I50" s="11" t="s">
        <v>340</v>
      </c>
      <c r="J50" s="10" t="s">
        <v>23</v>
      </c>
      <c r="K50" s="10" t="s">
        <v>341</v>
      </c>
      <c r="L50" s="10" t="s">
        <v>216</v>
      </c>
      <c r="M50" s="10" t="s">
        <v>337</v>
      </c>
      <c r="N50" s="12" t="s">
        <v>27</v>
      </c>
    </row>
    <row r="51" spans="1:14" ht="30" customHeight="1">
      <c r="A51" s="5" t="s">
        <v>342</v>
      </c>
      <c r="B51" s="6" t="s">
        <v>343</v>
      </c>
      <c r="C51" s="7" t="s">
        <v>344</v>
      </c>
      <c r="D51" s="7" t="s">
        <v>345</v>
      </c>
      <c r="E51" s="7" t="s">
        <v>344</v>
      </c>
      <c r="F51" s="7" t="s">
        <v>346</v>
      </c>
      <c r="G51" s="5" t="s">
        <v>32</v>
      </c>
      <c r="H51" s="5" t="s">
        <v>21</v>
      </c>
      <c r="I51" s="7" t="s">
        <v>347</v>
      </c>
      <c r="J51" s="6" t="s">
        <v>23</v>
      </c>
      <c r="K51" s="6" t="s">
        <v>348</v>
      </c>
      <c r="L51" s="6" t="s">
        <v>349</v>
      </c>
      <c r="M51" s="6" t="s">
        <v>344</v>
      </c>
      <c r="N51" s="8" t="s">
        <v>27</v>
      </c>
    </row>
    <row r="52" spans="1:14" ht="30" customHeight="1">
      <c r="A52" s="9" t="s">
        <v>350</v>
      </c>
      <c r="B52" s="10" t="s">
        <v>351</v>
      </c>
      <c r="C52" s="11" t="s">
        <v>352</v>
      </c>
      <c r="D52" s="11" t="s">
        <v>353</v>
      </c>
      <c r="E52" s="11" t="s">
        <v>354</v>
      </c>
      <c r="F52" s="11" t="s">
        <v>355</v>
      </c>
      <c r="G52" s="9" t="s">
        <v>20</v>
      </c>
      <c r="H52" s="9" t="s">
        <v>21</v>
      </c>
      <c r="I52" s="11" t="s">
        <v>356</v>
      </c>
      <c r="J52" s="10" t="s">
        <v>23</v>
      </c>
      <c r="K52" s="10" t="s">
        <v>357</v>
      </c>
      <c r="L52" s="10" t="s">
        <v>358</v>
      </c>
      <c r="M52" s="10" t="s">
        <v>355</v>
      </c>
      <c r="N52" s="12" t="s">
        <v>27</v>
      </c>
    </row>
    <row r="53" spans="1:14" ht="30" customHeight="1">
      <c r="A53" s="5" t="s">
        <v>359</v>
      </c>
      <c r="B53" s="6" t="s">
        <v>360</v>
      </c>
      <c r="C53" s="7" t="s">
        <v>361</v>
      </c>
      <c r="D53" s="7" t="s">
        <v>362</v>
      </c>
      <c r="E53" s="7" t="s">
        <v>363</v>
      </c>
      <c r="F53" s="7" t="s">
        <v>364</v>
      </c>
      <c r="G53" s="5" t="s">
        <v>20</v>
      </c>
      <c r="H53" s="5" t="s">
        <v>21</v>
      </c>
      <c r="I53" s="7" t="s">
        <v>365</v>
      </c>
      <c r="J53" s="6" t="s">
        <v>23</v>
      </c>
      <c r="K53" s="6" t="s">
        <v>366</v>
      </c>
      <c r="L53" s="6" t="s">
        <v>367</v>
      </c>
      <c r="M53" s="6" t="s">
        <v>368</v>
      </c>
      <c r="N53" s="8" t="s">
        <v>27</v>
      </c>
    </row>
    <row r="54" spans="1:14" ht="30" customHeight="1">
      <c r="A54" s="9" t="s">
        <v>369</v>
      </c>
      <c r="B54" s="10" t="s">
        <v>370</v>
      </c>
      <c r="C54" s="11" t="s">
        <v>352</v>
      </c>
      <c r="D54" s="11" t="s">
        <v>371</v>
      </c>
      <c r="E54" s="11" t="s">
        <v>363</v>
      </c>
      <c r="F54" s="11" t="s">
        <v>372</v>
      </c>
      <c r="G54" s="9" t="s">
        <v>14</v>
      </c>
      <c r="H54" s="9" t="s">
        <v>21</v>
      </c>
      <c r="I54" s="11" t="s">
        <v>373</v>
      </c>
      <c r="J54" s="10" t="s">
        <v>23</v>
      </c>
      <c r="K54" s="10" t="s">
        <v>374</v>
      </c>
      <c r="L54" s="10" t="s">
        <v>237</v>
      </c>
      <c r="M54" s="10" t="s">
        <v>375</v>
      </c>
      <c r="N54" s="12" t="s">
        <v>27</v>
      </c>
    </row>
    <row r="55" spans="1:14" ht="30" customHeight="1">
      <c r="A55" s="5" t="s">
        <v>376</v>
      </c>
      <c r="B55" s="6" t="s">
        <v>377</v>
      </c>
      <c r="C55" s="7" t="s">
        <v>352</v>
      </c>
      <c r="D55" s="7" t="s">
        <v>378</v>
      </c>
      <c r="E55" s="7" t="s">
        <v>379</v>
      </c>
      <c r="F55" s="7" t="s">
        <v>372</v>
      </c>
      <c r="G55" s="5" t="s">
        <v>32</v>
      </c>
      <c r="H55" s="5" t="s">
        <v>21</v>
      </c>
      <c r="I55" s="7" t="s">
        <v>380</v>
      </c>
      <c r="J55" s="6" t="s">
        <v>23</v>
      </c>
      <c r="K55" s="6" t="s">
        <v>381</v>
      </c>
      <c r="L55" s="6" t="s">
        <v>358</v>
      </c>
      <c r="M55" s="6" t="s">
        <v>382</v>
      </c>
      <c r="N55" s="6" t="s">
        <v>37</v>
      </c>
    </row>
    <row r="56" spans="1:14" ht="30" customHeight="1">
      <c r="A56" s="9" t="s">
        <v>383</v>
      </c>
      <c r="B56" s="10" t="s">
        <v>384</v>
      </c>
      <c r="C56" s="11" t="s">
        <v>352</v>
      </c>
      <c r="D56" s="11" t="s">
        <v>385</v>
      </c>
      <c r="E56" s="11" t="s">
        <v>386</v>
      </c>
      <c r="F56" s="11" t="s">
        <v>122</v>
      </c>
      <c r="G56" s="9" t="s">
        <v>32</v>
      </c>
      <c r="H56" s="9" t="s">
        <v>21</v>
      </c>
      <c r="I56" s="11" t="s">
        <v>373</v>
      </c>
      <c r="J56" s="10" t="s">
        <v>23</v>
      </c>
      <c r="K56" s="10" t="s">
        <v>387</v>
      </c>
      <c r="L56" s="10" t="s">
        <v>237</v>
      </c>
      <c r="M56" s="10" t="s">
        <v>388</v>
      </c>
      <c r="N56" s="12" t="s">
        <v>27</v>
      </c>
    </row>
    <row r="57" spans="1:14" ht="30" customHeight="1">
      <c r="A57" s="5" t="s">
        <v>389</v>
      </c>
      <c r="B57" s="6" t="s">
        <v>390</v>
      </c>
      <c r="C57" s="7" t="s">
        <v>352</v>
      </c>
      <c r="D57" s="7" t="s">
        <v>391</v>
      </c>
      <c r="E57" s="7" t="s">
        <v>392</v>
      </c>
      <c r="F57" s="7" t="s">
        <v>372</v>
      </c>
      <c r="G57" s="5" t="s">
        <v>14</v>
      </c>
      <c r="H57" s="5" t="s">
        <v>21</v>
      </c>
      <c r="I57" s="7" t="s">
        <v>373</v>
      </c>
      <c r="J57" s="6" t="s">
        <v>23</v>
      </c>
      <c r="K57" s="6" t="s">
        <v>393</v>
      </c>
      <c r="L57" s="6" t="s">
        <v>237</v>
      </c>
      <c r="M57" s="6" t="s">
        <v>394</v>
      </c>
      <c r="N57" s="8" t="s">
        <v>27</v>
      </c>
    </row>
    <row r="58" spans="1:14" ht="30" customHeight="1">
      <c r="A58" s="9" t="s">
        <v>145</v>
      </c>
      <c r="B58" s="10" t="s">
        <v>395</v>
      </c>
      <c r="C58" s="11" t="s">
        <v>352</v>
      </c>
      <c r="D58" s="11" t="s">
        <v>396</v>
      </c>
      <c r="E58" s="11" t="s">
        <v>397</v>
      </c>
      <c r="F58" s="11" t="s">
        <v>364</v>
      </c>
      <c r="G58" s="9" t="s">
        <v>20</v>
      </c>
      <c r="H58" s="9" t="s">
        <v>21</v>
      </c>
      <c r="I58" s="11" t="s">
        <v>398</v>
      </c>
      <c r="J58" s="10" t="s">
        <v>23</v>
      </c>
      <c r="K58" s="10" t="s">
        <v>399</v>
      </c>
      <c r="L58" s="10" t="s">
        <v>367</v>
      </c>
      <c r="M58" s="10" t="s">
        <v>400</v>
      </c>
      <c r="N58" s="12" t="s">
        <v>27</v>
      </c>
    </row>
    <row r="59" spans="1:14" ht="30" customHeight="1">
      <c r="A59" s="5" t="s">
        <v>401</v>
      </c>
      <c r="B59" s="6" t="s">
        <v>402</v>
      </c>
      <c r="C59" s="7" t="s">
        <v>352</v>
      </c>
      <c r="D59" s="7" t="s">
        <v>403</v>
      </c>
      <c r="E59" s="7" t="s">
        <v>404</v>
      </c>
      <c r="F59" s="7" t="s">
        <v>372</v>
      </c>
      <c r="G59" s="5" t="s">
        <v>28</v>
      </c>
      <c r="H59" s="5" t="s">
        <v>21</v>
      </c>
      <c r="I59" s="7" t="s">
        <v>405</v>
      </c>
      <c r="J59" s="6" t="s">
        <v>23</v>
      </c>
      <c r="K59" s="6" t="s">
        <v>406</v>
      </c>
      <c r="L59" s="6" t="s">
        <v>407</v>
      </c>
      <c r="M59" s="6" t="s">
        <v>408</v>
      </c>
      <c r="N59" s="8" t="s">
        <v>27</v>
      </c>
    </row>
    <row r="60" spans="1:14" ht="30" customHeight="1">
      <c r="A60" s="9" t="s">
        <v>409</v>
      </c>
      <c r="B60" s="10" t="s">
        <v>410</v>
      </c>
      <c r="C60" s="11" t="s">
        <v>352</v>
      </c>
      <c r="D60" s="11" t="s">
        <v>411</v>
      </c>
      <c r="E60" s="11" t="s">
        <v>412</v>
      </c>
      <c r="F60" s="11" t="s">
        <v>364</v>
      </c>
      <c r="G60" s="9" t="s">
        <v>118</v>
      </c>
      <c r="H60" s="9" t="s">
        <v>21</v>
      </c>
      <c r="I60" s="11" t="s">
        <v>413</v>
      </c>
      <c r="J60" s="10" t="s">
        <v>23</v>
      </c>
      <c r="K60" s="10" t="s">
        <v>414</v>
      </c>
      <c r="L60" s="10" t="s">
        <v>237</v>
      </c>
      <c r="M60" s="10" t="s">
        <v>415</v>
      </c>
      <c r="N60" s="12" t="s">
        <v>27</v>
      </c>
    </row>
    <row r="61" spans="1:14" ht="30" customHeight="1">
      <c r="A61" s="5" t="s">
        <v>416</v>
      </c>
      <c r="B61" s="6" t="s">
        <v>417</v>
      </c>
      <c r="C61" s="7" t="s">
        <v>352</v>
      </c>
      <c r="D61" s="7" t="s">
        <v>418</v>
      </c>
      <c r="E61" s="7" t="s">
        <v>419</v>
      </c>
      <c r="F61" s="7" t="s">
        <v>364</v>
      </c>
      <c r="G61" s="5" t="s">
        <v>14</v>
      </c>
      <c r="H61" s="5" t="s">
        <v>21</v>
      </c>
      <c r="I61" s="7" t="s">
        <v>373</v>
      </c>
      <c r="J61" s="6" t="s">
        <v>23</v>
      </c>
      <c r="K61" s="6" t="s">
        <v>420</v>
      </c>
      <c r="L61" s="6" t="s">
        <v>237</v>
      </c>
      <c r="M61" s="6" t="s">
        <v>421</v>
      </c>
      <c r="N61" s="8" t="s">
        <v>27</v>
      </c>
    </row>
    <row r="62" spans="1:14" ht="30" customHeight="1">
      <c r="A62" s="9" t="s">
        <v>422</v>
      </c>
      <c r="B62" s="10" t="s">
        <v>423</v>
      </c>
      <c r="C62" s="11" t="s">
        <v>361</v>
      </c>
      <c r="D62" s="11" t="s">
        <v>424</v>
      </c>
      <c r="E62" s="11" t="s">
        <v>425</v>
      </c>
      <c r="F62" s="11" t="s">
        <v>364</v>
      </c>
      <c r="G62" s="9" t="s">
        <v>68</v>
      </c>
      <c r="H62" s="9" t="s">
        <v>21</v>
      </c>
      <c r="I62" s="11" t="s">
        <v>398</v>
      </c>
      <c r="J62" s="10" t="s">
        <v>23</v>
      </c>
      <c r="K62" s="10" t="s">
        <v>426</v>
      </c>
      <c r="L62" s="10" t="s">
        <v>237</v>
      </c>
      <c r="M62" s="10" t="s">
        <v>427</v>
      </c>
      <c r="N62" s="12" t="s">
        <v>27</v>
      </c>
    </row>
    <row r="63" spans="1:14" ht="30" customHeight="1">
      <c r="A63" s="5" t="s">
        <v>428</v>
      </c>
      <c r="B63" s="6" t="s">
        <v>429</v>
      </c>
      <c r="C63" s="7" t="s">
        <v>361</v>
      </c>
      <c r="D63" s="7" t="s">
        <v>430</v>
      </c>
      <c r="E63" s="7" t="s">
        <v>431</v>
      </c>
      <c r="F63" s="7" t="s">
        <v>364</v>
      </c>
      <c r="G63" s="5" t="s">
        <v>14</v>
      </c>
      <c r="H63" s="5" t="s">
        <v>21</v>
      </c>
      <c r="I63" s="7" t="s">
        <v>432</v>
      </c>
      <c r="J63" s="6" t="s">
        <v>23</v>
      </c>
      <c r="K63" s="6" t="s">
        <v>433</v>
      </c>
      <c r="L63" s="6" t="s">
        <v>25</v>
      </c>
      <c r="M63" s="6" t="s">
        <v>434</v>
      </c>
      <c r="N63" s="8" t="s">
        <v>27</v>
      </c>
    </row>
    <row r="64" spans="1:14" ht="30" customHeight="1">
      <c r="A64" s="9" t="s">
        <v>435</v>
      </c>
      <c r="B64" s="10" t="s">
        <v>436</v>
      </c>
      <c r="C64" s="11" t="s">
        <v>361</v>
      </c>
      <c r="D64" s="11" t="s">
        <v>437</v>
      </c>
      <c r="E64" s="11" t="s">
        <v>438</v>
      </c>
      <c r="F64" s="11" t="s">
        <v>364</v>
      </c>
      <c r="G64" s="9" t="s">
        <v>14</v>
      </c>
      <c r="H64" s="9" t="s">
        <v>21</v>
      </c>
      <c r="I64" s="11" t="s">
        <v>432</v>
      </c>
      <c r="J64" s="10" t="s">
        <v>23</v>
      </c>
      <c r="K64" s="10" t="s">
        <v>439</v>
      </c>
      <c r="L64" s="10" t="s">
        <v>25</v>
      </c>
      <c r="M64" s="10" t="s">
        <v>440</v>
      </c>
      <c r="N64" s="12" t="s">
        <v>27</v>
      </c>
    </row>
    <row r="65" spans="1:14" ht="30" customHeight="1">
      <c r="A65" s="5" t="s">
        <v>441</v>
      </c>
      <c r="B65" s="6" t="s">
        <v>442</v>
      </c>
      <c r="C65" s="7" t="s">
        <v>361</v>
      </c>
      <c r="D65" s="7" t="s">
        <v>443</v>
      </c>
      <c r="E65" s="7" t="s">
        <v>444</v>
      </c>
      <c r="F65" s="7" t="s">
        <v>364</v>
      </c>
      <c r="G65" s="5" t="s">
        <v>20</v>
      </c>
      <c r="H65" s="5" t="s">
        <v>21</v>
      </c>
      <c r="I65" s="7" t="s">
        <v>432</v>
      </c>
      <c r="J65" s="6" t="s">
        <v>23</v>
      </c>
      <c r="K65" s="6" t="s">
        <v>445</v>
      </c>
      <c r="L65" s="6" t="s">
        <v>25</v>
      </c>
      <c r="M65" s="6" t="s">
        <v>446</v>
      </c>
      <c r="N65" s="8" t="s">
        <v>27</v>
      </c>
    </row>
    <row r="66" spans="1:14" ht="30" customHeight="1">
      <c r="A66" s="9" t="s">
        <v>447</v>
      </c>
      <c r="B66" s="10" t="s">
        <v>448</v>
      </c>
      <c r="C66" s="11" t="s">
        <v>361</v>
      </c>
      <c r="D66" s="11" t="s">
        <v>449</v>
      </c>
      <c r="E66" s="11" t="s">
        <v>450</v>
      </c>
      <c r="F66" s="11" t="s">
        <v>364</v>
      </c>
      <c r="G66" s="9" t="s">
        <v>32</v>
      </c>
      <c r="H66" s="9" t="s">
        <v>21</v>
      </c>
      <c r="I66" s="11" t="s">
        <v>432</v>
      </c>
      <c r="J66" s="10" t="s">
        <v>23</v>
      </c>
      <c r="K66" s="10" t="s">
        <v>451</v>
      </c>
      <c r="L66" s="10" t="s">
        <v>25</v>
      </c>
      <c r="M66" s="10" t="s">
        <v>452</v>
      </c>
      <c r="N66" s="12" t="s">
        <v>27</v>
      </c>
    </row>
    <row r="67" spans="1:14" ht="30" customHeight="1">
      <c r="A67" s="5" t="s">
        <v>453</v>
      </c>
      <c r="B67" s="6" t="s">
        <v>454</v>
      </c>
      <c r="C67" s="7" t="s">
        <v>455</v>
      </c>
      <c r="D67" s="7" t="s">
        <v>456</v>
      </c>
      <c r="E67" s="7" t="s">
        <v>457</v>
      </c>
      <c r="F67" s="7" t="s">
        <v>458</v>
      </c>
      <c r="G67" s="5" t="s">
        <v>14</v>
      </c>
      <c r="H67" s="5" t="s">
        <v>21</v>
      </c>
      <c r="I67" s="7" t="s">
        <v>459</v>
      </c>
      <c r="J67" s="6" t="s">
        <v>23</v>
      </c>
      <c r="K67" s="6" t="s">
        <v>460</v>
      </c>
      <c r="L67" s="6" t="s">
        <v>461</v>
      </c>
      <c r="M67" s="6" t="s">
        <v>457</v>
      </c>
      <c r="N67" s="8" t="s">
        <v>27</v>
      </c>
    </row>
    <row r="68" spans="1:14" ht="30" customHeight="1">
      <c r="A68" s="9" t="s">
        <v>462</v>
      </c>
      <c r="B68" s="10" t="s">
        <v>463</v>
      </c>
      <c r="C68" s="11" t="s">
        <v>464</v>
      </c>
      <c r="D68" s="11" t="s">
        <v>465</v>
      </c>
      <c r="E68" s="11" t="s">
        <v>466</v>
      </c>
      <c r="F68" s="11" t="s">
        <v>364</v>
      </c>
      <c r="G68" s="9" t="s">
        <v>14</v>
      </c>
      <c r="H68" s="9" t="s">
        <v>21</v>
      </c>
      <c r="I68" s="11" t="s">
        <v>467</v>
      </c>
      <c r="J68" s="10" t="s">
        <v>23</v>
      </c>
      <c r="K68" s="10" t="s">
        <v>468</v>
      </c>
      <c r="L68" s="10" t="s">
        <v>35</v>
      </c>
      <c r="M68" s="10" t="s">
        <v>469</v>
      </c>
      <c r="N68" s="12" t="s">
        <v>27</v>
      </c>
    </row>
    <row r="69" spans="1:14" ht="45" customHeight="1">
      <c r="A69" s="5" t="s">
        <v>470</v>
      </c>
      <c r="B69" s="6" t="s">
        <v>471</v>
      </c>
      <c r="C69" s="7" t="s">
        <v>472</v>
      </c>
      <c r="D69" s="7" t="s">
        <v>473</v>
      </c>
      <c r="E69" s="7" t="s">
        <v>472</v>
      </c>
      <c r="F69" s="7" t="s">
        <v>474</v>
      </c>
      <c r="G69" s="5" t="s">
        <v>14</v>
      </c>
      <c r="H69" s="5" t="s">
        <v>21</v>
      </c>
      <c r="I69" s="7" t="s">
        <v>475</v>
      </c>
      <c r="J69" s="6" t="s">
        <v>23</v>
      </c>
      <c r="K69" s="6" t="s">
        <v>476</v>
      </c>
      <c r="L69" s="6" t="s">
        <v>477</v>
      </c>
      <c r="M69" s="6" t="s">
        <v>478</v>
      </c>
      <c r="N69" s="8" t="s">
        <v>27</v>
      </c>
    </row>
    <row r="70" spans="1:14" ht="30" customHeight="1">
      <c r="A70" s="9" t="s">
        <v>479</v>
      </c>
      <c r="B70" s="10" t="s">
        <v>480</v>
      </c>
      <c r="C70" s="11" t="s">
        <v>481</v>
      </c>
      <c r="D70" s="11" t="s">
        <v>482</v>
      </c>
      <c r="E70" s="11" t="s">
        <v>481</v>
      </c>
      <c r="F70" s="11" t="s">
        <v>474</v>
      </c>
      <c r="G70" s="9" t="s">
        <v>14</v>
      </c>
      <c r="H70" s="9" t="s">
        <v>21</v>
      </c>
      <c r="I70" s="11" t="s">
        <v>483</v>
      </c>
      <c r="J70" s="10" t="s">
        <v>23</v>
      </c>
      <c r="K70" s="10" t="s">
        <v>484</v>
      </c>
      <c r="L70" s="10" t="s">
        <v>477</v>
      </c>
      <c r="M70" s="10" t="s">
        <v>485</v>
      </c>
      <c r="N70" s="12" t="s">
        <v>27</v>
      </c>
    </row>
    <row r="71" spans="1:14">
      <c r="A71" s="5" t="s">
        <v>486</v>
      </c>
      <c r="B71" s="6" t="s">
        <v>487</v>
      </c>
      <c r="C71" s="7" t="s">
        <v>488</v>
      </c>
      <c r="D71" s="7" t="s">
        <v>489</v>
      </c>
      <c r="E71" s="7" t="s">
        <v>488</v>
      </c>
      <c r="F71" s="7" t="s">
        <v>490</v>
      </c>
      <c r="G71" s="5" t="s">
        <v>14</v>
      </c>
      <c r="H71" s="5" t="s">
        <v>21</v>
      </c>
      <c r="I71" s="7" t="s">
        <v>491</v>
      </c>
      <c r="J71" s="6" t="s">
        <v>23</v>
      </c>
      <c r="K71" s="6" t="s">
        <v>492</v>
      </c>
      <c r="L71" s="6" t="s">
        <v>493</v>
      </c>
      <c r="M71" s="6" t="s">
        <v>488</v>
      </c>
      <c r="N71" s="8" t="s">
        <v>27</v>
      </c>
    </row>
    <row r="72" spans="1:14">
      <c r="A72" s="9" t="s">
        <v>494</v>
      </c>
      <c r="B72" s="10" t="s">
        <v>495</v>
      </c>
      <c r="C72" s="11" t="s">
        <v>496</v>
      </c>
      <c r="D72" s="11" t="s">
        <v>497</v>
      </c>
      <c r="E72" s="11" t="s">
        <v>496</v>
      </c>
      <c r="F72" s="11" t="s">
        <v>498</v>
      </c>
      <c r="G72" s="9" t="s">
        <v>14</v>
      </c>
      <c r="H72" s="9" t="s">
        <v>21</v>
      </c>
      <c r="I72" s="11" t="s">
        <v>499</v>
      </c>
      <c r="J72" s="10" t="s">
        <v>23</v>
      </c>
      <c r="K72" s="10" t="s">
        <v>500</v>
      </c>
      <c r="L72" s="10" t="s">
        <v>501</v>
      </c>
      <c r="M72" s="10" t="s">
        <v>502</v>
      </c>
      <c r="N72" s="12" t="s">
        <v>27</v>
      </c>
    </row>
    <row r="73" spans="1:14" ht="30" customHeight="1">
      <c r="A73" s="5" t="s">
        <v>503</v>
      </c>
      <c r="B73" s="6" t="s">
        <v>504</v>
      </c>
      <c r="C73" s="7" t="s">
        <v>505</v>
      </c>
      <c r="D73" s="7" t="s">
        <v>506</v>
      </c>
      <c r="E73" s="7" t="s">
        <v>505</v>
      </c>
      <c r="F73" s="7" t="s">
        <v>507</v>
      </c>
      <c r="G73" s="5" t="s">
        <v>14</v>
      </c>
      <c r="H73" s="5" t="s">
        <v>21</v>
      </c>
      <c r="I73" s="7" t="s">
        <v>508</v>
      </c>
      <c r="J73" s="6" t="s">
        <v>23</v>
      </c>
      <c r="K73" s="6" t="s">
        <v>509</v>
      </c>
      <c r="L73" s="6" t="s">
        <v>501</v>
      </c>
      <c r="M73" s="6" t="s">
        <v>510</v>
      </c>
      <c r="N73" s="8" t="s">
        <v>27</v>
      </c>
    </row>
    <row r="74" spans="1:14" ht="30" customHeight="1">
      <c r="A74" s="9" t="s">
        <v>511</v>
      </c>
      <c r="B74" s="10" t="s">
        <v>512</v>
      </c>
      <c r="C74" s="11" t="s">
        <v>513</v>
      </c>
      <c r="D74" s="11" t="s">
        <v>514</v>
      </c>
      <c r="E74" s="11" t="s">
        <v>513</v>
      </c>
      <c r="F74" s="11" t="s">
        <v>515</v>
      </c>
      <c r="G74" s="9" t="s">
        <v>14</v>
      </c>
      <c r="H74" s="9" t="s">
        <v>21</v>
      </c>
      <c r="I74" s="11" t="s">
        <v>516</v>
      </c>
      <c r="J74" s="10" t="s">
        <v>23</v>
      </c>
      <c r="K74" s="10" t="s">
        <v>517</v>
      </c>
      <c r="L74" s="10" t="s">
        <v>501</v>
      </c>
      <c r="M74" s="10" t="s">
        <v>518</v>
      </c>
      <c r="N74" s="12" t="s">
        <v>27</v>
      </c>
    </row>
    <row r="75" spans="1:14" ht="45" customHeight="1">
      <c r="A75" s="5" t="s">
        <v>519</v>
      </c>
      <c r="B75" s="6" t="s">
        <v>520</v>
      </c>
      <c r="C75" s="7" t="s">
        <v>521</v>
      </c>
      <c r="D75" s="7" t="s">
        <v>522</v>
      </c>
      <c r="E75" s="7" t="s">
        <v>521</v>
      </c>
      <c r="F75" s="7" t="s">
        <v>523</v>
      </c>
      <c r="G75" s="5" t="s">
        <v>14</v>
      </c>
      <c r="H75" s="5" t="s">
        <v>21</v>
      </c>
      <c r="I75" s="7" t="s">
        <v>524</v>
      </c>
      <c r="J75" s="6" t="s">
        <v>23</v>
      </c>
      <c r="K75" s="6" t="s">
        <v>525</v>
      </c>
      <c r="L75" s="6" t="s">
        <v>501</v>
      </c>
      <c r="M75" s="6" t="s">
        <v>521</v>
      </c>
      <c r="N75" s="8" t="s">
        <v>27</v>
      </c>
    </row>
    <row r="76" spans="1:14">
      <c r="A76" s="9" t="s">
        <v>526</v>
      </c>
      <c r="B76" s="10" t="s">
        <v>527</v>
      </c>
      <c r="C76" s="11" t="s">
        <v>528</v>
      </c>
      <c r="D76" s="11" t="s">
        <v>529</v>
      </c>
      <c r="E76" s="11" t="s">
        <v>528</v>
      </c>
      <c r="F76" s="11" t="s">
        <v>530</v>
      </c>
      <c r="G76" s="9" t="s">
        <v>14</v>
      </c>
      <c r="H76" s="9" t="s">
        <v>21</v>
      </c>
      <c r="I76" s="11" t="s">
        <v>531</v>
      </c>
      <c r="J76" s="10" t="s">
        <v>23</v>
      </c>
      <c r="K76" s="10" t="s">
        <v>532</v>
      </c>
      <c r="L76" s="10" t="s">
        <v>501</v>
      </c>
      <c r="M76" s="10" t="s">
        <v>528</v>
      </c>
      <c r="N76" s="12" t="s">
        <v>27</v>
      </c>
    </row>
    <row r="77" spans="1:14" ht="30" customHeight="1">
      <c r="A77" s="5" t="s">
        <v>533</v>
      </c>
      <c r="B77" s="6" t="s">
        <v>534</v>
      </c>
      <c r="C77" s="7" t="s">
        <v>535</v>
      </c>
      <c r="D77" s="7" t="s">
        <v>536</v>
      </c>
      <c r="E77" s="7" t="s">
        <v>537</v>
      </c>
      <c r="F77" s="7" t="s">
        <v>538</v>
      </c>
      <c r="G77" s="5" t="s">
        <v>14</v>
      </c>
      <c r="H77" s="5" t="s">
        <v>21</v>
      </c>
      <c r="I77" s="7" t="s">
        <v>539</v>
      </c>
      <c r="J77" s="6" t="s">
        <v>23</v>
      </c>
      <c r="K77" s="6" t="s">
        <v>540</v>
      </c>
      <c r="L77" s="6" t="s">
        <v>191</v>
      </c>
      <c r="M77" s="6" t="s">
        <v>537</v>
      </c>
      <c r="N77" s="8" t="s">
        <v>27</v>
      </c>
    </row>
    <row r="78" spans="1:14" ht="30" customHeight="1">
      <c r="A78" s="9" t="s">
        <v>541</v>
      </c>
      <c r="B78" s="10" t="s">
        <v>542</v>
      </c>
      <c r="C78" s="11" t="s">
        <v>543</v>
      </c>
      <c r="D78" s="11" t="s">
        <v>544</v>
      </c>
      <c r="E78" s="11" t="s">
        <v>543</v>
      </c>
      <c r="F78" s="11" t="s">
        <v>545</v>
      </c>
      <c r="G78" s="9" t="s">
        <v>14</v>
      </c>
      <c r="H78" s="9" t="s">
        <v>21</v>
      </c>
      <c r="I78" s="11" t="s">
        <v>546</v>
      </c>
      <c r="J78" s="10" t="s">
        <v>23</v>
      </c>
      <c r="K78" s="10" t="s">
        <v>547</v>
      </c>
      <c r="L78" s="10" t="s">
        <v>501</v>
      </c>
      <c r="M78" s="10" t="s">
        <v>543</v>
      </c>
      <c r="N78" s="12" t="s">
        <v>27</v>
      </c>
    </row>
    <row r="79" spans="1:14" ht="30" customHeight="1">
      <c r="A79" s="5" t="s">
        <v>548</v>
      </c>
      <c r="B79" s="6" t="s">
        <v>549</v>
      </c>
      <c r="C79" s="7" t="s">
        <v>550</v>
      </c>
      <c r="D79" s="7" t="s">
        <v>551</v>
      </c>
      <c r="E79" s="7" t="s">
        <v>550</v>
      </c>
      <c r="F79" s="7" t="s">
        <v>552</v>
      </c>
      <c r="G79" s="5" t="s">
        <v>14</v>
      </c>
      <c r="H79" s="5" t="s">
        <v>21</v>
      </c>
      <c r="I79" s="7" t="s">
        <v>553</v>
      </c>
      <c r="J79" s="6" t="s">
        <v>23</v>
      </c>
      <c r="K79" s="6" t="s">
        <v>554</v>
      </c>
      <c r="L79" s="6" t="s">
        <v>501</v>
      </c>
      <c r="M79" s="6" t="s">
        <v>555</v>
      </c>
      <c r="N79" s="8" t="s">
        <v>27</v>
      </c>
    </row>
  </sheetData>
  <mergeCells count="1">
    <mergeCell ref="A1:N1"/>
  </mergeCells>
  <hyperlinks>
    <hyperlink ref="I9" r:id="rId1"/>
    <hyperlink ref="I10" r:id="rId2"/>
    <hyperlink ref="I11" r:id="rId3"/>
    <hyperlink ref="I12" r:id="rId4"/>
    <hyperlink ref="I13" r:id="rId5"/>
    <hyperlink ref="I14" r:id="rId6"/>
    <hyperlink ref="I15" r:id="rId7"/>
    <hyperlink ref="I16" r:id="rId8"/>
    <hyperlink ref="I17" r:id="rId9"/>
    <hyperlink ref="I18" r:id="rId10"/>
    <hyperlink ref="I19" r:id="rId11"/>
    <hyperlink ref="I20" r:id="rId12"/>
    <hyperlink ref="I21" r:id="rId13"/>
    <hyperlink ref="I22" r:id="rId14"/>
    <hyperlink ref="I23" r:id="rId15"/>
    <hyperlink ref="I24" r:id="rId16"/>
    <hyperlink ref="I25" r:id="rId17"/>
    <hyperlink ref="I26" r:id="rId18"/>
    <hyperlink ref="I27" r:id="rId19"/>
    <hyperlink ref="I28" r:id="rId20"/>
    <hyperlink ref="I29" r:id="rId21"/>
    <hyperlink ref="I30" r:id="rId22"/>
    <hyperlink ref="I31" r:id="rId23"/>
    <hyperlink ref="I32" r:id="rId24"/>
    <hyperlink ref="I33" r:id="rId25"/>
    <hyperlink ref="I34" r:id="rId26"/>
    <hyperlink ref="I35" r:id="rId27"/>
    <hyperlink ref="I36" r:id="rId28"/>
    <hyperlink ref="I37" r:id="rId29"/>
    <hyperlink ref="I38" r:id="rId30"/>
    <hyperlink ref="I39" r:id="rId31"/>
    <hyperlink ref="I40" r:id="rId32"/>
    <hyperlink ref="I41" r:id="rId33"/>
    <hyperlink ref="I42" r:id="rId34"/>
    <hyperlink ref="I43" r:id="rId35"/>
    <hyperlink ref="I44" r:id="rId36"/>
    <hyperlink ref="I45" r:id="rId37"/>
    <hyperlink ref="I46" r:id="rId38"/>
    <hyperlink ref="I47" r:id="rId39"/>
    <hyperlink ref="I48" r:id="rId40"/>
    <hyperlink ref="I49" r:id="rId41"/>
    <hyperlink ref="I50" r:id="rId42"/>
    <hyperlink ref="I51" r:id="rId43"/>
    <hyperlink ref="I52" r:id="rId44"/>
    <hyperlink ref="I53" r:id="rId45"/>
    <hyperlink ref="I54" r:id="rId46"/>
    <hyperlink ref="I55" r:id="rId47"/>
    <hyperlink ref="I56" r:id="rId48"/>
    <hyperlink ref="I57" r:id="rId49"/>
    <hyperlink ref="I58" r:id="rId50"/>
    <hyperlink ref="I59" r:id="rId51"/>
    <hyperlink ref="I60" r:id="rId52"/>
    <hyperlink ref="I61" r:id="rId53"/>
    <hyperlink ref="I62" r:id="rId54"/>
    <hyperlink ref="I63" r:id="rId55"/>
    <hyperlink ref="I64" r:id="rId56"/>
    <hyperlink ref="I65" r:id="rId57"/>
    <hyperlink ref="I66" r:id="rId58"/>
    <hyperlink ref="I67" r:id="rId59"/>
    <hyperlink ref="I68" r:id="rId60"/>
    <hyperlink ref="I69" r:id="rId61"/>
    <hyperlink ref="I70" r:id="rId62"/>
    <hyperlink ref="I71" r:id="rId63"/>
    <hyperlink ref="I72" r:id="rId64"/>
    <hyperlink ref="I73" r:id="rId65"/>
    <hyperlink ref="I74" r:id="rId66"/>
    <hyperlink ref="I75" r:id="rId67"/>
    <hyperlink ref="I76" r:id="rId68"/>
    <hyperlink ref="I77" r:id="rId69"/>
    <hyperlink ref="I78" r:id="rId70"/>
    <hyperlink ref="I79" r:id="rId71"/>
  </hyperlinks>
  <pageMargins left="0.7" right="0.7" top="0.75" bottom="0.75" header="0.3" footer="0.3"/>
  <pageSetup orientation="landscape"/>
</worksheet>
</file>

<file path=xl/worksheets/sheet2.xml><?xml version="1.0" encoding="utf-8"?>
<worksheet xmlns="http://schemas.openxmlformats.org/spreadsheetml/2006/main" xmlns:r="http://schemas.openxmlformats.org/officeDocument/2006/relationships">
  <dimension ref="A1:Z225"/>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3"/>
  <cols>
    <col min="1" max="1" width="60.7109375" customWidth="1"/>
    <col min="2" max="2" width="28.7109375" customWidth="1"/>
    <col min="3" max="3" width="51.7109375" customWidth="1" outlineLevel="2"/>
    <col min="4" max="4" width="34.7109375" customWidth="1" outlineLevel="1"/>
    <col min="5" max="5" width="21.7109375" customWidth="1" outlineLevel="1"/>
    <col min="6" max="6" width="17.7109375" customWidth="1" outlineLevel="1"/>
    <col min="7" max="7" width="22.7109375" customWidth="1"/>
    <col min="8" max="8" width="16.7109375" customWidth="1"/>
    <col min="9" max="9" width="9.7109375" customWidth="1" outlineLevel="1"/>
    <col min="10" max="10" width="9.140625" outlineLevel="2"/>
    <col min="11" max="11" width="10.7109375" customWidth="1" outlineLevel="2"/>
    <col min="12" max="12" width="0" hidden="1" customWidth="1" outlineLevel="3" collapsed="1"/>
    <col min="13" max="13" width="16.7109375" customWidth="1"/>
    <col min="14" max="14" width="21.7109375" customWidth="1" outlineLevel="2"/>
    <col min="15" max="15" width="9.7109375" customWidth="1" outlineLevel="1"/>
    <col min="16" max="16" width="9.140625" outlineLevel="2"/>
    <col min="17" max="17" width="10.7109375" customWidth="1" outlineLevel="2"/>
    <col min="18" max="18" width="0" hidden="1" customWidth="1" outlineLevel="3" collapsed="1"/>
    <col min="19" max="19" width="16.7109375" customWidth="1"/>
    <col min="20" max="20" width="37.7109375" customWidth="1" outlineLevel="2"/>
    <col min="21" max="21" width="9.7109375" customWidth="1" outlineLevel="1"/>
    <col min="22" max="22" width="9.140625" outlineLevel="2"/>
    <col min="23" max="23" width="10.7109375" customWidth="1" outlineLevel="2"/>
    <col min="24" max="24" width="0" hidden="1" customWidth="1" outlineLevel="3" collapsed="1"/>
    <col min="25" max="25" width="16.7109375" customWidth="1"/>
    <col min="26" max="26" width="19.7109375" customWidth="1" outlineLevel="2"/>
  </cols>
  <sheetData>
    <row r="1" spans="1:26" ht="32" customHeight="1">
      <c r="A1" s="1" t="s">
        <v>556</v>
      </c>
      <c r="B1" s="1"/>
      <c r="C1" s="1"/>
      <c r="D1" s="1"/>
      <c r="E1" s="1"/>
      <c r="F1" s="1"/>
      <c r="G1" s="1"/>
      <c r="H1" s="1"/>
    </row>
    <row r="2" spans="1:26">
      <c r="A2" s="2" t="s">
        <v>557</v>
      </c>
      <c r="B2" s="3" t="s">
        <v>558</v>
      </c>
      <c r="G2" s="13" t="s">
        <v>662</v>
      </c>
      <c r="H2" s="13">
        <v>1</v>
      </c>
    </row>
    <row r="3" spans="1:26">
      <c r="A3" s="2" t="s">
        <v>559</v>
      </c>
      <c r="B3" s="3" t="s">
        <v>560</v>
      </c>
      <c r="G3" s="14" t="s">
        <v>664</v>
      </c>
      <c r="H3" s="15">
        <f>TotalCost/BoardQty</f>
        <v>144.5116</v>
      </c>
    </row>
    <row r="4" spans="1:26">
      <c r="A4" s="2" t="s">
        <v>561</v>
      </c>
      <c r="B4" s="3" t="s">
        <v>562</v>
      </c>
      <c r="G4" s="14" t="s">
        <v>663</v>
      </c>
      <c r="H4" s="16">
        <f>SUM(H10:H80)</f>
        <v>144.5116</v>
      </c>
      <c r="M4" s="16">
        <f>SUM(M10:M80)</f>
        <v>142.6412</v>
      </c>
      <c r="N4" s="17" t="str">
        <f>(COUNTA(M10:M80)&amp;" of "&amp;ROWS(M10:M80)&amp;" parts found")</f>
        <v>63 of 71 parts found</v>
      </c>
      <c r="S4" s="16">
        <f>SUM(S10:S80)</f>
        <v>154.076</v>
      </c>
      <c r="T4" s="17" t="str">
        <f>(COUNTA(S10:S80)&amp;" of "&amp;ROWS(S10:S80)&amp;" parts found")</f>
        <v>68 of 71 parts found</v>
      </c>
      <c r="Y4" s="16">
        <f>SUM(Y10:Y80)</f>
        <v>58.0649</v>
      </c>
      <c r="Z4" s="17" t="str">
        <f>(COUNTA(Y10:Y80)&amp;" of "&amp;ROWS(Y10:Y80)&amp;" parts found")</f>
        <v>37 of 71 parts found</v>
      </c>
    </row>
    <row r="5" spans="1:26">
      <c r="A5" s="2" t="s">
        <v>563</v>
      </c>
      <c r="B5" s="3" t="s">
        <v>564</v>
      </c>
    </row>
    <row r="6" spans="1:26">
      <c r="A6" s="2" t="s">
        <v>565</v>
      </c>
      <c r="B6" s="3" t="s">
        <v>566</v>
      </c>
    </row>
    <row r="8" spans="1:26">
      <c r="A8" s="18" t="s">
        <v>573</v>
      </c>
      <c r="B8" s="18"/>
      <c r="C8" s="18"/>
      <c r="D8" s="18"/>
      <c r="E8" s="18"/>
      <c r="F8" s="18"/>
      <c r="G8" s="18"/>
      <c r="H8" s="18"/>
      <c r="I8" s="19" t="s">
        <v>124</v>
      </c>
      <c r="J8" s="19"/>
      <c r="K8" s="19"/>
      <c r="L8" s="19"/>
      <c r="M8" s="19"/>
      <c r="N8" s="19"/>
      <c r="O8" s="20" t="s">
        <v>645</v>
      </c>
      <c r="P8" s="20"/>
      <c r="Q8" s="20"/>
      <c r="R8" s="20"/>
      <c r="S8" s="20"/>
      <c r="T8" s="20"/>
      <c r="U8" s="21" t="s">
        <v>651</v>
      </c>
      <c r="V8" s="21"/>
      <c r="W8" s="21"/>
      <c r="X8" s="21"/>
      <c r="Y8" s="21"/>
      <c r="Z8" s="21"/>
    </row>
    <row r="9" spans="1:26">
      <c r="A9" s="22" t="s">
        <v>3</v>
      </c>
      <c r="B9" s="22" t="s">
        <v>4</v>
      </c>
      <c r="C9" s="22" t="s">
        <v>5</v>
      </c>
      <c r="D9" s="22" t="s">
        <v>574</v>
      </c>
      <c r="E9" s="22" t="s">
        <v>575</v>
      </c>
      <c r="F9" s="22" t="s">
        <v>576</v>
      </c>
      <c r="G9" s="22" t="s">
        <v>577</v>
      </c>
      <c r="H9" s="22" t="s">
        <v>578</v>
      </c>
      <c r="I9" s="22" t="s">
        <v>579</v>
      </c>
      <c r="J9" s="22" t="s">
        <v>580</v>
      </c>
      <c r="K9" s="22" t="s">
        <v>577</v>
      </c>
      <c r="L9" s="22" t="s">
        <v>581</v>
      </c>
      <c r="M9" s="22" t="s">
        <v>578</v>
      </c>
      <c r="N9" s="22" t="s">
        <v>582</v>
      </c>
      <c r="O9" s="22" t="s">
        <v>579</v>
      </c>
      <c r="P9" s="22" t="s">
        <v>580</v>
      </c>
      <c r="Q9" s="22" t="s">
        <v>577</v>
      </c>
      <c r="R9" s="22" t="s">
        <v>581</v>
      </c>
      <c r="S9" s="22" t="s">
        <v>578</v>
      </c>
      <c r="T9" s="22" t="s">
        <v>582</v>
      </c>
      <c r="U9" s="22" t="s">
        <v>579</v>
      </c>
      <c r="V9" s="22" t="s">
        <v>580</v>
      </c>
      <c r="W9" s="22" t="s">
        <v>577</v>
      </c>
      <c r="X9" s="22" t="s">
        <v>581</v>
      </c>
      <c r="Y9" s="22" t="s">
        <v>578</v>
      </c>
      <c r="Z9" s="22" t="s">
        <v>582</v>
      </c>
    </row>
    <row r="10" spans="1:26">
      <c r="A10" s="23" t="s">
        <v>17</v>
      </c>
      <c r="B10" s="23" t="s">
        <v>18</v>
      </c>
      <c r="C10" s="23" t="s">
        <v>19</v>
      </c>
      <c r="D10" s="23" t="s">
        <v>25</v>
      </c>
      <c r="E10" s="23" t="s">
        <v>26</v>
      </c>
      <c r="F10" s="23">
        <f>CEILING(BoardQty*3,1)</f>
        <v>3</v>
      </c>
      <c r="G10" s="24">
        <f>IF(MIN(Q10,K10,W10)&lt;&gt;0,MIN(Q10,K10,W10),"")</f>
        <v>0.1</v>
      </c>
      <c r="H10" s="25">
        <f>IF(AND(ISNUMBER(F10),ISNUMBER(G10)),F10*G10,"")</f>
        <v>0.3</v>
      </c>
      <c r="I10" s="23">
        <v>33200</v>
      </c>
      <c r="J10" s="23"/>
      <c r="K10" s="24">
        <f>IFERROR(IF(OR(J10&gt;=L10,F10&gt;=L10),USD_CHF*LOOKUP(IF(J10="",F10,J10),{0,1,10,100,1000,10000,50000},{0.0,0.091,0.024,0.015,0.009,0.007,0.006}),"MOQ="&amp;L10),"")</f>
        <v>0.1030628362384334</v>
      </c>
      <c r="L10" s="23">
        <v>1</v>
      </c>
      <c r="M10" s="25">
        <f>IFERROR(IF(J10="",F10,J10)*K10,"")</f>
        <v>0.3092</v>
      </c>
      <c r="N10" s="23" t="s">
        <v>583</v>
      </c>
      <c r="O10" s="23">
        <v>35784</v>
      </c>
      <c r="P10" s="23"/>
      <c r="Q10" s="24">
        <f>IFERROR(IF(OR(P10&gt;=R10,F10&gt;=R10),LOOKUP(IF(P10="",F10,P10),{0,1,10,50,100,500,1000,2500,5000},{0.0,0.1,0.037,0.0252,0.0216,0.01546,0.01354,0.01152,0.01029}),"MOQ="&amp;R10),"")</f>
        <v>0.1</v>
      </c>
      <c r="R10" s="23">
        <v>1</v>
      </c>
      <c r="S10" s="25">
        <f>IFERROR(IF(P10="",F10,P10)*Q10,"")</f>
        <v>0.3</v>
      </c>
      <c r="T10" s="23" t="s">
        <v>24</v>
      </c>
    </row>
    <row r="11" spans="1:26">
      <c r="A11" s="23" t="s">
        <v>30</v>
      </c>
      <c r="B11" s="23" t="s">
        <v>31</v>
      </c>
      <c r="C11" s="23" t="s">
        <v>19</v>
      </c>
      <c r="D11" s="23" t="s">
        <v>35</v>
      </c>
      <c r="E11" s="23" t="s">
        <v>36</v>
      </c>
      <c r="F11" s="23">
        <f>CEILING(BoardQty*6,1)</f>
        <v>6</v>
      </c>
      <c r="G11" s="24">
        <f>IF(MIN(Q11,K11,W11)&lt;&gt;0,MIN(Q11,K11,W11),"")</f>
        <v>0.1</v>
      </c>
      <c r="H11" s="25">
        <f>IF(AND(ISNUMBER(F11),ISNUMBER(G11)),F11*G11,"")</f>
        <v>0.6</v>
      </c>
      <c r="I11" s="23">
        <v>22336</v>
      </c>
      <c r="J11" s="23"/>
      <c r="K11" s="24">
        <f>IFERROR(IF(OR(J11&gt;=L11,F11&gt;=L11),USD_CHF*LOOKUP(IF(J11="",F11,J11),{0,1,10,100,1000,2500,10000,20000},{0.0,0.091,0.024,0.017,0.014,0.01,0.008,0.007}),"MOQ="&amp;L11),"")</f>
        <v>0.1030628362384334</v>
      </c>
      <c r="L11" s="23">
        <v>1</v>
      </c>
      <c r="M11" s="25">
        <f>IFERROR(IF(J11="",F11,J11)*K11,"")</f>
        <v>0.6184</v>
      </c>
      <c r="N11" s="23" t="s">
        <v>584</v>
      </c>
      <c r="O11" s="23">
        <v>67862</v>
      </c>
      <c r="P11" s="23"/>
      <c r="Q11" s="24">
        <f>IFERROR(IF(OR(P11&gt;=R11,F11&gt;=R11),LOOKUP(IF(P11="",F11,P11),{0,1,10,50,100,500,1000,2500,5000},{0.0,0.1,0.042,0.0286,0.0246,0.01762,0.01547,0.01318,0.0118}),"MOQ="&amp;R11),"")</f>
        <v>0.1</v>
      </c>
      <c r="R11" s="23">
        <v>1</v>
      </c>
      <c r="S11" s="25">
        <f>IFERROR(IF(P11="",F11,P11)*Q11,"")</f>
        <v>0.6</v>
      </c>
      <c r="T11" s="23" t="s">
        <v>34</v>
      </c>
    </row>
    <row r="12" spans="1:26">
      <c r="A12" s="23" t="s">
        <v>39</v>
      </c>
      <c r="B12" s="23" t="s">
        <v>40</v>
      </c>
      <c r="C12" s="23" t="s">
        <v>19</v>
      </c>
      <c r="D12" s="23" t="s">
        <v>35</v>
      </c>
      <c r="E12" s="23" t="s">
        <v>43</v>
      </c>
      <c r="F12" s="23">
        <f>BoardQty*1</f>
        <v>1</v>
      </c>
      <c r="G12" s="24">
        <f>IF(MIN(Q12,K12,W12)&lt;&gt;0,MIN(Q12,K12,W12),"")</f>
        <v>0.1</v>
      </c>
      <c r="H12" s="25">
        <f>IF(AND(ISNUMBER(F12),ISNUMBER(G12)),F12*G12,"")</f>
        <v>0.1</v>
      </c>
      <c r="I12" s="23">
        <v>67187</v>
      </c>
      <c r="J12" s="23"/>
      <c r="K12" s="24">
        <f>IFERROR(IF(OR(J12&gt;=L12,F12&gt;=L12),USD_CHF*LOOKUP(IF(J12="",F12,J12),{0,1,10,100,2500,10000,50000},{0.0,0.091,0.015,0.008,0.006,0.005,0.004}),"MOQ="&amp;L12),"")</f>
        <v>0.1030628362384334</v>
      </c>
      <c r="L12" s="23">
        <v>1</v>
      </c>
      <c r="M12" s="25">
        <f>IFERROR(IF(J12="",F12,J12)*K12,"")</f>
        <v>0.1031</v>
      </c>
      <c r="N12" s="23" t="s">
        <v>585</v>
      </c>
      <c r="O12" s="23">
        <v>183766</v>
      </c>
      <c r="P12" s="23"/>
      <c r="Q12" s="24">
        <f>IFERROR(IF(OR(P12&gt;=R12,F12&gt;=R12),LOOKUP(IF(P12="",F12,P12),{0,1,10,50,100,500,1000,2500,5000},{0.0,0.1,0.026,0.0174,0.0148,0.01042,0.00906,0.00764,0.00677}),"MOQ="&amp;R12),"")</f>
        <v>0.1</v>
      </c>
      <c r="R12" s="23">
        <v>1</v>
      </c>
      <c r="S12" s="25">
        <f>IFERROR(IF(P12="",F12,P12)*Q12,"")</f>
        <v>0.1</v>
      </c>
      <c r="T12" s="23" t="s">
        <v>42</v>
      </c>
      <c r="U12" s="23">
        <v>12696</v>
      </c>
      <c r="V12" s="23"/>
      <c r="W12" s="24">
        <f>IFERROR(IF(OR(V12&gt;=X12,F12&gt;=X12),LOOKUP(IF(V12="",F12,V12),{0,1,10,50,100,500,1000,2500,5000,10000,50000},{0.0,0.12358,0.02041,0.0147,0.0129,0.00982,0.0088,0.0077,0.007,0.00642,0.00539}),"MOQ="&amp;X12),"")</f>
        <v>0.12358</v>
      </c>
      <c r="X12" s="23">
        <v>1</v>
      </c>
      <c r="Y12" s="25">
        <f>IFERROR(IF(V12="",F12,V12)*W12,"")</f>
        <v>0.1236</v>
      </c>
      <c r="Z12" s="23" t="s">
        <v>43</v>
      </c>
    </row>
    <row r="13" spans="1:26">
      <c r="A13" s="23" t="s">
        <v>46</v>
      </c>
      <c r="B13" s="23" t="s">
        <v>47</v>
      </c>
      <c r="C13" s="23" t="s">
        <v>19</v>
      </c>
      <c r="D13" s="23" t="s">
        <v>50</v>
      </c>
      <c r="E13" s="23" t="s">
        <v>51</v>
      </c>
      <c r="F13" s="23">
        <f>BoardQty*1</f>
        <v>1</v>
      </c>
      <c r="G13" s="24">
        <f>IF(MIN(Q13,K13,W13)&lt;&gt;0,MIN(Q13,K13,W13),"")</f>
        <v>0.16</v>
      </c>
      <c r="H13" s="25">
        <f>IF(AND(ISNUMBER(F13),ISNUMBER(G13)),F13*G13,"")</f>
        <v>0.16</v>
      </c>
      <c r="I13" s="23">
        <v>33104</v>
      </c>
      <c r="J13" s="23"/>
      <c r="K13" s="24">
        <f>IFERROR(IF(OR(J13&gt;=L13,F13&gt;=L13),USD_CHF*LOOKUP(IF(J13="",F13,J13),{0,1,10,100,1000,2500,10000,50000},{0.0,0.145,0.097,0.048,0.031,0.029,0.023,0.022}),"MOQ="&amp;L13),"")</f>
        <v>0.16422100279750376</v>
      </c>
      <c r="L13" s="23">
        <v>1</v>
      </c>
      <c r="M13" s="25">
        <f>IFERROR(IF(J13="",F13,J13)*K13,"")</f>
        <v>0.1642</v>
      </c>
      <c r="N13" s="23" t="s">
        <v>586</v>
      </c>
      <c r="O13" s="23">
        <v>76701</v>
      </c>
      <c r="P13" s="23"/>
      <c r="Q13" s="24">
        <f>IFERROR(IF(OR(P13&gt;=R13,F13&gt;=R13),LOOKUP(IF(P13="",F13,P13),{0,1,10,50,100,500,1000,2500,5000},{0.0,0.16,0.092,0.0646,0.056,0.04148,0.03696,0.03216,0.02925}),"MOQ="&amp;R13),"")</f>
        <v>0.16</v>
      </c>
      <c r="R13" s="23">
        <v>1</v>
      </c>
      <c r="S13" s="25">
        <f>IFERROR(IF(P13="",F13,P13)*Q13,"")</f>
        <v>0.16</v>
      </c>
      <c r="T13" s="23" t="s">
        <v>49</v>
      </c>
    </row>
    <row r="14" spans="1:26">
      <c r="A14" s="23" t="s">
        <v>54</v>
      </c>
      <c r="B14" s="23" t="s">
        <v>55</v>
      </c>
      <c r="C14" s="23" t="s">
        <v>56</v>
      </c>
      <c r="D14" s="23" t="s">
        <v>59</v>
      </c>
      <c r="E14" s="23" t="s">
        <v>60</v>
      </c>
      <c r="F14" s="23">
        <f>BoardQty*1</f>
        <v>1</v>
      </c>
      <c r="G14" s="24">
        <f>IF(MIN(Q14,K14,W14)&lt;&gt;0,MIN(Q14,K14,W14),"")</f>
        <v>0.2305</v>
      </c>
      <c r="H14" s="25">
        <f>IF(AND(ISNUMBER(F14),ISNUMBER(G14)),F14*G14,"")</f>
        <v>0.2305</v>
      </c>
      <c r="I14" s="23">
        <v>11515</v>
      </c>
      <c r="J14" s="23"/>
      <c r="K14" s="24">
        <f>IFERROR(IF(OR(J14&gt;=L14,F14&gt;=L14),USD_CHF*LOOKUP(IF(J14="",F14,J14),{0,1,10,100,1000,4000,8000,24000,100000},{0.0,0.236,0.097,0.062,0.052,0.045,0.04,0.037,0.034}),"MOQ="&amp;L14),"")</f>
        <v>0.26728383903593717</v>
      </c>
      <c r="L14" s="23">
        <v>1</v>
      </c>
      <c r="M14" s="25">
        <f>IFERROR(IF(J14="",F14,J14)*K14,"")</f>
        <v>0.2673</v>
      </c>
      <c r="N14" s="23" t="s">
        <v>587</v>
      </c>
      <c r="O14" s="23">
        <v>14336</v>
      </c>
      <c r="P14" s="23"/>
      <c r="Q14" s="24">
        <f>IFERROR(IF(OR(P14&gt;=R14,F14&gt;=R14),LOOKUP(IF(P14="",F14,P14),{0,1,10,50,100,500,1000},{0.0,0.26,0.149,0.1058,0.0924,0.06984,0.0628}),"MOQ="&amp;R14),"")</f>
        <v>0.26</v>
      </c>
      <c r="R14" s="23">
        <v>1</v>
      </c>
      <c r="S14" s="25">
        <f>IFERROR(IF(P14="",F14,P14)*Q14,"")</f>
        <v>0.26</v>
      </c>
      <c r="T14" s="23" t="s">
        <v>58</v>
      </c>
      <c r="U14" s="23">
        <v>3450</v>
      </c>
      <c r="V14" s="23"/>
      <c r="W14" s="24">
        <f>IFERROR(IF(OR(V14&gt;=X14,F14&gt;=X14),LOOKUP(IF(V14="",F14,V14),{0,1,10,50,100,500,1000,2000,4000},{0.0,0.2305,0.1249,0.0893,0.0783,0.0595,0.0536,0.0488,0.0486}),"MOQ="&amp;X14),"")</f>
        <v>0.2305</v>
      </c>
      <c r="X14" s="23">
        <v>1</v>
      </c>
      <c r="Y14" s="25">
        <f>IFERROR(IF(V14="",F14,V14)*W14,"")</f>
        <v>0.2305</v>
      </c>
      <c r="Z14" s="23" t="s">
        <v>60</v>
      </c>
    </row>
    <row r="15" spans="1:26" ht="30" customHeight="1">
      <c r="A15" s="23" t="s">
        <v>62</v>
      </c>
      <c r="B15" s="23" t="s">
        <v>63</v>
      </c>
      <c r="C15" s="23" t="s">
        <v>19</v>
      </c>
      <c r="D15" s="23" t="s">
        <v>35</v>
      </c>
      <c r="E15" s="23" t="s">
        <v>67</v>
      </c>
      <c r="F15" s="23">
        <f>CEILING(BoardQty*26,1)</f>
        <v>26</v>
      </c>
      <c r="G15" s="24">
        <f>IF(MIN(Q15,K15,W15)&lt;&gt;0,MIN(Q15,K15,W15),"")</f>
        <v>0.022651172799655696</v>
      </c>
      <c r="H15" s="25">
        <f>IF(AND(ISNUMBER(F15),ISNUMBER(G15)),F15*G15,"")</f>
        <v>0.5889</v>
      </c>
      <c r="I15" s="23">
        <v>48696</v>
      </c>
      <c r="J15" s="23"/>
      <c r="K15" s="24">
        <f>IFERROR(IF(OR(J15&gt;=L15,F15&gt;=L15),USD_CHF*LOOKUP(IF(J15="",F15,J15),{0,1,10,100,1000,2500,10000,50000},{0.0,0.091,0.02,0.013,0.01,0.008,0.007,0.007}),"MOQ="&amp;L15),"")</f>
        <v>0.022651172799655696</v>
      </c>
      <c r="L15" s="23">
        <v>1</v>
      </c>
      <c r="M15" s="25">
        <f>IFERROR(IF(J15="",F15,J15)*K15,"")</f>
        <v>0.5889</v>
      </c>
      <c r="N15" s="23" t="s">
        <v>588</v>
      </c>
      <c r="O15" s="23">
        <v>2146412</v>
      </c>
      <c r="P15" s="23"/>
      <c r="Q15" s="24">
        <f>IFERROR(IF(OR(P15&gt;=R15,F15&gt;=R15),LOOKUP(IF(P15="",F15,P15),{0,1,10,50,100,500,1000,2500,5000},{0.0,0.1,0.034,0.0232,0.0198,0.0141,0.01234,0.01046,0.00933}),"MOQ="&amp;R15),"")</f>
        <v>0.034</v>
      </c>
      <c r="R15" s="23">
        <v>1</v>
      </c>
      <c r="S15" s="25">
        <f>IFERROR(IF(P15="",F15,P15)*Q15,"")</f>
        <v>0.884</v>
      </c>
      <c r="T15" s="23" t="s">
        <v>66</v>
      </c>
      <c r="U15" s="23">
        <v>50000</v>
      </c>
      <c r="V15" s="23"/>
      <c r="W15" s="24">
        <f>IFERROR(IF(OR(V15&gt;=X15,F15&gt;=X15),LOOKUP(IF(V15="",F15,V15),{0,1,50000},{0.0,0.00679,0.00679}),"MOQ="&amp;X15),"")</f>
        <v/>
      </c>
      <c r="X15" s="23">
        <v>50000</v>
      </c>
      <c r="Y15" s="25">
        <f>IFERROR(IF(V15="",F15,V15)*W15,"")</f>
        <v/>
      </c>
      <c r="Z15" s="23" t="s">
        <v>67</v>
      </c>
    </row>
    <row r="16" spans="1:26">
      <c r="A16" s="23" t="s">
        <v>71</v>
      </c>
      <c r="B16" s="23" t="s">
        <v>72</v>
      </c>
      <c r="C16" s="23" t="s">
        <v>56</v>
      </c>
      <c r="D16" s="23" t="s">
        <v>50</v>
      </c>
      <c r="E16" s="23" t="s">
        <v>75</v>
      </c>
      <c r="F16" s="23">
        <f>CEILING(BoardQty*2,1)</f>
        <v>2</v>
      </c>
      <c r="G16" s="24">
        <f>IF(MIN(Q16,K16,W16)&lt;&gt;0,MIN(Q16,K16,W16),"")</f>
        <v>0.15</v>
      </c>
      <c r="H16" s="25">
        <f>IF(AND(ISNUMBER(F16),ISNUMBER(G16)),F16*G16,"")</f>
        <v>0.3</v>
      </c>
      <c r="I16" s="23">
        <v>91233</v>
      </c>
      <c r="J16" s="23"/>
      <c r="K16" s="24">
        <f>IFERROR(IF(OR(J16&gt;=L16,F16&gt;=L16),USD_CHF*LOOKUP(IF(J16="",F16,J16),{0,1,10,100,1000,4000,8000,24000,48000},{0.0,0.137,0.053,0.033,0.025,0.02,0.017,0.016,0.015}),"MOQ="&amp;L16),"")</f>
        <v>0.15516053367764152</v>
      </c>
      <c r="L16" s="23">
        <v>1</v>
      </c>
      <c r="M16" s="25">
        <f>IFERROR(IF(J16="",F16,J16)*K16,"")</f>
        <v>0.3103</v>
      </c>
      <c r="N16" s="23" t="s">
        <v>589</v>
      </c>
      <c r="O16" s="23">
        <v>386999</v>
      </c>
      <c r="P16" s="23"/>
      <c r="Q16" s="24">
        <f>IFERROR(IF(OR(P16&gt;=R16,F16&gt;=R16),LOOKUP(IF(P16="",F16,P16),{0,1,10,50,100,500,1000},{0.0,0.15,0.082,0.0574,0.0498,0.03668,0.0326}),"MOQ="&amp;R16),"")</f>
        <v>0.15</v>
      </c>
      <c r="R16" s="23">
        <v>1</v>
      </c>
      <c r="S16" s="25">
        <f>IFERROR(IF(P16="",F16,P16)*Q16,"")</f>
        <v>0.3</v>
      </c>
      <c r="T16" s="23" t="s">
        <v>74</v>
      </c>
    </row>
    <row r="17" spans="1:26">
      <c r="A17" s="23" t="s">
        <v>78</v>
      </c>
      <c r="B17" s="23" t="s">
        <v>79</v>
      </c>
      <c r="C17" s="23" t="s">
        <v>19</v>
      </c>
      <c r="D17" s="23" t="s">
        <v>35</v>
      </c>
      <c r="E17" s="23" t="s">
        <v>82</v>
      </c>
      <c r="F17" s="23">
        <f>BoardQty*1</f>
        <v>1</v>
      </c>
      <c r="G17" s="24">
        <f>IF(MIN(Q17,K17,W17)&lt;&gt;0,MIN(Q17,K17,W17),"")</f>
        <v>0.09084</v>
      </c>
      <c r="H17" s="25">
        <f>IF(AND(ISNUMBER(F17),ISNUMBER(G17)),F17*G17,"")</f>
        <v>0.0908</v>
      </c>
      <c r="I17" s="23">
        <v>2175990</v>
      </c>
      <c r="J17" s="23"/>
      <c r="K17" s="24">
        <f>IFERROR(IF(OR(J17&gt;=L17,F17&gt;=L17),USD_CHF*LOOKUP(IF(J17="",F17,J17),{0,1,10,100,1000,2500,10000},{0.0,0.091,0.019,0.011,0.01,0.007,0.005}),"MOQ="&amp;L17),"")</f>
        <v>0.1030628362384334</v>
      </c>
      <c r="L17" s="23">
        <v>1</v>
      </c>
      <c r="M17" s="25">
        <f>IFERROR(IF(J17="",F17,J17)*K17,"")</f>
        <v>0.1031</v>
      </c>
      <c r="N17" s="23" t="s">
        <v>590</v>
      </c>
      <c r="O17" s="23">
        <v>812501</v>
      </c>
      <c r="P17" s="23"/>
      <c r="Q17" s="24">
        <f>IFERROR(IF(OR(P17&gt;=R17,F17&gt;=R17),LOOKUP(IF(P17="",F17,P17),{0,1,10,50,100,500,1000,2500,5000},{0.0,0.1,0.029,0.0198,0.0169,0.01198,0.01046,0.00884,0.00786}),"MOQ="&amp;R17),"")</f>
        <v>0.1</v>
      </c>
      <c r="R17" s="23">
        <v>1</v>
      </c>
      <c r="S17" s="25">
        <f>IFERROR(IF(P17="",F17,P17)*Q17,"")</f>
        <v>0.1</v>
      </c>
      <c r="T17" s="23" t="s">
        <v>81</v>
      </c>
      <c r="U17" s="23">
        <v>164197</v>
      </c>
      <c r="V17" s="23"/>
      <c r="W17" s="24">
        <f>IFERROR(IF(OR(V17&gt;=X17,F17&gt;=X17),LOOKUP(IF(V17="",F17,V17),{0,1,10,50,100,1000,2500,5000,10000,500000,1000000},{0.0,0.09084,0.01887,0.0132,0.01148,0.00762,0.00662,0.00602,0.00551,0.00386,0.00371}),"MOQ="&amp;X17),"")</f>
        <v>0.09084</v>
      </c>
      <c r="X17" s="23">
        <v>1</v>
      </c>
      <c r="Y17" s="25">
        <f>IFERROR(IF(V17="",F17,V17)*W17,"")</f>
        <v>0.0908</v>
      </c>
      <c r="Z17" s="23" t="s">
        <v>82</v>
      </c>
    </row>
    <row r="18" spans="1:26">
      <c r="A18" s="23" t="s">
        <v>85</v>
      </c>
      <c r="B18" s="23" t="s">
        <v>72</v>
      </c>
      <c r="C18" s="23" t="s">
        <v>86</v>
      </c>
      <c r="D18" s="23" t="s">
        <v>59</v>
      </c>
      <c r="E18" s="23" t="s">
        <v>89</v>
      </c>
      <c r="F18" s="23">
        <f>CEILING(BoardQty*3,1)</f>
        <v>3</v>
      </c>
      <c r="G18" s="24">
        <f>IF(MIN(Q18,K18,W18)&lt;&gt;0,MIN(Q18,K18,W18),"")</f>
        <v>0.2116</v>
      </c>
      <c r="H18" s="25">
        <f>IF(AND(ISNUMBER(F18),ISNUMBER(G18)),F18*G18,"")</f>
        <v>0.6348</v>
      </c>
      <c r="I18" s="23">
        <v>23897</v>
      </c>
      <c r="J18" s="23"/>
      <c r="K18" s="24">
        <f>IFERROR(IF(OR(J18&gt;=L18,F18&gt;=L18),USD_CHF*LOOKUP(IF(J18="",F18,J18),{0,1,10,100,1000,4000,8000,24000},{0.0,0.209,0.11,0.066,0.049,0.045,0.037,0.035}),"MOQ="&amp;L18),"")</f>
        <v>0.23670475575640199</v>
      </c>
      <c r="L18" s="23">
        <v>1</v>
      </c>
      <c r="M18" s="25">
        <f>IFERROR(IF(J18="",F18,J18)*K18,"")</f>
        <v>0.7101</v>
      </c>
      <c r="N18" s="23" t="s">
        <v>591</v>
      </c>
      <c r="O18" s="23">
        <v>40089</v>
      </c>
      <c r="P18" s="23"/>
      <c r="Q18" s="24">
        <f>IFERROR(IF(OR(P18&gt;=R18,F18&gt;=R18),LOOKUP(IF(P18="",F18,P18),{0,1,10,50,100,500,1000},{0.0,0.27,0.155,0.1104,0.0965,0.07306,0.06575}),"MOQ="&amp;R18),"")</f>
        <v>0.27</v>
      </c>
      <c r="R18" s="23">
        <v>1</v>
      </c>
      <c r="S18" s="25">
        <f>IFERROR(IF(P18="",F18,P18)*Q18,"")</f>
        <v>0.81</v>
      </c>
      <c r="T18" s="23" t="s">
        <v>88</v>
      </c>
      <c r="U18" s="23">
        <v>10459</v>
      </c>
      <c r="V18" s="23"/>
      <c r="W18" s="24">
        <f>IFERROR(IF(OR(V18&gt;=X18,F18&gt;=X18),LOOKUP(IF(V18="",F18,V18),{0,1,10,50,100,500,1000,2000,4000,8000,12000},{0.0,0.2116,0.08,0.0615,0.0554,0.0441,0.0402,0.0368,0.034,0.0314,0.0301}),"MOQ="&amp;X18),"")</f>
        <v>0.2116</v>
      </c>
      <c r="X18" s="23">
        <v>1</v>
      </c>
      <c r="Y18" s="25">
        <f>IFERROR(IF(V18="",F18,V18)*W18,"")</f>
        <v>0.6348</v>
      </c>
      <c r="Z18" s="23" t="s">
        <v>89</v>
      </c>
    </row>
    <row r="19" spans="1:26">
      <c r="A19" s="23" t="s">
        <v>92</v>
      </c>
      <c r="B19" s="23" t="s">
        <v>93</v>
      </c>
      <c r="C19" s="23" t="s">
        <v>56</v>
      </c>
      <c r="D19" s="23" t="s">
        <v>50</v>
      </c>
      <c r="E19" s="23" t="s">
        <v>96</v>
      </c>
      <c r="F19" s="23">
        <f>CEILING(BoardQty*2,1)</f>
        <v>2</v>
      </c>
      <c r="G19" s="24">
        <f>IF(MIN(Q19,K19,W19)&lt;&gt;0,MIN(Q19,K19,W19),"")</f>
        <v>0.25</v>
      </c>
      <c r="H19" s="25">
        <f>IF(AND(ISNUMBER(F19),ISNUMBER(G19)),F19*G19,"")</f>
        <v>0.5</v>
      </c>
      <c r="I19" s="23">
        <v>141969</v>
      </c>
      <c r="J19" s="23"/>
      <c r="K19" s="24">
        <f>IFERROR(IF(OR(J19&gt;=L19,F19&gt;=L19),USD_CHF*LOOKUP(IF(J19="",F19,J19),{0,1,10,100,1000,4000,8000,24000,100000},{0.0,0.227,0.093,0.059,0.046,0.044,0.035,0.033,0.032}),"MOQ="&amp;L19),"")</f>
        <v>0.2570908112760921</v>
      </c>
      <c r="L19" s="23">
        <v>1</v>
      </c>
      <c r="M19" s="25">
        <f>IFERROR(IF(J19="",F19,J19)*K19,"")</f>
        <v>0.5142</v>
      </c>
      <c r="N19" s="23" t="s">
        <v>592</v>
      </c>
      <c r="O19" s="23">
        <v>91083</v>
      </c>
      <c r="P19" s="23"/>
      <c r="Q19" s="24">
        <f>IFERROR(IF(OR(P19&gt;=R19,F19&gt;=R19),LOOKUP(IF(P19="",F19,P19),{0,1,10,50,100,500,1000},{0.0,0.25,0.143,0.1018,0.0889,0.06704,0.06024}),"MOQ="&amp;R19),"")</f>
        <v>0.25</v>
      </c>
      <c r="R19" s="23">
        <v>1</v>
      </c>
      <c r="S19" s="25">
        <f>IFERROR(IF(P19="",F19,P19)*Q19,"")</f>
        <v>0.5</v>
      </c>
      <c r="T19" s="23" t="s">
        <v>95</v>
      </c>
    </row>
    <row r="20" spans="1:26">
      <c r="A20" s="23" t="s">
        <v>99</v>
      </c>
      <c r="B20" s="23" t="s">
        <v>100</v>
      </c>
      <c r="C20" s="23" t="s">
        <v>19</v>
      </c>
      <c r="D20" s="23" t="s">
        <v>35</v>
      </c>
      <c r="E20" s="23" t="s">
        <v>103</v>
      </c>
      <c r="F20" s="23">
        <f>CEILING(BoardQty*5,1)</f>
        <v>5</v>
      </c>
      <c r="G20" s="24">
        <f>IF(MIN(Q20,K20,W20)&lt;&gt;0,MIN(Q20,K20,W20),"")</f>
        <v>0.1</v>
      </c>
      <c r="H20" s="25">
        <f>IF(AND(ISNUMBER(F20),ISNUMBER(G20)),F20*G20,"")</f>
        <v>0.5</v>
      </c>
      <c r="I20" s="26" t="s">
        <v>594</v>
      </c>
      <c r="J20" s="23"/>
      <c r="K20" s="24">
        <f>IFERROR(IF(OR(J20&gt;=L20,F20&gt;=L20),USD_CHF*LOOKUP(IF(J20="",F20,J20),{0,1,10,100,1000,2500,10000,40000},{0.0,0.091,0.037,0.022,0.018,0.017,0.014,0.012}),"MOQ="&amp;L20),"")</f>
        <v>0.1030628362384334</v>
      </c>
      <c r="L20" s="23">
        <v>1</v>
      </c>
      <c r="M20" s="25">
        <f>IFERROR(IF(J20="",F20,J20)*K20,"")</f>
        <v>0.5153</v>
      </c>
      <c r="N20" s="23" t="s">
        <v>593</v>
      </c>
      <c r="O20" s="23">
        <v>269676</v>
      </c>
      <c r="P20" s="23"/>
      <c r="Q20" s="24">
        <f>IFERROR(IF(OR(P20&gt;=R20,F20&gt;=R20),LOOKUP(IF(P20="",F20,P20),{0,1,10,50,100,500,1000,2500,5000},{0.0,0.1,0.058,0.0402,0.0345,0.0251,0.02216,0.01906,0.01717}),"MOQ="&amp;R20),"")</f>
        <v>0.1</v>
      </c>
      <c r="R20" s="23">
        <v>1</v>
      </c>
      <c r="S20" s="25">
        <f>IFERROR(IF(P20="",F20,P20)*Q20,"")</f>
        <v>0.5</v>
      </c>
      <c r="T20" s="23" t="s">
        <v>102</v>
      </c>
      <c r="U20" s="26" t="s">
        <v>594</v>
      </c>
      <c r="V20" s="23"/>
      <c r="W20" s="24">
        <f>IFERROR(IF(OR(V20&gt;=X20,F20&gt;=X20),LOOKUP(IF(V20="",F20,V20),{0,1,40000},{0.0,0.0101,0.0101}),"MOQ="&amp;X20),"")</f>
        <v/>
      </c>
      <c r="X20" s="23">
        <v>40000</v>
      </c>
      <c r="Y20" s="25">
        <f>IFERROR(IF(V20="",F20,V20)*W20,"")</f>
        <v/>
      </c>
      <c r="Z20" s="23" t="s">
        <v>103</v>
      </c>
    </row>
    <row r="21" spans="1:26">
      <c r="A21" s="23" t="s">
        <v>106</v>
      </c>
      <c r="B21" s="23" t="s">
        <v>107</v>
      </c>
      <c r="C21" s="23" t="s">
        <v>56</v>
      </c>
      <c r="D21" s="23" t="s">
        <v>50</v>
      </c>
      <c r="E21" s="23" t="s">
        <v>110</v>
      </c>
      <c r="F21" s="23">
        <f>CEILING(BoardQty*3,1)</f>
        <v>3</v>
      </c>
      <c r="G21" s="24">
        <f>IF(MIN(Q21,K21,W21)&lt;&gt;0,MIN(Q21,K21,W21),"")</f>
        <v>0.12</v>
      </c>
      <c r="H21" s="25">
        <f>IF(AND(ISNUMBER(F21),ISNUMBER(G21)),F21*G21,"")</f>
        <v>0.36</v>
      </c>
      <c r="I21" s="23">
        <v>167430</v>
      </c>
      <c r="J21" s="23"/>
      <c r="K21" s="24">
        <f>IFERROR(IF(OR(J21&gt;=L21,F21&gt;=L21),USD_CHF*LOOKUP(IF(J21="",F21,J21),{0,1,10,100,1000,4000,8000,24000,100000},{0.0,0.109,0.046,0.026,0.02,0.017,0.016,0.014,0.012}),"MOQ="&amp;L21),"")</f>
        <v>0.12344889175812353</v>
      </c>
      <c r="L21" s="23">
        <v>1</v>
      </c>
      <c r="M21" s="25">
        <f>IFERROR(IF(J21="",F21,J21)*K21,"")</f>
        <v>0.3703</v>
      </c>
      <c r="N21" s="23" t="s">
        <v>595</v>
      </c>
      <c r="O21" s="23">
        <v>618650</v>
      </c>
      <c r="P21" s="23"/>
      <c r="Q21" s="24">
        <f>IFERROR(IF(OR(P21&gt;=R21,F21&gt;=R21),LOOKUP(IF(P21="",F21,P21),{0,1,10,50,100,500,1000},{0.0,0.12,0.066,0.0458,0.0395,0.02882,0.02552}),"MOQ="&amp;R21),"")</f>
        <v>0.12</v>
      </c>
      <c r="R21" s="23">
        <v>1</v>
      </c>
      <c r="S21" s="25">
        <f>IFERROR(IF(P21="",F21,P21)*Q21,"")</f>
        <v>0.36</v>
      </c>
      <c r="T21" s="23" t="s">
        <v>109</v>
      </c>
    </row>
    <row r="22" spans="1:26">
      <c r="A22" s="23" t="s">
        <v>113</v>
      </c>
      <c r="B22" s="23" t="s">
        <v>114</v>
      </c>
      <c r="C22" s="23" t="s">
        <v>19</v>
      </c>
      <c r="D22" s="23" t="s">
        <v>35</v>
      </c>
      <c r="E22" s="23" t="s">
        <v>117</v>
      </c>
      <c r="F22" s="23">
        <f>BoardQty*1</f>
        <v>1</v>
      </c>
      <c r="G22" s="24">
        <f>IF(MIN(Q22,K22,W22)&lt;&gt;0,MIN(Q22,K22,W22),"")</f>
        <v>0.0908</v>
      </c>
      <c r="H22" s="25">
        <f>IF(AND(ISNUMBER(F22),ISNUMBER(G22)),F22*G22,"")</f>
        <v>0.0908</v>
      </c>
      <c r="I22" s="23">
        <v>17460</v>
      </c>
      <c r="J22" s="23"/>
      <c r="K22" s="24">
        <f>IFERROR(IF(OR(J22&gt;=L22,F22&gt;=L22),USD_CHF*LOOKUP(IF(J22="",F22,J22),{0,1,10,100,1000,2500,10000,20000,50000,100000},{0.0,0.091,0.032,0.02,0.017,0.015,0.012,0.011,0.009,0.008}),"MOQ="&amp;L22),"")</f>
        <v>0.1030628362384334</v>
      </c>
      <c r="L22" s="23">
        <v>1</v>
      </c>
      <c r="M22" s="25">
        <f>IFERROR(IF(J22="",F22,J22)*K22,"")</f>
        <v>0.1031</v>
      </c>
      <c r="N22" s="23" t="s">
        <v>596</v>
      </c>
      <c r="O22" s="23">
        <v>155156</v>
      </c>
      <c r="P22" s="23"/>
      <c r="Q22" s="24">
        <f>IFERROR(IF(OR(P22&gt;=R22,F22&gt;=R22),LOOKUP(IF(P22="",F22,P22),{0,1,10,50,100,500,1000,2500,5000},{0.0,0.1,0.053,0.0366,0.0314,0.02274,0.02004,0.01718,0.01546}),"MOQ="&amp;R22),"")</f>
        <v>0.1</v>
      </c>
      <c r="R22" s="23">
        <v>1</v>
      </c>
      <c r="S22" s="25">
        <f>IFERROR(IF(P22="",F22,P22)*Q22,"")</f>
        <v>0.1</v>
      </c>
      <c r="T22" s="23" t="s">
        <v>116</v>
      </c>
      <c r="U22" s="23">
        <v>21331</v>
      </c>
      <c r="V22" s="23"/>
      <c r="W22" s="24">
        <f>IFERROR(IF(OR(V22&gt;=X22,F22&gt;=X22),LOOKUP(IF(V22="",F22,V22),{0,1,10,50,100,1000,2500,10000,50000,70000,100000},{0.0,0.0908,0.0345,0.0263,0.0236,0.0164,0.0143,0.0117,0.0092,0.0088,0.0084}),"MOQ="&amp;X22),"")</f>
        <v>0.0908</v>
      </c>
      <c r="X22" s="23">
        <v>1</v>
      </c>
      <c r="Y22" s="25">
        <f>IFERROR(IF(V22="",F22,V22)*W22,"")</f>
        <v>0.0908</v>
      </c>
      <c r="Z22" s="23" t="s">
        <v>117</v>
      </c>
    </row>
    <row r="23" spans="1:26">
      <c r="A23" s="23" t="s">
        <v>120</v>
      </c>
      <c r="B23" s="23" t="s">
        <v>121</v>
      </c>
      <c r="C23" s="23" t="s">
        <v>122</v>
      </c>
      <c r="D23" s="23" t="s">
        <v>126</v>
      </c>
      <c r="E23" s="23" t="s">
        <v>127</v>
      </c>
      <c r="F23" s="23">
        <f>CEILING(BoardQty*7,1)</f>
        <v>7</v>
      </c>
      <c r="G23" s="24">
        <f>IF(MIN(Q23,K23,W23)&lt;&gt;0,MIN(Q23,K23,W23),"")</f>
        <v>0.75</v>
      </c>
      <c r="H23" s="25">
        <f>IF(AND(ISNUMBER(F23),ISNUMBER(G23)),F23*G23,"")</f>
        <v>5.25</v>
      </c>
      <c r="I23" s="23">
        <v>41381</v>
      </c>
      <c r="J23" s="23"/>
      <c r="K23" s="24">
        <f>IFERROR(IF(OR(J23&gt;=L23,F23&gt;=L23),USD_CHF*LOOKUP(IF(J23="",F23,J23),{0,1,10,100,1000,2000,10000,24000,50000},{0.0,0.671,0.307,0.217,0.198,0.166,0.151,0.15,0.142}),"MOQ="&amp;L23),"")</f>
        <v>0.7599468474284486</v>
      </c>
      <c r="L23" s="23">
        <v>1</v>
      </c>
      <c r="M23" s="25">
        <f>IFERROR(IF(J23="",F23,J23)*K23,"")</f>
        <v>5.3196</v>
      </c>
      <c r="N23" s="23" t="s">
        <v>125</v>
      </c>
      <c r="O23" s="23">
        <v>11401</v>
      </c>
      <c r="P23" s="23"/>
      <c r="Q23" s="24">
        <f>IFERROR(IF(OR(P23&gt;=R23,F23&gt;=R23),LOOKUP(IF(P23="",F23,P23),{0,1,10,50,100,500,1000},{0.0,0.75,0.457,0.3388,0.3019,0.23912,0.2195}),"MOQ="&amp;R23),"")</f>
        <v>0.75</v>
      </c>
      <c r="R23" s="23">
        <v>1</v>
      </c>
      <c r="S23" s="25">
        <f>IFERROR(IF(P23="",F23,P23)*Q23,"")</f>
        <v>5.25</v>
      </c>
      <c r="T23" s="23" t="s">
        <v>646</v>
      </c>
    </row>
    <row r="24" spans="1:26">
      <c r="A24" s="23" t="s">
        <v>130</v>
      </c>
      <c r="B24" s="23" t="s">
        <v>131</v>
      </c>
      <c r="C24" s="23" t="s">
        <v>56</v>
      </c>
      <c r="D24" s="23" t="s">
        <v>35</v>
      </c>
      <c r="E24" s="23" t="s">
        <v>134</v>
      </c>
      <c r="F24" s="23">
        <f>CEILING(BoardQty*3,1)</f>
        <v>3</v>
      </c>
      <c r="G24" s="24">
        <f>IF(MIN(Q24,K24,W24)&lt;&gt;0,MIN(Q24,K24,W24),"")</f>
        <v>0.2422</v>
      </c>
      <c r="H24" s="25">
        <f>IF(AND(ISNUMBER(F24),ISNUMBER(G24)),F24*G24,"")</f>
        <v>0.7266</v>
      </c>
      <c r="I24" s="23">
        <v>80</v>
      </c>
      <c r="J24" s="23"/>
      <c r="K24" s="24">
        <f>IFERROR(IF(OR(J24&gt;=L24,F24&gt;=L24),USD_CHF*LOOKUP(IF(J24="",F24,J24),{0,1,10,100,1000,2500,10000,20000,50000,100000},{0.0,0.245,0.1,0.066,0.058,0.049,0.045,0.04,0.037,0.035}),"MOQ="&amp;L24),"")</f>
        <v>0.27747686679578226</v>
      </c>
      <c r="L24" s="23">
        <v>1</v>
      </c>
      <c r="M24" s="25">
        <f>IFERROR(IF(J24="",F24,J24)*K24,"")</f>
        <v>0.8324</v>
      </c>
      <c r="N24" s="23" t="s">
        <v>597</v>
      </c>
      <c r="O24" s="23">
        <v>40182</v>
      </c>
      <c r="P24" s="23"/>
      <c r="Q24" s="24">
        <f>IFERROR(IF(OR(P24&gt;=R24,F24&gt;=R24),LOOKUP(IF(P24="",F24,P24),{0,1,10,50,100,500,1000,2500,5000},{0.0,0.27,0.156,0.111,0.0971,0.0735,0.06612,0.0583,0.05356}),"MOQ="&amp;R24),"")</f>
        <v>0.27</v>
      </c>
      <c r="R24" s="23">
        <v>1</v>
      </c>
      <c r="S24" s="25">
        <f>IFERROR(IF(P24="",F24,P24)*Q24,"")</f>
        <v>0.81</v>
      </c>
      <c r="T24" s="23" t="s">
        <v>133</v>
      </c>
      <c r="U24" s="23">
        <v>8437</v>
      </c>
      <c r="V24" s="23"/>
      <c r="W24" s="24">
        <f>IFERROR(IF(OR(V24&gt;=X24,F24&gt;=X24),LOOKUP(IF(V24="",F24,V24),{0,1,10,50,100,1000,2500,10000,20000,50000,100000},{0.0,0.2422,0.1034,0.0815,0.0742,0.0562,0.051,0.0446,0.042,0.039,0.0371}),"MOQ="&amp;X24),"")</f>
        <v>0.2422</v>
      </c>
      <c r="X24" s="23">
        <v>1</v>
      </c>
      <c r="Y24" s="25">
        <f>IFERROR(IF(V24="",F24,V24)*W24,"")</f>
        <v>0.7266</v>
      </c>
      <c r="Z24" s="23" t="s">
        <v>134</v>
      </c>
    </row>
    <row r="25" spans="1:26">
      <c r="A25" s="23" t="s">
        <v>137</v>
      </c>
      <c r="B25" s="23" t="s">
        <v>138</v>
      </c>
      <c r="C25" s="23" t="s">
        <v>86</v>
      </c>
      <c r="D25" s="23" t="s">
        <v>35</v>
      </c>
      <c r="E25" s="23" t="s">
        <v>141</v>
      </c>
      <c r="F25" s="23">
        <f>CEILING(BoardQty*4,1)</f>
        <v>4</v>
      </c>
      <c r="G25" s="24">
        <f>IF(MIN(Q25,K25,W25)&lt;&gt;0,MIN(Q25,K25,W25),"")</f>
        <v>0.868</v>
      </c>
      <c r="H25" s="25">
        <f>IF(AND(ISNUMBER(F25),ISNUMBER(G25)),F25*G25,"")</f>
        <v>3.472</v>
      </c>
      <c r="I25" s="23">
        <v>18768</v>
      </c>
      <c r="J25" s="23"/>
      <c r="K25" s="24">
        <f>IFERROR(IF(OR(J25&gt;=L25,F25&gt;=L25),USD_CHF*LOOKUP(IF(J25="",F25,J25),{0,1,10,100,500,1000,2000,10000},{0.0,0.871,0.405,0.359,0.291,0.265,0.226,0.207}),"MOQ="&amp;L25),"")</f>
        <v>0.9864585754250055</v>
      </c>
      <c r="L25" s="23">
        <v>1</v>
      </c>
      <c r="M25" s="25">
        <f>IFERROR(IF(J25="",F25,J25)*K25,"")</f>
        <v>3.9458</v>
      </c>
      <c r="N25" s="23" t="s">
        <v>598</v>
      </c>
      <c r="O25" s="23">
        <v>22002</v>
      </c>
      <c r="P25" s="23"/>
      <c r="Q25" s="24">
        <f>IFERROR(IF(OR(P25&gt;=R25,F25&gt;=R25),LOOKUP(IF(P25="",F25,P25),{0,1,10,50,100,500,1000},{0.0,0.97,0.594,0.4452,0.3988,0.3196,0.29487}),"MOQ="&amp;R25),"")</f>
        <v>0.97</v>
      </c>
      <c r="R25" s="23">
        <v>1</v>
      </c>
      <c r="S25" s="25">
        <f>IFERROR(IF(P25="",F25,P25)*Q25,"")</f>
        <v>3.88</v>
      </c>
      <c r="T25" s="23" t="s">
        <v>140</v>
      </c>
      <c r="U25" s="23">
        <v>5194</v>
      </c>
      <c r="V25" s="23"/>
      <c r="W25" s="24">
        <f>IFERROR(IF(OR(V25&gt;=X25,F25&gt;=X25),LOOKUP(IF(V25="",F25,V25),{0,1,5,10,50,100,250,500,1000,2000},{0.0,0.868,0.484,0.448,0.374,0.343,0.302,0.272,0.241,0.21}),"MOQ="&amp;X25),"")</f>
        <v>0.868</v>
      </c>
      <c r="X25" s="23">
        <v>1</v>
      </c>
      <c r="Y25" s="25">
        <f>IFERROR(IF(V25="",F25,V25)*W25,"")</f>
        <v>3.472</v>
      </c>
      <c r="Z25" s="23" t="s">
        <v>141</v>
      </c>
    </row>
    <row r="26" spans="1:26" ht="60" customHeight="1">
      <c r="A26" s="23" t="s">
        <v>143</v>
      </c>
      <c r="B26" s="23" t="s">
        <v>138</v>
      </c>
      <c r="C26" s="23" t="s">
        <v>144</v>
      </c>
      <c r="D26" s="23" t="s">
        <v>35</v>
      </c>
      <c r="E26" s="23" t="s">
        <v>141</v>
      </c>
      <c r="F26" s="23">
        <f>CEILING(BoardQty*50,1)</f>
        <v>50</v>
      </c>
      <c r="G26" s="24">
        <f>IF(MIN(Q26,K26,W26)&lt;&gt;0,MIN(Q26,K26,W26),"")</f>
        <v>0.374</v>
      </c>
      <c r="H26" s="25">
        <f>IF(AND(ISNUMBER(F26),ISNUMBER(G26)),F26*G26,"")</f>
        <v>18.7</v>
      </c>
      <c r="I26" s="23">
        <v>18768</v>
      </c>
      <c r="J26" s="23"/>
      <c r="K26" s="24">
        <f>IFERROR(IF(OR(J26&gt;=L26,F26&gt;=L26),USD_CHF*LOOKUP(IF(J26="",F26,J26),{0,1,10,100,500,1000,2000,10000},{0.0,0.871,0.405,0.359,0.291,0.265,0.226,0.207}),"MOQ="&amp;L26),"")</f>
        <v>0.45868624919302786</v>
      </c>
      <c r="L26" s="23">
        <v>1</v>
      </c>
      <c r="M26" s="25">
        <f>IFERROR(IF(J26="",F26,J26)*K26,"")</f>
        <v>22.9343</v>
      </c>
      <c r="N26" s="23" t="s">
        <v>598</v>
      </c>
      <c r="O26" s="23">
        <v>22002</v>
      </c>
      <c r="P26" s="23"/>
      <c r="Q26" s="24">
        <f>IFERROR(IF(OR(P26&gt;=R26,F26&gt;=R26),LOOKUP(IF(P26="",F26,P26),{0,1,10,50,100,500,1000},{0.0,0.97,0.594,0.4452,0.3988,0.3196,0.29487}),"MOQ="&amp;R26),"")</f>
        <v>0.4452</v>
      </c>
      <c r="R26" s="23">
        <v>1</v>
      </c>
      <c r="S26" s="25">
        <f>IFERROR(IF(P26="",F26,P26)*Q26,"")</f>
        <v>22.26</v>
      </c>
      <c r="T26" s="23" t="s">
        <v>140</v>
      </c>
      <c r="U26" s="23">
        <v>5194</v>
      </c>
      <c r="V26" s="23"/>
      <c r="W26" s="24">
        <f>IFERROR(IF(OR(V26&gt;=X26,F26&gt;=X26),LOOKUP(IF(V26="",F26,V26),{0,1,5,10,50,100,250,500,1000,2000},{0.0,0.868,0.484,0.448,0.374,0.343,0.302,0.272,0.241,0.21}),"MOQ="&amp;X26),"")</f>
        <v>0.374</v>
      </c>
      <c r="X26" s="23">
        <v>1</v>
      </c>
      <c r="Y26" s="25">
        <f>IFERROR(IF(V26="",F26,V26)*W26,"")</f>
        <v>18.7</v>
      </c>
      <c r="Z26" s="23" t="s">
        <v>141</v>
      </c>
    </row>
    <row r="27" spans="1:26">
      <c r="A27" s="23" t="s">
        <v>148</v>
      </c>
      <c r="B27" s="23" t="s">
        <v>149</v>
      </c>
      <c r="C27" s="23" t="s">
        <v>19</v>
      </c>
      <c r="D27" s="23" t="s">
        <v>152</v>
      </c>
      <c r="E27" s="23" t="s">
        <v>153</v>
      </c>
      <c r="F27" s="23">
        <f>BoardQty*1</f>
        <v>1</v>
      </c>
      <c r="G27" s="24">
        <f>IF(MIN(Q27,K27,W27)&lt;&gt;0,MIN(Q27,K27,W27),"")</f>
        <v>0.30805595007531744</v>
      </c>
      <c r="H27" s="25">
        <f>IF(AND(ISNUMBER(F27),ISNUMBER(G27)),F27*G27,"")</f>
        <v>0.3081</v>
      </c>
      <c r="I27" s="26" t="s">
        <v>594</v>
      </c>
      <c r="J27" s="23"/>
      <c r="K27" s="24">
        <f>IFERROR(IF(OR(J27&gt;=L27,F27&gt;=L27),USD_CHF*LOOKUP(IF(J27="",F27,J27),{0,1,10,100,1000,2500,10000,20000,50000,100000},{0.0,0.272,0.115,0.077,0.068,0.058,0.049,0.047,0.045,0.042}),"MOQ="&amp;L27),"")</f>
        <v>0.30805595007531744</v>
      </c>
      <c r="L27" s="23">
        <v>1</v>
      </c>
      <c r="M27" s="25">
        <f>IFERROR(IF(J27="",F27,J27)*K27,"")</f>
        <v>0.3081</v>
      </c>
      <c r="N27" s="23" t="s">
        <v>599</v>
      </c>
      <c r="O27" s="26" t="s">
        <v>594</v>
      </c>
      <c r="P27" s="23"/>
      <c r="Q27" s="24">
        <f>IFERROR(IF(OR(P27&gt;=R27,F27&gt;=R27),LOOKUP(IF(P27="",F27,P27),{0,1,10,50,100,500,1000,2500,5000},{0.0,0.31,0.178,0.1274,0.1116,0.08486,0.07653,0.06768,0.06232}),"MOQ="&amp;R27),"")</f>
        <v>0.31</v>
      </c>
      <c r="R27" s="23">
        <v>1</v>
      </c>
      <c r="S27" s="25">
        <f>IFERROR(IF(P27="",F27,P27)*Q27,"")</f>
        <v>0.31</v>
      </c>
      <c r="T27" s="23" t="s">
        <v>151</v>
      </c>
    </row>
    <row r="28" spans="1:26">
      <c r="A28" s="23" t="s">
        <v>156</v>
      </c>
      <c r="B28" s="23" t="s">
        <v>157</v>
      </c>
      <c r="C28" s="23" t="s">
        <v>158</v>
      </c>
      <c r="D28" s="23" t="s">
        <v>35</v>
      </c>
      <c r="E28" s="23" t="s">
        <v>161</v>
      </c>
      <c r="F28" s="23">
        <f>CEILING(BoardQty*2,1)</f>
        <v>2</v>
      </c>
      <c r="G28" s="24">
        <f>IF(MIN(Q28,K28,W28)&lt;&gt;0,MIN(Q28,K28,W28),"")</f>
        <v>0.34</v>
      </c>
      <c r="H28" s="25">
        <f>IF(AND(ISNUMBER(F28),ISNUMBER(G28)),F28*G28,"")</f>
        <v>0.68</v>
      </c>
      <c r="I28" s="23">
        <v>135928</v>
      </c>
      <c r="J28" s="23"/>
      <c r="K28" s="24">
        <f>IFERROR(IF(OR(J28&gt;=L28,F28&gt;=L28),USD_CHF*LOOKUP(IF(J28="",F28,J28),{0,1,10,100,1000,3000,9000,24000,45000},{0.0,0.308,0.129,0.087,0.077,0.066,0.059,0.055,0.052}),"MOQ="&amp;L28),"")</f>
        <v>0.34882806111469766</v>
      </c>
      <c r="L28" s="23">
        <v>1</v>
      </c>
      <c r="M28" s="25">
        <f>IFERROR(IF(J28="",F28,J28)*K28,"")</f>
        <v>0.6977</v>
      </c>
      <c r="N28" s="23" t="s">
        <v>600</v>
      </c>
      <c r="O28" s="23">
        <v>38599</v>
      </c>
      <c r="P28" s="23"/>
      <c r="Q28" s="24">
        <f>IFERROR(IF(OR(P28&gt;=R28,F28&gt;=R28),LOOKUP(IF(P28="",F28,P28),{0,1,10,50,100,500,1000},{0.0,0.34,0.198,0.142,0.1247,0.09524,0.08607}),"MOQ="&amp;R28),"")</f>
        <v>0.34</v>
      </c>
      <c r="R28" s="23">
        <v>1</v>
      </c>
      <c r="S28" s="25">
        <f>IFERROR(IF(P28="",F28,P28)*Q28,"")</f>
        <v>0.68</v>
      </c>
      <c r="T28" s="23" t="s">
        <v>160</v>
      </c>
      <c r="U28" s="26" t="s">
        <v>594</v>
      </c>
      <c r="V28" s="23"/>
      <c r="W28" s="24">
        <f>IFERROR(IF(OR(V28&gt;=X28,F28&gt;=X28),LOOKUP(IF(V28="",F28,V28),{0,1,10,50,100,500,1000,3000,15000,75000},{0.0,0.351,0.231,0.156,0.133,0.096,0.087,0.075,0.065,0.062}),"MOQ="&amp;X28),"")</f>
        <v>0.351</v>
      </c>
      <c r="X28" s="23">
        <v>1</v>
      </c>
      <c r="Y28" s="25">
        <f>IFERROR(IF(V28="",F28,V28)*W28,"")</f>
        <v>0.702</v>
      </c>
      <c r="Z28" s="23" t="s">
        <v>161</v>
      </c>
    </row>
    <row r="29" spans="1:26">
      <c r="A29" s="23" t="s">
        <v>164</v>
      </c>
      <c r="B29" s="23" t="s">
        <v>165</v>
      </c>
      <c r="C29" s="23" t="s">
        <v>166</v>
      </c>
      <c r="D29" s="23" t="s">
        <v>126</v>
      </c>
      <c r="E29" s="23" t="s">
        <v>169</v>
      </c>
      <c r="F29" s="23">
        <f>CEILING(BoardQty*2,1)</f>
        <v>2</v>
      </c>
      <c r="G29" s="24">
        <f>IF(MIN(Q29,K29,W29)&lt;&gt;0,MIN(Q29,K29,W29),"")</f>
        <v>1.63088444157521</v>
      </c>
      <c r="H29" s="25">
        <f>IF(AND(ISNUMBER(F29),ISNUMBER(G29)),F29*G29,"")</f>
        <v>3.2618</v>
      </c>
      <c r="I29" s="23">
        <v>2414</v>
      </c>
      <c r="J29" s="23"/>
      <c r="K29" s="24">
        <f>IFERROR(IF(OR(J29&gt;=L29,F29&gt;=L29),USD_CHF*LOOKUP(IF(J29="",F29,J29),{0,1,10,100,500,1000,2000},{0.0,1.44,0.814,0.747,0.593,0.549,0.528}),"MOQ="&amp;L29),"")</f>
        <v>1.63088444157521</v>
      </c>
      <c r="L29" s="23">
        <v>1</v>
      </c>
      <c r="M29" s="25">
        <f>IFERROR(IF(J29="",F29,J29)*K29,"")</f>
        <v>3.2618</v>
      </c>
      <c r="N29" s="23" t="s">
        <v>601</v>
      </c>
      <c r="O29" s="23">
        <v>3107</v>
      </c>
      <c r="P29" s="23"/>
      <c r="Q29" s="24">
        <f>IFERROR(IF(OR(P29&gt;=R29,F29&gt;=R29),LOOKUP(IF(P29="",F29,P29),{0,1,10,50,100,500},{0.0,1.86,1.183,0.9106,0.8256,0.6806}),"MOQ="&amp;R29),"")</f>
        <v>1.86</v>
      </c>
      <c r="R29" s="23">
        <v>1</v>
      </c>
      <c r="S29" s="25">
        <f>IFERROR(IF(P29="",F29,P29)*Q29,"")</f>
        <v>3.72</v>
      </c>
      <c r="T29" s="23" t="s">
        <v>168</v>
      </c>
      <c r="U29" s="26" t="s">
        <v>594</v>
      </c>
      <c r="V29" s="23"/>
      <c r="W29" s="24">
        <f>IFERROR(IF(OR(V29&gt;=X29,F29&gt;=X29),LOOKUP(IF(V29="",F29,V29),{0,1,1000,7000},{0.0,0.543,0.543,0.515}),"MOQ="&amp;X29),"")</f>
        <v/>
      </c>
      <c r="X29" s="23">
        <v>1000</v>
      </c>
      <c r="Y29" s="25">
        <f>IFERROR(IF(V29="",F29,V29)*W29,"")</f>
        <v/>
      </c>
      <c r="Z29" s="23" t="s">
        <v>652</v>
      </c>
    </row>
    <row r="30" spans="1:26">
      <c r="A30" s="23" t="s">
        <v>172</v>
      </c>
      <c r="B30" s="23" t="s">
        <v>173</v>
      </c>
      <c r="C30" s="23" t="s">
        <v>158</v>
      </c>
      <c r="D30" s="23" t="s">
        <v>35</v>
      </c>
      <c r="E30" s="23" t="s">
        <v>176</v>
      </c>
      <c r="F30" s="23">
        <f>CEILING(BoardQty*2,1)</f>
        <v>2</v>
      </c>
      <c r="G30" s="24">
        <f>IF(MIN(Q30,K30,W30)&lt;&gt;0,MIN(Q30,K30,W30),"")</f>
        <v>0.322</v>
      </c>
      <c r="H30" s="25">
        <f>IF(AND(ISNUMBER(F30),ISNUMBER(G30)),F30*G30,"")</f>
        <v>0.644</v>
      </c>
      <c r="I30" s="23">
        <v>21268</v>
      </c>
      <c r="J30" s="23"/>
      <c r="K30" s="24">
        <f>IFERROR(IF(OR(J30&gt;=L30,F30&gt;=L30),USD_CHF*LOOKUP(IF(J30="",F30,J30),{0,1,10,100,1000,3000,9000,45000,99000},{0.0,0.371,0.158,0.108,0.098,0.081,0.079,0.061,0.059}),"MOQ="&amp;L30),"")</f>
        <v>0.4201792554336131</v>
      </c>
      <c r="L30" s="23">
        <v>1</v>
      </c>
      <c r="M30" s="25">
        <f>IFERROR(IF(J30="",F30,J30)*K30,"")</f>
        <v>0.8404</v>
      </c>
      <c r="N30" s="23" t="s">
        <v>602</v>
      </c>
      <c r="O30" s="23">
        <v>51512</v>
      </c>
      <c r="P30" s="23"/>
      <c r="Q30" s="24">
        <f>IFERROR(IF(OR(P30&gt;=R30,F30&gt;=R30),LOOKUP(IF(P30="",F30,P30),{0,1,10,50,100,500,1000},{0.0,0.4,0.235,0.1696,0.1493,0.11488,0.10415}),"MOQ="&amp;R30),"")</f>
        <v>0.4</v>
      </c>
      <c r="R30" s="23">
        <v>1</v>
      </c>
      <c r="S30" s="25">
        <f>IFERROR(IF(P30="",F30,P30)*Q30,"")</f>
        <v>0.8</v>
      </c>
      <c r="T30" s="23" t="s">
        <v>175</v>
      </c>
      <c r="U30" s="26" t="s">
        <v>594</v>
      </c>
      <c r="V30" s="23"/>
      <c r="W30" s="24">
        <f>IFERROR(IF(OR(V30&gt;=X30,F30&gt;=X30),LOOKUP(IF(V30="",F30,V30),{0,1,5,10,50,100,1000,3000,6000,9000,45000},{0.0,0.322,0.226,0.185,0.12,0.104,0.078,0.074,0.072,0.071,0.069}),"MOQ="&amp;X30),"")</f>
        <v>0.322</v>
      </c>
      <c r="X30" s="23">
        <v>1</v>
      </c>
      <c r="Y30" s="25">
        <f>IFERROR(IF(V30="",F30,V30)*W30,"")</f>
        <v>0.644</v>
      </c>
      <c r="Z30" s="23" t="s">
        <v>176</v>
      </c>
    </row>
    <row r="31" spans="1:26">
      <c r="A31" s="23" t="s">
        <v>179</v>
      </c>
      <c r="B31" s="23" t="s">
        <v>180</v>
      </c>
      <c r="C31" s="23" t="s">
        <v>56</v>
      </c>
      <c r="D31" s="23" t="s">
        <v>59</v>
      </c>
      <c r="E31" s="23" t="s">
        <v>183</v>
      </c>
      <c r="F31" s="23">
        <f>CEILING(BoardQty*3,1)</f>
        <v>3</v>
      </c>
      <c r="G31" s="24">
        <f>IF(MIN(Q31,K31,W31)&lt;&gt;0,MIN(Q31,K31,W31),"")</f>
        <v>0.382</v>
      </c>
      <c r="H31" s="25">
        <f>IF(AND(ISNUMBER(F31),ISNUMBER(G31)),F31*G31,"")</f>
        <v>1.146</v>
      </c>
      <c r="I31" s="26" t="s">
        <v>594</v>
      </c>
      <c r="J31" s="23"/>
      <c r="N31" s="23" t="s">
        <v>603</v>
      </c>
      <c r="O31" s="23">
        <v>30938</v>
      </c>
      <c r="P31" s="23"/>
      <c r="Q31" s="24">
        <f>IFERROR(IF(OR(P31&gt;=R31,F31&gt;=R31),LOOKUP(IF(P31="",F31,P31),{0,1,10,50,100,500,1000},{0.0,0.47,0.278,0.2026,0.1791,0.139,0.12651}),"MOQ="&amp;R31),"")</f>
        <v>0.47</v>
      </c>
      <c r="R31" s="23">
        <v>1</v>
      </c>
      <c r="S31" s="25">
        <f>IFERROR(IF(P31="",F31,P31)*Q31,"")</f>
        <v>1.41</v>
      </c>
      <c r="T31" s="23" t="s">
        <v>182</v>
      </c>
      <c r="U31" s="23">
        <v>11000</v>
      </c>
      <c r="V31" s="23"/>
      <c r="W31" s="24">
        <f>IFERROR(IF(OR(V31&gt;=X31,F31&gt;=X31),LOOKUP(IF(V31="",F31,V31),{0,1,10,50,100,1000,4000,8000,24000,100000},{0.0,0.382,0.18,0.134,0.121,0.096,0.089,0.087,0.083,0.081}),"MOQ="&amp;X31),"")</f>
        <v>0.382</v>
      </c>
      <c r="X31" s="23">
        <v>1</v>
      </c>
      <c r="Y31" s="25">
        <f>IFERROR(IF(V31="",F31,V31)*W31,"")</f>
        <v>1.146</v>
      </c>
      <c r="Z31" s="23" t="s">
        <v>653</v>
      </c>
    </row>
    <row r="32" spans="1:26">
      <c r="A32" s="23" t="s">
        <v>187</v>
      </c>
      <c r="B32" s="23" t="s">
        <v>186</v>
      </c>
      <c r="C32" s="23" t="s">
        <v>188</v>
      </c>
      <c r="D32" s="23" t="s">
        <v>191</v>
      </c>
      <c r="E32" s="23" t="s">
        <v>186</v>
      </c>
      <c r="F32" s="23">
        <f>CEILING(BoardQty*15,1)</f>
        <v>15</v>
      </c>
      <c r="G32" s="24">
        <f>IF(MIN(Q32,K32,W32)&lt;&gt;0,MIN(Q32,K32,W32),"")</f>
        <v>0.184</v>
      </c>
      <c r="H32" s="25">
        <f>IF(AND(ISNUMBER(F32),ISNUMBER(G32)),F32*G32,"")</f>
        <v>2.76</v>
      </c>
      <c r="I32" s="23">
        <v>211339</v>
      </c>
      <c r="J32" s="23"/>
      <c r="K32" s="24">
        <f>IFERROR(IF(OR(J32&gt;=L32,F32&gt;=L32),USD_CHF*LOOKUP(IF(J32="",F32,J32),{0,1,10,100,1000,3000,9000,24000,45000},{0.0,0.254,0.167,0.084,0.067,0.052,0.045,0.043,0.041}),"MOQ="&amp;L32),"")</f>
        <v>0.18913729287712505</v>
      </c>
      <c r="L32" s="23">
        <v>1</v>
      </c>
      <c r="M32" s="25">
        <f>IFERROR(IF(J32="",F32,J32)*K32,"")</f>
        <v>2.8371</v>
      </c>
      <c r="N32" s="23" t="s">
        <v>604</v>
      </c>
      <c r="O32" s="23">
        <v>41920</v>
      </c>
      <c r="P32" s="23"/>
      <c r="Q32" s="24">
        <f>IFERROR(IF(OR(P32&gt;=R32,F32&gt;=R32),LOOKUP(IF(P32="",F32,P32),{0,1,10,100,500,1000},{0.0,0.34,0.206,0.129,0.09552,0.08468}),"MOQ="&amp;R32),"")</f>
        <v>0.206</v>
      </c>
      <c r="R32" s="23">
        <v>1</v>
      </c>
      <c r="S32" s="25">
        <f>IFERROR(IF(P32="",F32,P32)*Q32,"")</f>
        <v>3.09</v>
      </c>
      <c r="T32" s="23" t="s">
        <v>190</v>
      </c>
      <c r="U32" s="23">
        <v>25514</v>
      </c>
      <c r="V32" s="23"/>
      <c r="W32" s="24">
        <f>IFERROR(IF(OR(V32&gt;=X32,F32&gt;=X32),LOOKUP(IF(V32="",F32,V32),{0,1,10,50,100,1000,2500,3000,6000,9000,45000},{0.0,0.28,0.184,0.1448,0.0955,0.0848,0.0705,0.0669,0.0623,0.0575,0.0562}),"MOQ="&amp;X32),"")</f>
        <v>0.184</v>
      </c>
      <c r="X32" s="23">
        <v>1</v>
      </c>
      <c r="Y32" s="25">
        <f>IFERROR(IF(V32="",F32,V32)*W32,"")</f>
        <v>2.76</v>
      </c>
      <c r="Z32" s="23" t="s">
        <v>186</v>
      </c>
    </row>
    <row r="33" spans="1:26">
      <c r="A33" s="23" t="s">
        <v>195</v>
      </c>
      <c r="B33" s="23" t="s">
        <v>194</v>
      </c>
      <c r="C33" s="23" t="s">
        <v>196</v>
      </c>
      <c r="D33" s="23" t="s">
        <v>199</v>
      </c>
      <c r="E33" s="23" t="s">
        <v>194</v>
      </c>
      <c r="F33" s="23">
        <f>CEILING(BoardQty*2,1)</f>
        <v>2</v>
      </c>
      <c r="G33" s="24">
        <f>IF(MIN(Q33,K33,W33)&lt;&gt;0,MIN(Q33,K33,W33),"")</f>
        <v>1.5</v>
      </c>
      <c r="H33" s="25">
        <f>IF(AND(ISNUMBER(F33),ISNUMBER(G33)),F33*G33,"")</f>
        <v>3.0</v>
      </c>
      <c r="I33" s="23">
        <v>40692</v>
      </c>
      <c r="J33" s="23"/>
      <c r="K33" s="24">
        <f>IFERROR(IF(OR(J33&gt;=L33,F33&gt;=L33),USD_CHF*LOOKUP(IF(J33="",F33,J33),{0,1,10,100,500,1000,3000,6000},{0.0,1.37,1.04,0.736,0.6,0.598,0.552,0.531}),"MOQ="&amp;L33),"")</f>
        <v>1.551605336776415</v>
      </c>
      <c r="L33" s="23">
        <v>1</v>
      </c>
      <c r="M33" s="25">
        <f>IFERROR(IF(J33="",F33,J33)*K33,"")</f>
        <v>3.1032</v>
      </c>
      <c r="N33" s="23" t="s">
        <v>605</v>
      </c>
      <c r="O33" s="23">
        <v>35896</v>
      </c>
      <c r="P33" s="23"/>
      <c r="Q33" s="24">
        <f>IFERROR(IF(OR(P33&gt;=R33,F33&gt;=R33),LOOKUP(IF(P33="",F33,P33),{0,1,10,100,500},{0.0,1.5,1.15,0.812,0.661}),"MOQ="&amp;R33),"")</f>
        <v>1.5</v>
      </c>
      <c r="R33" s="23">
        <v>1</v>
      </c>
      <c r="S33" s="25">
        <f>IFERROR(IF(P33="",F33,P33)*Q33,"")</f>
        <v>3.0</v>
      </c>
      <c r="T33" s="23" t="s">
        <v>198</v>
      </c>
      <c r="U33" s="23">
        <v>16840</v>
      </c>
      <c r="V33" s="23"/>
      <c r="W33" s="24">
        <f>IFERROR(IF(OR(V33&gt;=X33,F33&gt;=X33),LOOKUP(IF(V33="",F33,V33),{0,1,10,100,500,1000,1500,3000,6000},{0.0,1.84,0.841,0.641,0.552,0.523,0.507,0.484,0.463}),"MOQ="&amp;X33),"")</f>
        <v>1.84</v>
      </c>
      <c r="X33" s="23">
        <v>1</v>
      </c>
      <c r="Y33" s="25">
        <f>IFERROR(IF(V33="",F33,V33)*W33,"")</f>
        <v>3.68</v>
      </c>
      <c r="Z33" s="23" t="s">
        <v>194</v>
      </c>
    </row>
    <row r="34" spans="1:26">
      <c r="A34" s="23" t="s">
        <v>203</v>
      </c>
      <c r="B34" s="23" t="s">
        <v>204</v>
      </c>
      <c r="C34" s="23" t="s">
        <v>205</v>
      </c>
      <c r="D34" s="23" t="s">
        <v>208</v>
      </c>
      <c r="E34" s="23" t="s">
        <v>209</v>
      </c>
      <c r="F34" s="23">
        <f>BoardQty*1</f>
        <v>1</v>
      </c>
      <c r="G34" s="24">
        <f>IF(MIN(Q34,K34,W34)&lt;&gt;0,MIN(Q34,K34,W34),"")</f>
        <v>1.088388853023456</v>
      </c>
      <c r="H34" s="25">
        <f>IF(AND(ISNUMBER(F34),ISNUMBER(G34)),F34*G34,"")</f>
        <v>1.0884</v>
      </c>
      <c r="I34" s="23">
        <v>13255</v>
      </c>
      <c r="J34" s="23"/>
      <c r="K34" s="24">
        <f>IFERROR(IF(OR(J34&gt;=L34,F34&gt;=L34),USD_CHF*LOOKUP(IF(J34="",F34,J34),{0,1,10,100,500,1000,3000,24000},{0.0,0.961,0.628,0.467,0.432,0.371,0.371,0.343}),"MOQ="&amp;L34),"")</f>
        <v>1.088388853023456</v>
      </c>
      <c r="L34" s="23">
        <v>1</v>
      </c>
      <c r="M34" s="25">
        <f>IFERROR(IF(J34="",F34,J34)*K34,"")</f>
        <v>1.0884</v>
      </c>
      <c r="N34" s="23" t="s">
        <v>606</v>
      </c>
      <c r="O34" s="23">
        <v>29489</v>
      </c>
      <c r="P34" s="23"/>
      <c r="Q34" s="24">
        <f>IFERROR(IF(OR(P34&gt;=R34,F34&gt;=R34),LOOKUP(IF(P34="",F34,P34),{0,1,10,100,500,1000},{0.0,1.33,0.832,0.5766,0.476,0.44512}),"MOQ="&amp;R34),"")</f>
        <v>1.33</v>
      </c>
      <c r="R34" s="23">
        <v>1</v>
      </c>
      <c r="S34" s="25">
        <f>IFERROR(IF(P34="",F34,P34)*Q34,"")</f>
        <v>1.33</v>
      </c>
      <c r="T34" s="23" t="s">
        <v>207</v>
      </c>
    </row>
    <row r="35" spans="1:26">
      <c r="A35" s="23" t="s">
        <v>212</v>
      </c>
      <c r="B35" s="23" t="s">
        <v>211</v>
      </c>
      <c r="C35" s="23" t="s">
        <v>213</v>
      </c>
      <c r="D35" s="23" t="s">
        <v>216</v>
      </c>
      <c r="E35" s="23" t="s">
        <v>211</v>
      </c>
      <c r="F35" s="23">
        <f>CEILING(BoardQty*2,1)</f>
        <v>2</v>
      </c>
      <c r="G35" s="24">
        <f>IF(MIN(Q35,K35,W35)&lt;&gt;0,MIN(Q35,K35,W35),"")</f>
        <v>0.24</v>
      </c>
      <c r="H35" s="25">
        <f>IF(AND(ISNUMBER(F35),ISNUMBER(G35)),F35*G35,"")</f>
        <v>0.48</v>
      </c>
      <c r="I35" s="23">
        <v>11091</v>
      </c>
      <c r="J35" s="23"/>
      <c r="K35" s="24">
        <f>IFERROR(IF(OR(J35&gt;=L35,F35&gt;=L35),USD_CHF*LOOKUP(IF(J35="",F35,J35),{0,1,10,100,1000,3000,9000,24000,45000},{0.0,0.217,0.149,0.077,0.069,0.054,0.049,0.044,0.041}),"MOQ="&amp;L35),"")</f>
        <v>0.2457652248762643</v>
      </c>
      <c r="L35" s="23">
        <v>1</v>
      </c>
      <c r="M35" s="25">
        <f>IFERROR(IF(J35="",F35,J35)*K35,"")</f>
        <v>0.4915</v>
      </c>
      <c r="N35" s="23" t="s">
        <v>607</v>
      </c>
      <c r="O35" s="23">
        <v>8464</v>
      </c>
      <c r="P35" s="23"/>
      <c r="Q35" s="24">
        <f>IFERROR(IF(OR(P35&gt;=R35,F35&gt;=R35),LOOKUP(IF(P35="",F35,P35),{0,1,10,100,500,1000},{0.0,0.24,0.164,0.085,0.0805,0.076}),"MOQ="&amp;R35),"")</f>
        <v>0.24</v>
      </c>
      <c r="R35" s="23">
        <v>1</v>
      </c>
      <c r="S35" s="25">
        <f>IFERROR(IF(P35="",F35,P35)*Q35,"")</f>
        <v>0.48</v>
      </c>
      <c r="T35" s="23" t="s">
        <v>215</v>
      </c>
    </row>
    <row r="36" spans="1:26">
      <c r="A36" s="23" t="s">
        <v>220</v>
      </c>
      <c r="B36" s="23" t="s">
        <v>219</v>
      </c>
      <c r="C36" s="23" t="s">
        <v>221</v>
      </c>
      <c r="D36" s="23" t="s">
        <v>216</v>
      </c>
      <c r="E36" s="23" t="s">
        <v>219</v>
      </c>
      <c r="F36" s="23">
        <f>CEILING(BoardQty*2,1)</f>
        <v>2</v>
      </c>
      <c r="G36" s="24">
        <f>IF(MIN(Q36,K36,W36)&lt;&gt;0,MIN(Q36,K36,W36),"")</f>
        <v>0.55</v>
      </c>
      <c r="H36" s="25">
        <f>IF(AND(ISNUMBER(F36),ISNUMBER(G36)),F36*G36,"")</f>
        <v>1.1</v>
      </c>
      <c r="I36" s="23">
        <v>5215</v>
      </c>
      <c r="J36" s="23"/>
      <c r="K36" s="24">
        <f>IFERROR(IF(OR(J36&gt;=L36,F36&gt;=L36),USD_CHF*LOOKUP(IF(J36="",F36,J36),{0,1,10,100,500,1000,4000,8000,24000},{0.0,0.499,0.347,0.215,0.173,0.128,0.122,0.102,0.1}),"MOQ="&amp;L36),"")</f>
        <v>0.5651467613514096</v>
      </c>
      <c r="L36" s="23">
        <v>1</v>
      </c>
      <c r="M36" s="25">
        <f>IFERROR(IF(J36="",F36,J36)*K36,"")</f>
        <v>1.1303</v>
      </c>
      <c r="N36" s="23" t="s">
        <v>608</v>
      </c>
      <c r="O36" s="23">
        <v>7901</v>
      </c>
      <c r="P36" s="23"/>
      <c r="Q36" s="24">
        <f>IFERROR(IF(OR(P36&gt;=R36,F36&gt;=R36),LOOKUP(IF(P36="",F36,P36),{0,1,10,100,500,1000},{0.0,0.55,0.383,0.237,0.19,0.141}),"MOQ="&amp;R36),"")</f>
        <v>0.55</v>
      </c>
      <c r="R36" s="23">
        <v>1</v>
      </c>
      <c r="S36" s="25">
        <f>IFERROR(IF(P36="",F36,P36)*Q36,"")</f>
        <v>1.1</v>
      </c>
      <c r="T36" s="23" t="s">
        <v>223</v>
      </c>
    </row>
    <row r="37" spans="1:26">
      <c r="A37" s="23" t="s">
        <v>227</v>
      </c>
      <c r="B37" s="23" t="s">
        <v>226</v>
      </c>
      <c r="C37" s="23" t="s">
        <v>221</v>
      </c>
      <c r="D37" s="23" t="s">
        <v>216</v>
      </c>
      <c r="E37" s="23" t="s">
        <v>226</v>
      </c>
      <c r="F37" s="23">
        <f>CEILING(BoardQty*2,1)</f>
        <v>2</v>
      </c>
      <c r="G37" s="24">
        <f>IF(MIN(Q37,K37,W37)&lt;&gt;0,MIN(Q37,K37,W37),"")</f>
        <v>0.48</v>
      </c>
      <c r="H37" s="25">
        <f>IF(AND(ISNUMBER(F37),ISNUMBER(G37)),F37*G37,"")</f>
        <v>0.96</v>
      </c>
      <c r="I37" s="23">
        <v>9714</v>
      </c>
      <c r="J37" s="23"/>
      <c r="K37" s="24">
        <f>IFERROR(IF(OR(J37&gt;=L37,F37&gt;=L37),USD_CHF*LOOKUP(IF(J37="",F37,J37),{0,1,10,100,500,1000,2000,4000,8000},{0.0,0.435,0.301,0.204,0.16,0.145,0.133,0.121,0.106}),"MOQ="&amp;L37),"")</f>
        <v>0.49266300839251137</v>
      </c>
      <c r="L37" s="23">
        <v>1</v>
      </c>
      <c r="M37" s="25">
        <f>IFERROR(IF(J37="",F37,J37)*K37,"")</f>
        <v>0.9853</v>
      </c>
      <c r="N37" s="23" t="s">
        <v>609</v>
      </c>
      <c r="O37" s="23">
        <v>11218</v>
      </c>
      <c r="P37" s="23"/>
      <c r="Q37" s="24">
        <f>IFERROR(IF(OR(P37&gt;=R37,F37&gt;=R37),LOOKUP(IF(P37="",F37,P37),{0,1,10,100,500,1000,2000},{0.0,0.48,0.332,0.225,0.176,0.16,0.146}),"MOQ="&amp;R37),"")</f>
        <v>0.48</v>
      </c>
      <c r="R37" s="23">
        <v>1</v>
      </c>
      <c r="S37" s="25">
        <f>IFERROR(IF(P37="",F37,P37)*Q37,"")</f>
        <v>0.96</v>
      </c>
      <c r="T37" s="23" t="s">
        <v>229</v>
      </c>
    </row>
    <row r="38" spans="1:26">
      <c r="A38" s="23" t="s">
        <v>233</v>
      </c>
      <c r="B38" s="23" t="s">
        <v>232</v>
      </c>
      <c r="C38" s="23" t="s">
        <v>234</v>
      </c>
      <c r="D38" s="23" t="s">
        <v>237</v>
      </c>
      <c r="E38" s="23" t="s">
        <v>232</v>
      </c>
      <c r="F38" s="23">
        <f>CEILING(BoardQty*2,1)</f>
        <v>2</v>
      </c>
      <c r="G38" s="24">
        <f>IF(MIN(Q38,K38,W38)&lt;&gt;0,MIN(Q38,K38,W38),"")</f>
        <v>0.38</v>
      </c>
      <c r="H38" s="25">
        <f>IF(AND(ISNUMBER(F38),ISNUMBER(G38)),F38*G38,"")</f>
        <v>0.76</v>
      </c>
      <c r="I38" s="23">
        <v>5913</v>
      </c>
      <c r="J38" s="23"/>
      <c r="K38" s="24">
        <f>IFERROR(IF(OR(J38&gt;=L38,F38&gt;=L38),USD_CHF*LOOKUP(IF(J38="",F38,J38),{0,1,10,100,750,2250,9750},{0.0,0.344,0.234,0.11,0.087,0.085,0.084}),"MOQ="&amp;L38),"")</f>
        <v>0.38960017215407794</v>
      </c>
      <c r="L38" s="23">
        <v>1</v>
      </c>
      <c r="M38" s="25">
        <f>IFERROR(IF(J38="",F38,J38)*K38,"")</f>
        <v>0.7792</v>
      </c>
      <c r="N38" s="23" t="s">
        <v>610</v>
      </c>
      <c r="O38" s="23">
        <v>2315</v>
      </c>
      <c r="P38" s="23"/>
      <c r="Q38" s="24">
        <f>IFERROR(IF(OR(P38&gt;=R38,F38&gt;=R38),LOOKUP(IF(P38="",F38,P38),{0,1,10,100},{0.0,0.38,0.258,0.142}),"MOQ="&amp;R38),"")</f>
        <v>0.38</v>
      </c>
      <c r="R38" s="23">
        <v>1</v>
      </c>
      <c r="S38" s="25">
        <f>IFERROR(IF(P38="",F38,P38)*Q38,"")</f>
        <v>0.76</v>
      </c>
      <c r="T38" s="23" t="s">
        <v>236</v>
      </c>
      <c r="U38" s="26" t="s">
        <v>594</v>
      </c>
      <c r="V38" s="23"/>
      <c r="W38" s="24">
        <f>IFERROR(IF(OR(V38&gt;=X38,F38&gt;=X38),LOOKUP(IF(V38="",F38,V38),{0,1,10,100,500,750,1500,2250},{0.0,0.38,0.284,0.193,0.143,0.131,0.112,0.103}),"MOQ="&amp;X38),"")</f>
        <v>0.38</v>
      </c>
      <c r="X38" s="23">
        <v>1</v>
      </c>
      <c r="Y38" s="25">
        <f>IFERROR(IF(V38="",F38,V38)*W38,"")</f>
        <v>0.76</v>
      </c>
      <c r="Z38" s="23" t="s">
        <v>232</v>
      </c>
    </row>
    <row r="39" spans="1:26">
      <c r="A39" s="23" t="s">
        <v>240</v>
      </c>
      <c r="B39" s="23" t="s">
        <v>241</v>
      </c>
      <c r="C39" s="23" t="s">
        <v>205</v>
      </c>
      <c r="D39" s="23" t="s">
        <v>208</v>
      </c>
      <c r="E39" s="23" t="s">
        <v>244</v>
      </c>
      <c r="F39" s="23">
        <f>BoardQty*1</f>
        <v>1</v>
      </c>
      <c r="G39" s="24">
        <f>IF(MIN(Q39,K39,W39)&lt;&gt;0,MIN(Q39,K39,W39),"")</f>
        <v>0.5447607058317194</v>
      </c>
      <c r="H39" s="25">
        <f>IF(AND(ISNUMBER(F39),ISNUMBER(G39)),F39*G39,"")</f>
        <v>0.5448</v>
      </c>
      <c r="I39" s="23">
        <v>4669</v>
      </c>
      <c r="J39" s="23"/>
      <c r="K39" s="24">
        <f>IFERROR(IF(OR(J39&gt;=L39,F39&gt;=L39),USD_CHF*LOOKUP(IF(J39="",F39,J39),{0,1,10,100,1000,3000,9000,24000},{0.0,0.481,0.332,0.192,0.176,0.147,0.144,0.135}),"MOQ="&amp;L39),"")</f>
        <v>0.5447607058317194</v>
      </c>
      <c r="L39" s="23">
        <v>1</v>
      </c>
      <c r="M39" s="25">
        <f>IFERROR(IF(J39="",F39,J39)*K39,"")</f>
        <v>0.5448</v>
      </c>
      <c r="N39" s="23" t="s">
        <v>611</v>
      </c>
      <c r="O39" s="23">
        <v>6116</v>
      </c>
      <c r="P39" s="23"/>
      <c r="Q39" s="24">
        <f>IFERROR(IF(OR(P39&gt;=R39,F39&gt;=R39),LOOKUP(IF(P39="",F39,P39),{0,1,10,100,500,1000},{0.0,0.69,0.411,0.2693,0.21366,0.19658}),"MOQ="&amp;R39),"")</f>
        <v>0.69</v>
      </c>
      <c r="R39" s="23">
        <v>1</v>
      </c>
      <c r="S39" s="25">
        <f>IFERROR(IF(P39="",F39,P39)*Q39,"")</f>
        <v>0.69</v>
      </c>
      <c r="T39" s="23" t="s">
        <v>243</v>
      </c>
      <c r="U39" s="23">
        <v>2895</v>
      </c>
      <c r="V39" s="23"/>
      <c r="Z39" s="23" t="s">
        <v>244</v>
      </c>
    </row>
    <row r="40" spans="1:26">
      <c r="A40" s="23" t="s">
        <v>248</v>
      </c>
      <c r="B40" s="23" t="s">
        <v>249</v>
      </c>
      <c r="C40" s="23" t="s">
        <v>122</v>
      </c>
      <c r="D40" s="23" t="s">
        <v>252</v>
      </c>
      <c r="E40" s="23" t="s">
        <v>253</v>
      </c>
      <c r="F40" s="23">
        <f>CEILING(BoardQty*4,1)</f>
        <v>4</v>
      </c>
      <c r="G40" s="24">
        <f>IF(MIN(Q40,K40,W40)&lt;&gt;0,MIN(Q40,K40,W40),"")</f>
        <v>0.23</v>
      </c>
      <c r="H40" s="25">
        <f>IF(AND(ISNUMBER(F40),ISNUMBER(G40)),F40*G40,"")</f>
        <v>0.92</v>
      </c>
      <c r="I40" s="23">
        <v>20255</v>
      </c>
      <c r="J40" s="23"/>
      <c r="K40" s="24">
        <f>IFERROR(IF(OR(J40&gt;=L40,F40&gt;=L40),USD_CHF*LOOKUP(IF(J40="",F40,J40),{0,1,50,100,500,1000,2500,4000},{0.0,0.209,0.203,0.187,0.178,0.162,0.137,0.137}),"MOQ="&amp;L40),"")</f>
        <v>0.23670475575640199</v>
      </c>
      <c r="L40" s="23">
        <v>1</v>
      </c>
      <c r="M40" s="25">
        <f>IFERROR(IF(J40="",F40,J40)*K40,"")</f>
        <v>0.9468</v>
      </c>
      <c r="N40" s="23" t="s">
        <v>612</v>
      </c>
      <c r="O40" s="23">
        <v>28106</v>
      </c>
      <c r="P40" s="23"/>
      <c r="Q40" s="24">
        <f>IFERROR(IF(OR(P40&gt;=R40,F40&gt;=R40),LOOKUP(IF(P40="",F40,P40),{0,1,50,100,500,1000,2000},{0.0,0.23,0.224,0.206,0.197,0.187,0.179}),"MOQ="&amp;R40),"")</f>
        <v>0.23</v>
      </c>
      <c r="R40" s="23">
        <v>1</v>
      </c>
      <c r="S40" s="25">
        <f>IFERROR(IF(P40="",F40,P40)*Q40,"")</f>
        <v>0.92</v>
      </c>
      <c r="T40" s="23" t="s">
        <v>251</v>
      </c>
    </row>
    <row r="41" spans="1:26">
      <c r="A41" s="23" t="s">
        <v>257</v>
      </c>
      <c r="B41" s="23" t="s">
        <v>258</v>
      </c>
      <c r="C41" s="23" t="s">
        <v>259</v>
      </c>
      <c r="D41" s="23" t="s">
        <v>262</v>
      </c>
      <c r="E41" s="23" t="s">
        <v>259</v>
      </c>
      <c r="F41" s="23">
        <f>CEILING(BoardQty*2,1)</f>
        <v>2</v>
      </c>
      <c r="G41" s="24">
        <f>IF(MIN(Q41,K41,W41)&lt;&gt;0,MIN(Q41,K41,W41),"")</f>
        <v>2.1178846567678073</v>
      </c>
      <c r="H41" s="25">
        <f>IF(AND(ISNUMBER(F41),ISNUMBER(G41)),F41*G41,"")</f>
        <v>4.2358</v>
      </c>
      <c r="I41" s="23">
        <v>916</v>
      </c>
      <c r="J41" s="23"/>
      <c r="K41" s="24">
        <f>IFERROR(IF(OR(J41&gt;=L41,F41&gt;=L41),USD_CHF*LOOKUP(IF(J41="",F41,J41),{0,1,10,100,500},{0.0,1.87,1.65,1.37,1.37}),"MOQ="&amp;L41),"")</f>
        <v>2.1178846567678073</v>
      </c>
      <c r="L41" s="23">
        <v>1</v>
      </c>
      <c r="M41" s="25">
        <f>IFERROR(IF(J41="",F41,J41)*K41,"")</f>
        <v>4.2358</v>
      </c>
      <c r="N41" s="23" t="s">
        <v>613</v>
      </c>
      <c r="O41" s="23">
        <v>2953</v>
      </c>
      <c r="P41" s="23"/>
      <c r="Q41" s="24">
        <f>IFERROR(IF(OR(P41&gt;=R41,F41&gt;=R41),LOOKUP(IF(P41="",F41,P41),{0,1,10,100},{0.0,2.75,2.089,1.6486}),"MOQ="&amp;R41),"")</f>
        <v>2.75</v>
      </c>
      <c r="R41" s="23">
        <v>1</v>
      </c>
      <c r="S41" s="25">
        <f>IFERROR(IF(P41="",F41,P41)*Q41,"")</f>
        <v>5.5</v>
      </c>
      <c r="T41" s="23" t="s">
        <v>261</v>
      </c>
    </row>
    <row r="42" spans="1:26">
      <c r="A42" s="23" t="s">
        <v>266</v>
      </c>
      <c r="B42" s="23" t="s">
        <v>267</v>
      </c>
      <c r="C42" s="23" t="s">
        <v>268</v>
      </c>
      <c r="D42" s="23" t="s">
        <v>271</v>
      </c>
      <c r="E42" s="23" t="s">
        <v>267</v>
      </c>
      <c r="F42" s="23">
        <f>CEILING(BoardQty*2,1)</f>
        <v>2</v>
      </c>
      <c r="G42" s="24">
        <f>IF(MIN(Q42,K42,W42)&lt;&gt;0,MIN(Q42,K42,W42),"")</f>
        <v>0.69</v>
      </c>
      <c r="H42" s="25">
        <f>IF(AND(ISNUMBER(F42),ISNUMBER(G42)),F42*G42,"")</f>
        <v>1.38</v>
      </c>
      <c r="I42" s="26" t="s">
        <v>594</v>
      </c>
      <c r="J42" s="23"/>
      <c r="N42" s="23" t="s">
        <v>603</v>
      </c>
      <c r="O42" s="23">
        <v>60443</v>
      </c>
      <c r="P42" s="23"/>
      <c r="Q42" s="24">
        <f>IFERROR(IF(OR(P42&gt;=R42,F42&gt;=R42),LOOKUP(IF(P42="",F42,P42),{0,1,10,100,500},{0.0,0.69,0.521,0.3977,0.33232}),"MOQ="&amp;R42),"")</f>
        <v>0.69</v>
      </c>
      <c r="R42" s="23">
        <v>1</v>
      </c>
      <c r="S42" s="25">
        <f>IFERROR(IF(P42="",F42,P42)*Q42,"")</f>
        <v>1.38</v>
      </c>
      <c r="T42" s="23" t="s">
        <v>270</v>
      </c>
      <c r="U42" s="23">
        <v>19094</v>
      </c>
      <c r="V42" s="23"/>
      <c r="W42" s="24">
        <f>IFERROR(IF(OR(V42&gt;=X42,F42&gt;=X42),LOOKUP(IF(V42="",F42,V42),{0,1,5,20,100,500},{0.0,0.297,0.297,0.254,0.212,0.17}),"MOQ="&amp;X42),"")</f>
        <v/>
      </c>
      <c r="X42" s="23">
        <v>5</v>
      </c>
      <c r="Y42" s="25">
        <f>IFERROR(IF(V42="",F42,V42)*W42,"")</f>
        <v/>
      </c>
      <c r="Z42" s="23" t="s">
        <v>267</v>
      </c>
    </row>
    <row r="43" spans="1:26">
      <c r="A43" s="23" t="s">
        <v>275</v>
      </c>
      <c r="B43" s="23" t="s">
        <v>276</v>
      </c>
      <c r="C43" s="23" t="s">
        <v>277</v>
      </c>
      <c r="D43" s="23" t="s">
        <v>271</v>
      </c>
      <c r="E43" s="23" t="s">
        <v>276</v>
      </c>
      <c r="F43" s="23">
        <f>BoardQty*1</f>
        <v>1</v>
      </c>
      <c r="G43" s="24">
        <f>IF(MIN(Q43,K43,W43)&lt;&gt;0,MIN(Q43,K43,W43),"")</f>
        <v>0.57</v>
      </c>
      <c r="H43" s="25">
        <f>IF(AND(ISNUMBER(F43),ISNUMBER(G43)),F43*G43,"")</f>
        <v>0.57</v>
      </c>
      <c r="I43" s="26" t="s">
        <v>594</v>
      </c>
      <c r="J43" s="23"/>
      <c r="N43" s="23" t="s">
        <v>603</v>
      </c>
      <c r="O43" s="23">
        <v>47982</v>
      </c>
      <c r="P43" s="23"/>
      <c r="Q43" s="24">
        <f>IFERROR(IF(OR(P43&gt;=R43,F43&gt;=R43),LOOKUP(IF(P43="",F43,P43),{0,1,10,100,500,1000},{0.0,0.57,0.433,0.3313,0.27668,0.25664}),"MOQ="&amp;R43),"")</f>
        <v>0.57</v>
      </c>
      <c r="R43" s="23">
        <v>1</v>
      </c>
      <c r="S43" s="25">
        <f>IFERROR(IF(P43="",F43,P43)*Q43,"")</f>
        <v>0.57</v>
      </c>
      <c r="T43" s="23" t="s">
        <v>279</v>
      </c>
      <c r="U43" s="23">
        <v>1858</v>
      </c>
      <c r="V43" s="23"/>
      <c r="W43" s="24">
        <f>IFERROR(IF(OR(V43&gt;=X43,F43&gt;=X43),LOOKUP(IF(V43="",F43,V43),{0,1,2,50,200,1000},{0.0,0.425,0.425,0.388,0.348,0.309}),"MOQ="&amp;X43),"")</f>
        <v/>
      </c>
      <c r="X43" s="23">
        <v>2</v>
      </c>
      <c r="Y43" s="25">
        <f>IFERROR(IF(V43="",F43,V43)*W43,"")</f>
        <v/>
      </c>
      <c r="Z43" s="23" t="s">
        <v>276</v>
      </c>
    </row>
    <row r="44" spans="1:26">
      <c r="A44" s="23" t="s">
        <v>283</v>
      </c>
      <c r="B44" s="23" t="s">
        <v>284</v>
      </c>
      <c r="C44" s="23" t="s">
        <v>285</v>
      </c>
      <c r="D44" s="23" t="s">
        <v>271</v>
      </c>
      <c r="E44" s="23" t="s">
        <v>284</v>
      </c>
      <c r="F44" s="23">
        <f>BoardQty*1</f>
        <v>1</v>
      </c>
      <c r="G44" s="24">
        <f>IF(MIN(Q44,K44,W44)&lt;&gt;0,MIN(Q44,K44,W44),"")</f>
        <v>0.5</v>
      </c>
      <c r="H44" s="25">
        <f>IF(AND(ISNUMBER(F44),ISNUMBER(G44)),F44*G44,"")</f>
        <v>0.5</v>
      </c>
      <c r="I44" s="26" t="s">
        <v>594</v>
      </c>
      <c r="J44" s="23"/>
      <c r="K44" s="24">
        <f>IFERROR(IF(OR(J44&gt;=L44,F44&gt;=L44),USD_CHF*LOOKUP(IF(J44="",F44,J44),{0,1,10,100,500,1000,2500,5000,10000,25000},{0.0,0.607,0.462,0.359,0.3,0.275,0.25,0.227,0.209,0.202}),"MOQ="&amp;L44),"")</f>
        <v>0.6874630944695503</v>
      </c>
      <c r="L44" s="23">
        <v>1</v>
      </c>
      <c r="M44" s="25">
        <f>IFERROR(IF(J44="",F44,J44)*K44,"")</f>
        <v>0.6875</v>
      </c>
      <c r="N44" s="23" t="s">
        <v>614</v>
      </c>
      <c r="O44" s="23">
        <v>22323</v>
      </c>
      <c r="P44" s="23"/>
      <c r="Q44" s="24">
        <f>IFERROR(IF(OR(P44&gt;=R44,F44&gt;=R44),LOOKUP(IF(P44="",F44,P44),{0,1,10,100,500,1000},{0.0,0.5,0.41,0.3344,0.28984,0.27255}),"MOQ="&amp;R44),"")</f>
        <v>0.5</v>
      </c>
      <c r="R44" s="23">
        <v>1</v>
      </c>
      <c r="S44" s="25">
        <f>IFERROR(IF(P44="",F44,P44)*Q44,"")</f>
        <v>0.5</v>
      </c>
      <c r="T44" s="23" t="s">
        <v>286</v>
      </c>
      <c r="U44" s="23">
        <v>2013</v>
      </c>
      <c r="V44" s="23"/>
      <c r="W44" s="24">
        <f>IFERROR(IF(OR(V44&gt;=X44,F44&gt;=X44),LOOKUP(IF(V44="",F44,V44),{0,1,10,100,500,1000},{0.0,0.819,0.716,0.616,0.513,0.41}),"MOQ="&amp;X44),"")</f>
        <v>0.819</v>
      </c>
      <c r="X44" s="23">
        <v>1</v>
      </c>
      <c r="Y44" s="25">
        <f>IFERROR(IF(V44="",F44,V44)*W44,"")</f>
        <v>0.819</v>
      </c>
      <c r="Z44" s="23" t="s">
        <v>284</v>
      </c>
    </row>
    <row r="45" spans="1:26">
      <c r="A45" s="23" t="s">
        <v>290</v>
      </c>
      <c r="B45" s="23" t="s">
        <v>291</v>
      </c>
      <c r="C45" s="23" t="s">
        <v>292</v>
      </c>
      <c r="D45" s="23" t="s">
        <v>271</v>
      </c>
      <c r="E45" s="23" t="s">
        <v>294</v>
      </c>
      <c r="F45" s="23">
        <f>BoardQty*1</f>
        <v>1</v>
      </c>
      <c r="G45" s="24">
        <f>IF(MIN(Q45,K45,W45)&lt;&gt;0,MIN(Q45,K45,W45),"")</f>
        <v>0.7</v>
      </c>
      <c r="H45" s="25">
        <f>IF(AND(ISNUMBER(F45),ISNUMBER(G45)),F45*G45,"")</f>
        <v>0.7</v>
      </c>
      <c r="I45" s="26" t="s">
        <v>594</v>
      </c>
      <c r="J45" s="23"/>
      <c r="N45" s="23" t="s">
        <v>603</v>
      </c>
      <c r="O45" s="26" t="s">
        <v>594</v>
      </c>
      <c r="P45" s="23"/>
      <c r="Q45" s="24">
        <f>IFERROR(IF(OR(P45&gt;=R45,F45&gt;=R45),LOOKUP(IF(P45="",F45,P45),{0,1,10,100,500,1000},{0.0,0.7,0.536,0.4107,0.34332,0.3186}),"MOQ="&amp;R45),"")</f>
        <v>0.7</v>
      </c>
      <c r="R45" s="23">
        <v>1</v>
      </c>
      <c r="S45" s="25">
        <f>IFERROR(IF(P45="",F45,P45)*Q45,"")</f>
        <v>0.7</v>
      </c>
      <c r="T45" s="23" t="s">
        <v>293</v>
      </c>
    </row>
    <row r="46" spans="1:26">
      <c r="A46" s="23" t="s">
        <v>298</v>
      </c>
      <c r="B46" s="23" t="s">
        <v>299</v>
      </c>
      <c r="C46" s="23" t="s">
        <v>300</v>
      </c>
      <c r="D46" s="23" t="s">
        <v>271</v>
      </c>
      <c r="E46" s="23" t="s">
        <v>299</v>
      </c>
      <c r="F46" s="23">
        <f>BoardQty*1</f>
        <v>1</v>
      </c>
      <c r="G46" s="24">
        <f>IF(MIN(Q46,K46,W46)&lt;&gt;0,MIN(Q46,K46,W46),"")</f>
        <v>0.56</v>
      </c>
      <c r="H46" s="25">
        <f>IF(AND(ISNUMBER(F46),ISNUMBER(G46)),F46*G46,"")</f>
        <v>0.56</v>
      </c>
      <c r="I46" s="26" t="s">
        <v>594</v>
      </c>
      <c r="J46" s="23"/>
      <c r="N46" s="23" t="s">
        <v>603</v>
      </c>
      <c r="O46" s="23">
        <v>2601</v>
      </c>
      <c r="P46" s="23"/>
      <c r="Q46" s="24">
        <f>IFERROR(IF(OR(P46&gt;=R46,F46&gt;=R46),LOOKUP(IF(P46="",F46,P46),{0,1,10,100,500,1000},{0.0,0.56,0.453,0.3691,0.31996,0.30087}),"MOQ="&amp;R46),"")</f>
        <v>0.56</v>
      </c>
      <c r="R46" s="23">
        <v>1</v>
      </c>
      <c r="S46" s="25">
        <f>IFERROR(IF(P46="",F46,P46)*Q46,"")</f>
        <v>0.56</v>
      </c>
      <c r="T46" s="23" t="s">
        <v>301</v>
      </c>
      <c r="U46" s="23">
        <v>2724</v>
      </c>
      <c r="V46" s="23"/>
      <c r="W46" s="24">
        <f>IFERROR(IF(OR(V46&gt;=X46,F46&gt;=X46),LOOKUP(IF(V46="",F46,V46),{0,1,10,100,500,1000},{0.0,0.929,0.811,0.698,0.583,0.464}),"MOQ="&amp;X46),"")</f>
        <v>0.929</v>
      </c>
      <c r="X46" s="23">
        <v>1</v>
      </c>
      <c r="Y46" s="25">
        <f>IFERROR(IF(V46="",F46,V46)*W46,"")</f>
        <v>0.929</v>
      </c>
      <c r="Z46" s="23" t="s">
        <v>299</v>
      </c>
    </row>
    <row r="47" spans="1:26">
      <c r="A47" s="23" t="s">
        <v>304</v>
      </c>
      <c r="B47" s="23" t="s">
        <v>305</v>
      </c>
      <c r="C47" s="23" t="s">
        <v>306</v>
      </c>
      <c r="D47" s="23" t="s">
        <v>309</v>
      </c>
      <c r="E47" s="23" t="s">
        <v>305</v>
      </c>
      <c r="F47" s="23">
        <f>BoardQty*1</f>
        <v>1</v>
      </c>
      <c r="G47" s="24">
        <f>IF(MIN(Q47,K47,W47)&lt;&gt;0,MIN(Q47,K47,W47),"")</f>
        <v>1.08</v>
      </c>
      <c r="H47" s="25">
        <f>IF(AND(ISNUMBER(F47),ISNUMBER(G47)),F47*G47,"")</f>
        <v>1.08</v>
      </c>
      <c r="U47" s="23">
        <v>8035</v>
      </c>
      <c r="V47" s="23"/>
      <c r="W47" s="24">
        <f>IFERROR(IF(OR(V47&gt;=X47,F47&gt;=X47),LOOKUP(IF(V47="",F47,V47),{0,1,5,20,100},{0.0,1.08,0.962,0.875,0.738}),"MOQ="&amp;X47),"")</f>
        <v>1.08</v>
      </c>
      <c r="X47" s="23">
        <v>1</v>
      </c>
      <c r="Y47" s="25">
        <f>IFERROR(IF(V47="",F47,V47)*W47,"")</f>
        <v>1.08</v>
      </c>
      <c r="Z47" s="23" t="s">
        <v>305</v>
      </c>
    </row>
    <row r="48" spans="1:26">
      <c r="A48" s="23" t="s">
        <v>313</v>
      </c>
      <c r="B48" s="23" t="s">
        <v>314</v>
      </c>
      <c r="C48" s="23" t="s">
        <v>315</v>
      </c>
      <c r="D48" s="23" t="s">
        <v>309</v>
      </c>
      <c r="E48" s="23" t="s">
        <v>314</v>
      </c>
      <c r="F48" s="23">
        <f>BoardQty*1</f>
        <v>1</v>
      </c>
      <c r="G48" s="24">
        <f>IF(MIN(Q48,K48,W48)&lt;&gt;0,MIN(Q48,K48,W48),"")</f>
        <v>1.08</v>
      </c>
      <c r="H48" s="25">
        <f>IF(AND(ISNUMBER(F48),ISNUMBER(G48)),F48*G48,"")</f>
        <v>1.08</v>
      </c>
      <c r="U48" s="23">
        <v>11077</v>
      </c>
      <c r="V48" s="23"/>
      <c r="W48" s="24">
        <f>IFERROR(IF(OR(V48&gt;=X48,F48&gt;=X48),LOOKUP(IF(V48="",F48,V48),{0,1,5,20,100},{0.0,1.08,0.962,0.875,0.738}),"MOQ="&amp;X48),"")</f>
        <v>1.08</v>
      </c>
      <c r="X48" s="23">
        <v>1</v>
      </c>
      <c r="Y48" s="25">
        <f>IFERROR(IF(V48="",F48,V48)*W48,"")</f>
        <v>1.08</v>
      </c>
      <c r="Z48" s="23" t="s">
        <v>314</v>
      </c>
    </row>
    <row r="49" spans="1:26">
      <c r="A49" s="23" t="s">
        <v>320</v>
      </c>
      <c r="B49" s="23" t="s">
        <v>321</v>
      </c>
      <c r="C49" s="23" t="s">
        <v>322</v>
      </c>
      <c r="D49" s="23" t="s">
        <v>325</v>
      </c>
      <c r="E49" s="23" t="s">
        <v>326</v>
      </c>
      <c r="F49" s="23">
        <f>BoardQty*1</f>
        <v>1</v>
      </c>
      <c r="G49" s="24">
        <f>IF(MIN(Q49,K49,W49)&lt;&gt;0,MIN(Q49,K49,W49),"")</f>
        <v>1.5063029911771038</v>
      </c>
      <c r="H49" s="25">
        <f>IF(AND(ISNUMBER(F49),ISNUMBER(G49)),F49*G49,"")</f>
        <v>1.5063</v>
      </c>
      <c r="I49" s="23">
        <v>1090</v>
      </c>
      <c r="J49" s="23"/>
      <c r="K49" s="24">
        <f>IFERROR(IF(OR(J49&gt;=L49,F49&gt;=L49),USD_CHF*LOOKUP(IF(J49="",F49,J49),{0,1,250,500,1000},{0.0,1.33,1.1,0.8,0.681}),"MOQ="&amp;L49),"")</f>
        <v>1.5063029911771038</v>
      </c>
      <c r="L49" s="23">
        <v>1</v>
      </c>
      <c r="M49" s="25">
        <f>IFERROR(IF(J49="",F49,J49)*K49,"")</f>
        <v>1.5063</v>
      </c>
      <c r="N49" s="23" t="s">
        <v>324</v>
      </c>
    </row>
    <row r="50" spans="1:26">
      <c r="A50" s="23" t="s">
        <v>329</v>
      </c>
      <c r="B50" s="23" t="s">
        <v>330</v>
      </c>
      <c r="C50" s="23" t="s">
        <v>331</v>
      </c>
      <c r="D50" s="23" t="s">
        <v>325</v>
      </c>
      <c r="E50" s="23" t="s">
        <v>334</v>
      </c>
      <c r="F50" s="23">
        <f>CEILING(BoardQty*2,1)</f>
        <v>2</v>
      </c>
      <c r="G50" s="24">
        <f>IF(MIN(Q50,K50,W50)&lt;&gt;0,MIN(Q50,K50,W50),"")</f>
        <v>1.19</v>
      </c>
      <c r="H50" s="25">
        <f>IF(AND(ISNUMBER(F50),ISNUMBER(G50)),F50*G50,"")</f>
        <v>2.38</v>
      </c>
      <c r="I50" s="23">
        <v>38720</v>
      </c>
      <c r="J50" s="23"/>
      <c r="K50" s="24">
        <f>IFERROR(IF(OR(J50&gt;=L50,F50&gt;=L50),USD_CHF*LOOKUP(IF(J50="",F50,J50),{0,1,250,500,1000},{0.0,1.1,0.925,0.602,0.602}),"MOQ="&amp;L50),"")</f>
        <v>1.2458145039810633</v>
      </c>
      <c r="L50" s="23">
        <v>1</v>
      </c>
      <c r="M50" s="25">
        <f>IFERROR(IF(J50="",F50,J50)*K50,"")</f>
        <v>2.4916</v>
      </c>
      <c r="N50" s="23" t="s">
        <v>333</v>
      </c>
      <c r="O50" s="23">
        <v>10718</v>
      </c>
      <c r="P50" s="23"/>
      <c r="Q50" s="24">
        <f>IFERROR(IF(OR(P50&gt;=R50,F50&gt;=R50),LOOKUP(IF(P50="",F50,P50),{0,1,250,500},{0.0,1.19,1.0,0.65}),"MOQ="&amp;R50),"")</f>
        <v>1.19</v>
      </c>
      <c r="R50" s="23">
        <v>1</v>
      </c>
      <c r="S50" s="25">
        <f>IFERROR(IF(P50="",F50,P50)*Q50,"")</f>
        <v>2.38</v>
      </c>
      <c r="T50" s="23" t="s">
        <v>647</v>
      </c>
    </row>
    <row r="51" spans="1:26">
      <c r="A51" s="23" t="s">
        <v>338</v>
      </c>
      <c r="B51" s="23" t="s">
        <v>337</v>
      </c>
      <c r="C51" s="23" t="s">
        <v>339</v>
      </c>
      <c r="D51" s="23" t="s">
        <v>216</v>
      </c>
      <c r="E51" s="23" t="s">
        <v>337</v>
      </c>
      <c r="F51" s="23">
        <f>CEILING(BoardQty*3,1)</f>
        <v>3</v>
      </c>
      <c r="G51" s="24">
        <f>IF(MIN(Q51,K51,W51)&lt;&gt;0,MIN(Q51,K51,W51),"")</f>
        <v>0.31</v>
      </c>
      <c r="H51" s="25">
        <f>IF(AND(ISNUMBER(F51),ISNUMBER(G51)),F51*G51,"")</f>
        <v>0.93</v>
      </c>
      <c r="I51" s="23">
        <v>3220</v>
      </c>
      <c r="J51" s="23"/>
      <c r="K51" s="24">
        <f>IFERROR(IF(OR(J51&gt;=L51,F51&gt;=L51),USD_CHF*LOOKUP(IF(J51="",F51,J51),{0,1,10,100,1000,3000,9000,24000},{0.0,0.281,0.191,0.099,0.089,0.07,0.06,0.059}),"MOQ="&amp;L51),"")</f>
        <v>0.31824897783516254</v>
      </c>
      <c r="L51" s="23">
        <v>1</v>
      </c>
      <c r="M51" s="25">
        <f>IFERROR(IF(J51="",F51,J51)*K51,"")</f>
        <v>0.9547</v>
      </c>
      <c r="N51" s="23" t="s">
        <v>615</v>
      </c>
      <c r="O51" s="23">
        <v>20599</v>
      </c>
      <c r="P51" s="23"/>
      <c r="Q51" s="24">
        <f>IFERROR(IF(OR(P51&gt;=R51,F51&gt;=R51),LOOKUP(IF(P51="",F51,P51),{0,1,10,100,500,1000},{0.0,0.31,0.211,0.1422,0.10978,0.09893}),"MOQ="&amp;R51),"")</f>
        <v>0.31</v>
      </c>
      <c r="R51" s="23">
        <v>1</v>
      </c>
      <c r="S51" s="25">
        <f>IFERROR(IF(P51="",F51,P51)*Q51,"")</f>
        <v>0.93</v>
      </c>
      <c r="T51" s="23" t="s">
        <v>341</v>
      </c>
      <c r="U51" s="23">
        <v>1095</v>
      </c>
      <c r="V51" s="23"/>
      <c r="W51" s="24">
        <f>IFERROR(IF(OR(V51&gt;=X51,F51&gt;=X51),LOOKUP(IF(V51="",F51,V51),{0,1,10,25,100,500,1000,3000,6000,30000,45000},{0.0,0.53,0.4,0.312,0.201,0.135,0.121,0.107,0.103,0.098,0.096}),"MOQ="&amp;X51),"")</f>
        <v>0.53</v>
      </c>
      <c r="X51" s="23">
        <v>1</v>
      </c>
      <c r="Y51" s="25">
        <f>IFERROR(IF(V51="",F51,V51)*W51,"")</f>
        <v>1.59</v>
      </c>
      <c r="Z51" s="23" t="s">
        <v>337</v>
      </c>
    </row>
    <row r="52" spans="1:26">
      <c r="A52" s="23" t="s">
        <v>345</v>
      </c>
      <c r="B52" s="23" t="s">
        <v>344</v>
      </c>
      <c r="C52" s="23" t="s">
        <v>346</v>
      </c>
      <c r="D52" s="23" t="s">
        <v>349</v>
      </c>
      <c r="E52" s="23" t="s">
        <v>344</v>
      </c>
      <c r="F52" s="23">
        <f>CEILING(BoardQty*6,1)</f>
        <v>6</v>
      </c>
      <c r="G52" s="24">
        <f>IF(MIN(Q52,K52,W52)&lt;&gt;0,MIN(Q52,K52,W52),"")</f>
        <v>3.1258618463524854</v>
      </c>
      <c r="H52" s="25">
        <f>IF(AND(ISNUMBER(F52),ISNUMBER(G52)),F52*G52,"")</f>
        <v>18.7552</v>
      </c>
      <c r="I52" s="23">
        <v>10125</v>
      </c>
      <c r="J52" s="23"/>
      <c r="K52" s="24">
        <f>IFERROR(IF(OR(J52&gt;=L52,F52&gt;=L52),USD_CHF*LOOKUP(IF(J52="",F52,J52),{0,1,10,50,100,500,1000,5000},{0.0,2.76,1.9,1.77,1.37,1.15,1.13,1.13}),"MOQ="&amp;L52),"")</f>
        <v>3.1258618463524854</v>
      </c>
      <c r="L52" s="23">
        <v>1</v>
      </c>
      <c r="M52" s="25">
        <f>IFERROR(IF(J52="",F52,J52)*K52,"")</f>
        <v>18.7552</v>
      </c>
      <c r="N52" s="23" t="s">
        <v>616</v>
      </c>
      <c r="O52" s="23">
        <v>12440</v>
      </c>
      <c r="P52" s="23"/>
      <c r="Q52" s="24">
        <f>IFERROR(IF(OR(P52&gt;=R52,F52&gt;=R52),LOOKUP(IF(P52="",F52,P52),{0,1,10,100,500,1000,2000},{0.0,3.55,2.321,1.6228,1.32462,1.22883,1.2}),"MOQ="&amp;R52),"")</f>
        <v>3.55</v>
      </c>
      <c r="R52" s="23">
        <v>1</v>
      </c>
      <c r="S52" s="25">
        <f>IFERROR(IF(P52="",F52,P52)*Q52,"")</f>
        <v>21.3</v>
      </c>
      <c r="T52" s="23" t="s">
        <v>348</v>
      </c>
      <c r="U52" s="26" t="s">
        <v>594</v>
      </c>
      <c r="V52" s="23"/>
      <c r="Z52" s="23" t="s">
        <v>654</v>
      </c>
    </row>
    <row r="53" spans="1:26">
      <c r="A53" s="23" t="s">
        <v>353</v>
      </c>
      <c r="B53" s="23" t="s">
        <v>354</v>
      </c>
      <c r="C53" s="23" t="s">
        <v>355</v>
      </c>
      <c r="D53" s="23" t="s">
        <v>358</v>
      </c>
      <c r="E53" s="23" t="s">
        <v>355</v>
      </c>
      <c r="F53" s="23">
        <f>CEILING(BoardQty*3,1)</f>
        <v>3</v>
      </c>
      <c r="G53" s="24">
        <f>IF(MIN(Q53,K53,W53)&lt;&gt;0,MIN(Q53,K53,W53),"")</f>
        <v>0.9864585754250055</v>
      </c>
      <c r="H53" s="25">
        <f>IF(AND(ISNUMBER(F53),ISNUMBER(G53)),F53*G53,"")</f>
        <v>2.9594</v>
      </c>
      <c r="I53" s="23">
        <v>8867</v>
      </c>
      <c r="J53" s="23"/>
      <c r="K53" s="24">
        <f>IFERROR(IF(OR(J53&gt;=L53,F53&gt;=L53),USD_CHF*LOOKUP(IF(J53="",F53,J53),{0,1,10,25,50,100,250,500,1000,2000},{0.0,0.871,0.669,0.622,0.555,0.482,0.404,0.355,0.308,0.295}),"MOQ="&amp;L53),"")</f>
        <v>0.9864585754250055</v>
      </c>
      <c r="L53" s="23">
        <v>1</v>
      </c>
      <c r="M53" s="25">
        <f>IFERROR(IF(J53="",F53,J53)*K53,"")</f>
        <v>2.9594</v>
      </c>
      <c r="N53" s="23" t="s">
        <v>617</v>
      </c>
      <c r="O53" s="23">
        <v>13092</v>
      </c>
      <c r="P53" s="23"/>
      <c r="Q53" s="24">
        <f>IFERROR(IF(OR(P53&gt;=R53,F53&gt;=R53),LOOKUP(IF(P53="",F53,P53),{0,1,10,25,50,100,250,500,1000},{0.0,1.49,0.867,0.7088,0.6118,0.531,0.44428,0.39098,0.34636}),"MOQ="&amp;R53),"")</f>
        <v>1.49</v>
      </c>
      <c r="R53" s="23">
        <v>1</v>
      </c>
      <c r="S53" s="25">
        <f>IFERROR(IF(P53="",F53,P53)*Q53,"")</f>
        <v>4.47</v>
      </c>
      <c r="T53" s="23" t="s">
        <v>357</v>
      </c>
    </row>
    <row r="54" spans="1:26">
      <c r="A54" s="23" t="s">
        <v>362</v>
      </c>
      <c r="B54" s="23" t="s">
        <v>363</v>
      </c>
      <c r="C54" s="23" t="s">
        <v>364</v>
      </c>
      <c r="D54" s="23" t="s">
        <v>367</v>
      </c>
      <c r="E54" s="23" t="s">
        <v>368</v>
      </c>
      <c r="F54" s="23">
        <f>CEILING(BoardQty*3,1)</f>
        <v>3</v>
      </c>
      <c r="G54" s="24">
        <f>IF(MIN(Q54,K54,W54)&lt;&gt;0,MIN(Q54,K54,W54),"")</f>
        <v>0.1</v>
      </c>
      <c r="H54" s="25">
        <f>IF(AND(ISNUMBER(F54),ISNUMBER(G54)),F54*G54,"")</f>
        <v>0.3</v>
      </c>
      <c r="I54" s="23">
        <v>985110</v>
      </c>
      <c r="J54" s="23"/>
      <c r="K54" s="24">
        <f>IFERROR(IF(OR(J54&gt;=L54,F54&gt;=L54),USD_CHF*LOOKUP(IF(J54="",F54,J54),{0,1,10,100,1000,2500,10000,50000},{0.0,0.091,0.012,0.007,0.006,0.004,0.004,0.003}),"MOQ="&amp;L54),"")</f>
        <v>0.1030628362384334</v>
      </c>
      <c r="L54" s="23">
        <v>1</v>
      </c>
      <c r="M54" s="25">
        <f>IFERROR(IF(J54="",F54,J54)*K54,"")</f>
        <v>0.3092</v>
      </c>
      <c r="N54" s="23" t="s">
        <v>618</v>
      </c>
      <c r="O54" s="23">
        <v>3269541</v>
      </c>
      <c r="P54" s="23"/>
      <c r="Q54" s="24">
        <f>IFERROR(IF(OR(P54&gt;=R54,F54&gt;=R54),LOOKUP(IF(P54="",F54,P54),{0,1,10,25,50,100,250,500,1000,5000},{0.0,0.1,0.02,0.0156,0.0128,0.0108,0.00864,0.00734,0.00627,0.00441}),"MOQ="&amp;R54),"")</f>
        <v>0.1</v>
      </c>
      <c r="R54" s="23">
        <v>1</v>
      </c>
      <c r="S54" s="25">
        <f>IFERROR(IF(P54="",F54,P54)*Q54,"")</f>
        <v>0.3</v>
      </c>
      <c r="T54" s="23" t="s">
        <v>366</v>
      </c>
      <c r="U54" s="23">
        <v>58367</v>
      </c>
      <c r="V54" s="23"/>
      <c r="W54" s="24">
        <f>IFERROR(IF(OR(V54&gt;=X54,F54&gt;=X54),LOOKUP(IF(V54="",F54,V54),{0,1,10,100,500,1000,2500,10000,200000},{0.0,0.11,0.014,0.0091,0.00712,0.00638,0.00548,0.0043,0.00363}),"MOQ="&amp;X54),"")</f>
        <v>0.11</v>
      </c>
      <c r="X54" s="23">
        <v>1</v>
      </c>
      <c r="Y54" s="25">
        <f>IFERROR(IF(V54="",F54,V54)*W54,"")</f>
        <v>0.33</v>
      </c>
      <c r="Z54" s="23" t="s">
        <v>655</v>
      </c>
    </row>
    <row r="55" spans="1:26">
      <c r="A55" s="23" t="s">
        <v>371</v>
      </c>
      <c r="B55" s="23" t="s">
        <v>363</v>
      </c>
      <c r="C55" s="23" t="s">
        <v>372</v>
      </c>
      <c r="D55" s="23" t="s">
        <v>237</v>
      </c>
      <c r="E55" s="23" t="s">
        <v>375</v>
      </c>
      <c r="F55" s="23">
        <f>BoardQty*1</f>
        <v>1</v>
      </c>
      <c r="G55" s="24">
        <f>IF(MIN(Q55,K55,W55)&lt;&gt;0,MIN(Q55,K55,W55),"")</f>
        <v>0.12344889175812353</v>
      </c>
      <c r="H55" s="25">
        <f>IF(AND(ISNUMBER(F55),ISNUMBER(G55)),F55*G55,"")</f>
        <v>0.1234</v>
      </c>
      <c r="I55" s="23">
        <v>460545</v>
      </c>
      <c r="J55" s="23"/>
      <c r="K55" s="24">
        <f>IFERROR(IF(OR(J55&gt;=L55,F55&gt;=L55),USD_CHF*LOOKUP(IF(J55="",F55,J55),{0,1,10,100,1000,5000,10000},{0.0,0.109,0.041,0.025,0.02,0.016,0.012}),"MOQ="&amp;L55),"")</f>
        <v>0.12344889175812353</v>
      </c>
      <c r="L55" s="23">
        <v>1</v>
      </c>
      <c r="M55" s="25">
        <f>IFERROR(IF(J55="",F55,J55)*K55,"")</f>
        <v>0.1234</v>
      </c>
      <c r="N55" s="23" t="s">
        <v>619</v>
      </c>
      <c r="O55" s="23">
        <v>1983139</v>
      </c>
      <c r="P55" s="23"/>
      <c r="Q55" s="24">
        <f>IFERROR(IF(OR(P55&gt;=R55,F55&gt;=R55),LOOKUP(IF(P55="",F55,P55),{0,1,10,25,50,100,250,500,1000},{0.0,0.13,0.071,0.0564,0.0476,0.0404,0.03272,0.02808,0.02421}),"MOQ="&amp;R55),"")</f>
        <v>0.13</v>
      </c>
      <c r="R55" s="23">
        <v>1</v>
      </c>
      <c r="S55" s="25">
        <f>IFERROR(IF(P55="",F55,P55)*Q55,"")</f>
        <v>0.13</v>
      </c>
      <c r="T55" s="23" t="s">
        <v>374</v>
      </c>
      <c r="U55" s="23">
        <v>4560</v>
      </c>
      <c r="V55" s="23"/>
      <c r="W55" s="24">
        <f>IFERROR(IF(OR(V55&gt;=X55,F55&gt;=X55),LOOKUP(IF(V55="",F55,V55),{0,1,10,25,50,100,250,500,1000},{0.0,0.0635,0.0635,0.0546,0.0462,0.0379,0.0284,0.0227,0.0212}),"MOQ="&amp;X55),"")</f>
        <v/>
      </c>
      <c r="X55" s="23">
        <v>10</v>
      </c>
      <c r="Y55" s="25">
        <f>IFERROR(IF(V55="",F55,V55)*W55,"")</f>
        <v/>
      </c>
      <c r="Z55" s="23" t="s">
        <v>375</v>
      </c>
    </row>
    <row r="56" spans="1:26">
      <c r="A56" s="23" t="s">
        <v>378</v>
      </c>
      <c r="B56" s="23" t="s">
        <v>379</v>
      </c>
      <c r="C56" s="23" t="s">
        <v>372</v>
      </c>
      <c r="D56" s="23" t="s">
        <v>358</v>
      </c>
      <c r="E56" s="23" t="s">
        <v>382</v>
      </c>
      <c r="F56" s="23">
        <f>CEILING(BoardQty*6,1)</f>
        <v>6</v>
      </c>
      <c r="G56" s="24">
        <f>IF(MIN(Q56,K56,W56)&lt;&gt;0,MIN(Q56,K56,W56),"")</f>
        <v>0.26</v>
      </c>
      <c r="H56" s="25">
        <f>IF(AND(ISNUMBER(F56),ISNUMBER(G56)),F56*G56,"")</f>
        <v>1.56</v>
      </c>
      <c r="I56" s="23">
        <v>6935</v>
      </c>
      <c r="J56" s="23"/>
      <c r="K56" s="24">
        <f>IFERROR(IF(OR(J56&gt;=L56,F56&gt;=L56),USD_CHF*LOOKUP(IF(J56="",F56,J56),{0,1,10,100,500,1000,2500,5000,10000,25000},{0.0,0.236,0.107,0.06,0.047,0.032,0.03,0.03,0.025,0.024}),"MOQ="&amp;L56),"")</f>
        <v>0.26728383903593717</v>
      </c>
      <c r="L56" s="23">
        <v>1</v>
      </c>
      <c r="M56" s="25">
        <f>IFERROR(IF(J56="",F56,J56)*K56,"")</f>
        <v>1.6037</v>
      </c>
      <c r="N56" s="23" t="s">
        <v>620</v>
      </c>
      <c r="O56" s="23">
        <v>13372</v>
      </c>
      <c r="P56" s="23"/>
      <c r="Q56" s="24">
        <f>IFERROR(IF(OR(P56&gt;=R56,F56&gt;=R56),LOOKUP(IF(P56="",F56,P56),{0,1,10,25,50,100,250,500,1000},{0.0,0.26,0.211,0.1616,0.1172,0.0824,0.06664,0.05252,0.03636}),"MOQ="&amp;R56),"")</f>
        <v>0.26</v>
      </c>
      <c r="R56" s="23">
        <v>1</v>
      </c>
      <c r="S56" s="25">
        <f>IFERROR(IF(P56="",F56,P56)*Q56,"")</f>
        <v>1.56</v>
      </c>
      <c r="T56" s="23" t="s">
        <v>381</v>
      </c>
    </row>
    <row r="57" spans="1:26">
      <c r="A57" s="23" t="s">
        <v>385</v>
      </c>
      <c r="B57" s="23" t="s">
        <v>386</v>
      </c>
      <c r="C57" s="23" t="s">
        <v>122</v>
      </c>
      <c r="D57" s="23" t="s">
        <v>237</v>
      </c>
      <c r="E57" s="23" t="s">
        <v>388</v>
      </c>
      <c r="F57" s="23">
        <f>CEILING(BoardQty*6,1)</f>
        <v>6</v>
      </c>
      <c r="G57" s="24">
        <f>IF(MIN(Q57,K57,W57)&lt;&gt;0,MIN(Q57,K57,W57),"")</f>
        <v>0.2</v>
      </c>
      <c r="H57" s="25">
        <f>IF(AND(ISNUMBER(F57),ISNUMBER(G57)),F57*G57,"")</f>
        <v>1.2</v>
      </c>
      <c r="I57" s="23">
        <v>13350</v>
      </c>
      <c r="J57" s="23"/>
      <c r="K57" s="24">
        <f>IFERROR(IF(OR(J57&gt;=L57,F57&gt;=L57),USD_CHF*LOOKUP(IF(J57="",F57,J57),{0,1,10,100,1000,5000,10000,25000,50000},{0.0,0.181,0.065,0.04,0.032,0.025,0.024,0.021,0.02}),"MOQ="&amp;L57),"")</f>
        <v>0.20499311383688404</v>
      </c>
      <c r="L57" s="23">
        <v>1</v>
      </c>
      <c r="M57" s="25">
        <f>IFERROR(IF(J57="",F57,J57)*K57,"")</f>
        <v>1.23</v>
      </c>
      <c r="N57" s="23" t="s">
        <v>621</v>
      </c>
      <c r="O57" s="23">
        <v>19449</v>
      </c>
      <c r="P57" s="23"/>
      <c r="Q57" s="24">
        <f>IFERROR(IF(OR(P57&gt;=R57,F57&gt;=R57),LOOKUP(IF(P57="",F57,P57),{0,1,10,50,100,500,1000},{0.0,0.2,0.101,0.0672,0.0575,0.04156,0.0368}),"MOQ="&amp;R57),"")</f>
        <v>0.2</v>
      </c>
      <c r="R57" s="23">
        <v>1</v>
      </c>
      <c r="S57" s="25">
        <f>IFERROR(IF(P57="",F57,P57)*Q57,"")</f>
        <v>1.2</v>
      </c>
      <c r="T57" s="23" t="s">
        <v>387</v>
      </c>
    </row>
    <row r="58" spans="1:26">
      <c r="A58" s="23" t="s">
        <v>391</v>
      </c>
      <c r="B58" s="23" t="s">
        <v>392</v>
      </c>
      <c r="C58" s="23" t="s">
        <v>372</v>
      </c>
      <c r="D58" s="23" t="s">
        <v>237</v>
      </c>
      <c r="E58" s="23" t="s">
        <v>394</v>
      </c>
      <c r="F58" s="23">
        <f>BoardQty*1</f>
        <v>1</v>
      </c>
      <c r="G58" s="24">
        <f>IF(MIN(Q58,K58,W58)&lt;&gt;0,MIN(Q58,K58,W58),"")</f>
        <v>0.14</v>
      </c>
      <c r="H58" s="25">
        <f>IF(AND(ISNUMBER(F58),ISNUMBER(G58)),F58*G58,"")</f>
        <v>0.14</v>
      </c>
      <c r="I58" s="23">
        <v>354154</v>
      </c>
      <c r="J58" s="23"/>
      <c r="K58" s="24">
        <f>IFERROR(IF(OR(J58&gt;=L58,F58&gt;=L58),USD_CHF*LOOKUP(IF(J58="",F58,J58),{0,1,10,100,1000,5000,10000,50000},{0.0,0.127,0.039,0.025,0.021,0.014,0.013,0.012}),"MOQ="&amp;L58),"")</f>
        <v>0.14383494727781365</v>
      </c>
      <c r="L58" s="23">
        <v>1</v>
      </c>
      <c r="M58" s="25">
        <f>IFERROR(IF(J58="",F58,J58)*K58,"")</f>
        <v>0.1438</v>
      </c>
      <c r="N58" s="23" t="s">
        <v>622</v>
      </c>
      <c r="O58" s="23">
        <v>213543</v>
      </c>
      <c r="P58" s="23"/>
      <c r="Q58" s="24">
        <f>IFERROR(IF(OR(P58&gt;=R58,F58&gt;=R58),LOOKUP(IF(P58="",F58,P58),{0,1,10,50,100,500,1000},{0.0,0.14,0.071,0.0468,0.0397,0.0282,0.02477}),"MOQ="&amp;R58),"")</f>
        <v>0.14</v>
      </c>
      <c r="R58" s="23">
        <v>1</v>
      </c>
      <c r="S58" s="25">
        <f>IFERROR(IF(P58="",F58,P58)*Q58,"")</f>
        <v>0.14</v>
      </c>
      <c r="T58" s="23" t="s">
        <v>393</v>
      </c>
      <c r="U58" s="26" t="s">
        <v>594</v>
      </c>
      <c r="V58" s="23"/>
      <c r="W58" s="24">
        <f>IFERROR(IF(OR(V58&gt;=X58,F58&gt;=X58),LOOKUP(IF(V58="",F58,V58),{0,1,5000,10000},{0.0,0.0152,0.0152,0.0132}),"MOQ="&amp;X58),"")</f>
        <v/>
      </c>
      <c r="X58" s="23">
        <v>5000</v>
      </c>
      <c r="Y58" s="25">
        <f>IFERROR(IF(V58="",F58,V58)*W58,"")</f>
        <v/>
      </c>
      <c r="Z58" s="23" t="s">
        <v>394</v>
      </c>
    </row>
    <row r="59" spans="1:26">
      <c r="A59" s="23" t="s">
        <v>396</v>
      </c>
      <c r="B59" s="23" t="s">
        <v>397</v>
      </c>
      <c r="C59" s="23" t="s">
        <v>364</v>
      </c>
      <c r="D59" s="23" t="s">
        <v>367</v>
      </c>
      <c r="E59" s="23" t="s">
        <v>400</v>
      </c>
      <c r="F59" s="23">
        <f>CEILING(BoardQty*3,1)</f>
        <v>3</v>
      </c>
      <c r="G59" s="24">
        <f>IF(MIN(Q59,K59,W59)&lt;&gt;0,MIN(Q59,K59,W59),"")</f>
        <v>0.1</v>
      </c>
      <c r="H59" s="25">
        <f>IF(AND(ISNUMBER(F59),ISNUMBER(G59)),F59*G59,"")</f>
        <v>0.3</v>
      </c>
      <c r="I59" s="23">
        <v>206254</v>
      </c>
      <c r="J59" s="23"/>
      <c r="K59" s="24">
        <f>IFERROR(IF(OR(J59&gt;=L59,F59&gt;=L59),USD_CHF*LOOKUP(IF(J59="",F59,J59),{0,1,10,100,1000,2500,10000,100000},{0.0,0.091,0.014,0.008,0.007,0.006,0.004,0.003}),"MOQ="&amp;L59),"")</f>
        <v>0.1030628362384334</v>
      </c>
      <c r="L59" s="23">
        <v>1</v>
      </c>
      <c r="M59" s="25">
        <f>IFERROR(IF(J59="",F59,J59)*K59,"")</f>
        <v>0.3092</v>
      </c>
      <c r="N59" s="23" t="s">
        <v>623</v>
      </c>
      <c r="O59" s="23">
        <v>380121</v>
      </c>
      <c r="P59" s="23"/>
      <c r="Q59" s="24">
        <f>IFERROR(IF(OR(P59&gt;=R59,F59&gt;=R59),LOOKUP(IF(P59="",F59,P59),{0,1,10,50,100,500,1000,5000},{0.0,0.1,0.024,0.0152,0.0125,0.0084,0.0072,0.00523}),"MOQ="&amp;R59),"")</f>
        <v>0.1</v>
      </c>
      <c r="R59" s="23">
        <v>1</v>
      </c>
      <c r="S59" s="25">
        <f>IFERROR(IF(P59="",F59,P59)*Q59,"")</f>
        <v>0.3</v>
      </c>
      <c r="T59" s="23" t="s">
        <v>399</v>
      </c>
      <c r="U59" s="26" t="s">
        <v>594</v>
      </c>
      <c r="V59" s="23"/>
      <c r="W59" s="24">
        <f>IFERROR(IF(OR(V59&gt;=X59,F59&gt;=X59),LOOKUP(IF(V59="",F59,V59),{0,1,10,50,100,1000,2500,5000,10000},{0.0,0.11,0.019,0.0128,0.0106,0.00598,0.00466,0.00383,0.00359}),"MOQ="&amp;X59),"")</f>
        <v>0.11</v>
      </c>
      <c r="X59" s="23">
        <v>1</v>
      </c>
      <c r="Y59" s="25">
        <f>IFERROR(IF(V59="",F59,V59)*W59,"")</f>
        <v>0.33</v>
      </c>
      <c r="Z59" s="23" t="s">
        <v>656</v>
      </c>
    </row>
    <row r="60" spans="1:26">
      <c r="A60" s="23" t="s">
        <v>403</v>
      </c>
      <c r="B60" s="23" t="s">
        <v>404</v>
      </c>
      <c r="C60" s="23" t="s">
        <v>372</v>
      </c>
      <c r="D60" s="23" t="s">
        <v>407</v>
      </c>
      <c r="E60" s="23" t="s">
        <v>408</v>
      </c>
      <c r="F60" s="23">
        <f>CEILING(BoardQty*2,1)</f>
        <v>2</v>
      </c>
      <c r="G60" s="24">
        <f>IF(MIN(Q60,K60,W60)&lt;&gt;0,MIN(Q60,K60,W60),"")</f>
        <v>0.16</v>
      </c>
      <c r="H60" s="25">
        <f>IF(AND(ISNUMBER(F60),ISNUMBER(G60)),F60*G60,"")</f>
        <v>0.32</v>
      </c>
      <c r="I60" s="23">
        <v>16776</v>
      </c>
      <c r="J60" s="23"/>
      <c r="K60" s="24">
        <f>IFERROR(IF(OR(J60&gt;=L60,F60&gt;=L60),USD_CHF*LOOKUP(IF(J60="",F60,J60),{0,1,10,100,1000,5000,10000,25000},{0.0,0.145,0.047,0.029,0.02,0.017,0.015,0.013}),"MOQ="&amp;L60),"")</f>
        <v>0.16422100279750376</v>
      </c>
      <c r="L60" s="23">
        <v>1</v>
      </c>
      <c r="M60" s="25">
        <f>IFERROR(IF(J60="",F60,J60)*K60,"")</f>
        <v>0.3284</v>
      </c>
      <c r="N60" s="23" t="s">
        <v>624</v>
      </c>
      <c r="O60" s="23">
        <v>14316</v>
      </c>
      <c r="P60" s="23"/>
      <c r="Q60" s="24">
        <f>IFERROR(IF(OR(P60&gt;=R60,F60&gt;=R60),LOOKUP(IF(P60="",F60,P60),{0,1,10,50,100,500,1000},{0.0,0.16,0.078,0.0518,0.0441,0.03152,0.02775}),"MOQ="&amp;R60),"")</f>
        <v>0.16</v>
      </c>
      <c r="R60" s="23">
        <v>1</v>
      </c>
      <c r="S60" s="25">
        <f>IFERROR(IF(P60="",F60,P60)*Q60,"")</f>
        <v>0.32</v>
      </c>
      <c r="T60" s="23" t="s">
        <v>648</v>
      </c>
    </row>
    <row r="61" spans="1:26">
      <c r="A61" s="23" t="s">
        <v>411</v>
      </c>
      <c r="B61" s="23" t="s">
        <v>412</v>
      </c>
      <c r="C61" s="23" t="s">
        <v>364</v>
      </c>
      <c r="D61" s="23" t="s">
        <v>237</v>
      </c>
      <c r="E61" s="23" t="s">
        <v>415</v>
      </c>
      <c r="F61" s="23">
        <f>CEILING(BoardQty*14,1)</f>
        <v>14</v>
      </c>
      <c r="G61" s="24">
        <f>IF(MIN(Q61,K61,W61)&lt;&gt;0,MIN(Q61,K61,W61),"")</f>
        <v>0.035109317839466324</v>
      </c>
      <c r="H61" s="25">
        <f>IF(AND(ISNUMBER(F61),ISNUMBER(G61)),F61*G61,"")</f>
        <v>0.4915</v>
      </c>
      <c r="I61" s="23">
        <v>40368</v>
      </c>
      <c r="J61" s="23"/>
      <c r="K61" s="24">
        <f>IFERROR(IF(OR(J61&gt;=L61,F61&gt;=L61),USD_CHF*LOOKUP(IF(J61="",F61,J61),{0,1,10,100,1000,2500,10000},{0.0,0.099,0.031,0.019,0.015,0.013,0.012}),"MOQ="&amp;L61),"")</f>
        <v>0.035109317839466324</v>
      </c>
      <c r="L61" s="23">
        <v>1</v>
      </c>
      <c r="M61" s="25">
        <f>IFERROR(IF(J61="",F61,J61)*K61,"")</f>
        <v>0.4915</v>
      </c>
      <c r="N61" s="23" t="s">
        <v>625</v>
      </c>
      <c r="O61" s="23">
        <v>106076</v>
      </c>
      <c r="P61" s="23"/>
      <c r="Q61" s="24">
        <f>IFERROR(IF(OR(P61&gt;=R61,F61&gt;=R61),LOOKUP(IF(P61="",F61,P61),{0,1,10,50,100,500,1000,5000},{0.0,0.11,0.053,0.0344,0.0289,0.02022,0.01764,0.0134}),"MOQ="&amp;R61),"")</f>
        <v>0.053</v>
      </c>
      <c r="R61" s="23">
        <v>1</v>
      </c>
      <c r="S61" s="25">
        <f>IFERROR(IF(P61="",F61,P61)*Q61,"")</f>
        <v>0.742</v>
      </c>
      <c r="T61" s="23" t="s">
        <v>414</v>
      </c>
    </row>
    <row r="62" spans="1:26">
      <c r="A62" s="23" t="s">
        <v>418</v>
      </c>
      <c r="B62" s="23" t="s">
        <v>419</v>
      </c>
      <c r="C62" s="23" t="s">
        <v>364</v>
      </c>
      <c r="D62" s="23" t="s">
        <v>237</v>
      </c>
      <c r="E62" s="23" t="s">
        <v>421</v>
      </c>
      <c r="F62" s="23">
        <f>BoardQty*1</f>
        <v>1</v>
      </c>
      <c r="G62" s="24">
        <f>IF(MIN(Q62,K62,W62)&lt;&gt;0,MIN(Q62,K62,W62),"")</f>
        <v>0.12344889175812353</v>
      </c>
      <c r="H62" s="25">
        <f>IF(AND(ISNUMBER(F62),ISNUMBER(G62)),F62*G62,"")</f>
        <v>0.1234</v>
      </c>
      <c r="I62" s="26" t="s">
        <v>594</v>
      </c>
      <c r="J62" s="23"/>
      <c r="K62" s="24">
        <f>IFERROR(IF(OR(J62&gt;=L62,F62&gt;=L62),USD_CHF*LOOKUP(IF(J62="",F62,J62),{0,1,10,100,2500,10000},{0.0,0.109,0.033,0.02,0.012,0.01}),"MOQ="&amp;L62),"")</f>
        <v>0.12344889175812353</v>
      </c>
      <c r="L62" s="23">
        <v>1</v>
      </c>
      <c r="M62" s="25">
        <f>IFERROR(IF(J62="",F62,J62)*K62,"")</f>
        <v>0.1234</v>
      </c>
      <c r="N62" s="23" t="s">
        <v>626</v>
      </c>
      <c r="O62" s="26" t="s">
        <v>594</v>
      </c>
      <c r="P62" s="23"/>
      <c r="Q62" s="24">
        <f>IFERROR(IF(OR(P62&gt;=R62,F62&gt;=R62),LOOKUP(IF(P62="",F62,P62),{0,1,10,50,100,500,1000,5000},{0.0,0.14,0.068,0.0448,0.038,0.02692,0.02361,0.01812}),"MOQ="&amp;R62),"")</f>
        <v>0.14</v>
      </c>
      <c r="R62" s="23">
        <v>1</v>
      </c>
      <c r="S62" s="25">
        <f>IFERROR(IF(P62="",F62,P62)*Q62,"")</f>
        <v>0.14</v>
      </c>
      <c r="T62" s="23" t="s">
        <v>420</v>
      </c>
    </row>
    <row r="63" spans="1:26">
      <c r="A63" s="23" t="s">
        <v>424</v>
      </c>
      <c r="B63" s="23" t="s">
        <v>425</v>
      </c>
      <c r="C63" s="23" t="s">
        <v>364</v>
      </c>
      <c r="D63" s="23" t="s">
        <v>237</v>
      </c>
      <c r="E63" s="23" t="s">
        <v>427</v>
      </c>
      <c r="F63" s="23">
        <f>CEILING(BoardQty*7,1)</f>
        <v>7</v>
      </c>
      <c r="G63" s="24">
        <f>IF(MIN(Q63,K63,W63)&lt;&gt;0,MIN(Q63,K63,W63),"")</f>
        <v>0.1</v>
      </c>
      <c r="H63" s="25">
        <f>IF(AND(ISNUMBER(F63),ISNUMBER(G63)),F63*G63,"")</f>
        <v>0.7</v>
      </c>
      <c r="I63" s="23">
        <v>867700</v>
      </c>
      <c r="J63" s="23"/>
      <c r="K63" s="24">
        <f>IFERROR(IF(OR(J63&gt;=L63,F63&gt;=L63),USD_CHF*LOOKUP(IF(J63="",F63,J63),{0,1,10,100,1000,2500,10000},{0.0,0.091,0.015,0.008,0.007,0.006,0.003}),"MOQ="&amp;L63),"")</f>
        <v>0.1030628362384334</v>
      </c>
      <c r="L63" s="23">
        <v>1</v>
      </c>
      <c r="M63" s="25">
        <f>IFERROR(IF(J63="",F63,J63)*K63,"")</f>
        <v>0.7214</v>
      </c>
      <c r="N63" s="23" t="s">
        <v>627</v>
      </c>
      <c r="O63" s="23">
        <v>1885578</v>
      </c>
      <c r="P63" s="23"/>
      <c r="Q63" s="24">
        <f>IFERROR(IF(OR(P63&gt;=R63,F63&gt;=R63),LOOKUP(IF(P63="",F63,P63),{0,1,10,50,100,500,1000,5000},{0.0,0.1,0.024,0.0152,0.0125,0.0084,0.0072,0.00523}),"MOQ="&amp;R63),"")</f>
        <v>0.1</v>
      </c>
      <c r="R63" s="23">
        <v>1</v>
      </c>
      <c r="S63" s="25">
        <f>IFERROR(IF(P63="",F63,P63)*Q63,"")</f>
        <v>0.7</v>
      </c>
      <c r="T63" s="23" t="s">
        <v>426</v>
      </c>
      <c r="U63" s="23">
        <v>4767</v>
      </c>
      <c r="V63" s="23"/>
      <c r="W63" s="24">
        <f>IFERROR(IF(OR(V63&gt;=X63,F63&gt;=X63),LOOKUP(IF(V63="",F63,V63),{0,1,8,50,100,1000,2500,10000,500000,1000000},{0.0,0.11,0.0425,0.0152,0.011,0.00524,0.00456,0.00409,0.00384,0.00381}),"MOQ="&amp;X63),"")</f>
        <v>0.11</v>
      </c>
      <c r="X63" s="23">
        <v>1</v>
      </c>
      <c r="Y63" s="25">
        <f>IFERROR(IF(V63="",F63,V63)*W63,"")</f>
        <v>0.77</v>
      </c>
      <c r="Z63" s="23" t="s">
        <v>657</v>
      </c>
    </row>
    <row r="64" spans="1:26">
      <c r="A64" s="23" t="s">
        <v>430</v>
      </c>
      <c r="B64" s="23" t="s">
        <v>431</v>
      </c>
      <c r="C64" s="23" t="s">
        <v>364</v>
      </c>
      <c r="D64" s="23" t="s">
        <v>25</v>
      </c>
      <c r="E64" s="23" t="s">
        <v>434</v>
      </c>
      <c r="F64" s="23">
        <f>BoardQty*1</f>
        <v>1</v>
      </c>
      <c r="G64" s="24">
        <f>IF(MIN(Q64,K64,W64)&lt;&gt;0,MIN(Q64,K64,W64),"")</f>
        <v>0.1</v>
      </c>
      <c r="H64" s="25">
        <f>IF(AND(ISNUMBER(F64),ISNUMBER(G64)),F64*G64,"")</f>
        <v>0.1</v>
      </c>
      <c r="I64" s="23">
        <v>49466</v>
      </c>
      <c r="J64" s="23"/>
      <c r="K64" s="24">
        <f>IFERROR(IF(OR(J64&gt;=L64,F64&gt;=L64),USD_CHF*LOOKUP(IF(J64="",F64,J64),{0,1,10,100,1000,2500,10000,25000,50000},{0.0,0.091,0.023,0.019,0.013,0.01,0.009,0.007,0.006}),"MOQ="&amp;L64),"")</f>
        <v>0.1030628362384334</v>
      </c>
      <c r="L64" s="23">
        <v>1</v>
      </c>
      <c r="M64" s="25">
        <f>IFERROR(IF(J64="",F64,J64)*K64,"")</f>
        <v>0.1031</v>
      </c>
      <c r="N64" s="23" t="s">
        <v>628</v>
      </c>
      <c r="O64" s="23">
        <v>96698</v>
      </c>
      <c r="P64" s="23"/>
      <c r="Q64" s="24">
        <f>IFERROR(IF(OR(P64&gt;=R64,F64&gt;=R64),LOOKUP(IF(P64="",F64,P64),{0,1,10,50,100,500,1000,5000,10000},{0.0,0.1,0.027,0.0234,0.0204,0.01734,0.01428,0.01071,0.0102}),"MOQ="&amp;R64),"")</f>
        <v>0.1</v>
      </c>
      <c r="R64" s="23">
        <v>1</v>
      </c>
      <c r="S64" s="25">
        <f>IFERROR(IF(P64="",F64,P64)*Q64,"")</f>
        <v>0.1</v>
      </c>
      <c r="T64" s="23" t="s">
        <v>433</v>
      </c>
    </row>
    <row r="65" spans="1:26">
      <c r="A65" s="23" t="s">
        <v>437</v>
      </c>
      <c r="B65" s="23" t="s">
        <v>438</v>
      </c>
      <c r="C65" s="23" t="s">
        <v>364</v>
      </c>
      <c r="D65" s="23" t="s">
        <v>25</v>
      </c>
      <c r="E65" s="23" t="s">
        <v>440</v>
      </c>
      <c r="F65" s="23">
        <f>BoardQty*1</f>
        <v>1</v>
      </c>
      <c r="G65" s="24">
        <f>IF(MIN(Q65,K65,W65)&lt;&gt;0,MIN(Q65,K65,W65),"")</f>
        <v>0.1</v>
      </c>
      <c r="H65" s="25">
        <f>IF(AND(ISNUMBER(F65),ISNUMBER(G65)),F65*G65,"")</f>
        <v>0.1</v>
      </c>
      <c r="I65" s="23">
        <v>19744</v>
      </c>
      <c r="J65" s="23"/>
      <c r="K65" s="24">
        <f>IFERROR(IF(OR(J65&gt;=L65,F65&gt;=L65),USD_CHF*LOOKUP(IF(J65="",F65,J65),{0,1,10,100,1000,2500,10000,20000},{0.0,0.091,0.02,0.015,0.013,0.01,0.007,0.006}),"MOQ="&amp;L65),"")</f>
        <v>0.1030628362384334</v>
      </c>
      <c r="L65" s="23">
        <v>1</v>
      </c>
      <c r="M65" s="25">
        <f>IFERROR(IF(J65="",F65,J65)*K65,"")</f>
        <v>0.1031</v>
      </c>
      <c r="N65" s="23" t="s">
        <v>629</v>
      </c>
      <c r="O65" s="23">
        <v>19580</v>
      </c>
      <c r="P65" s="23"/>
      <c r="Q65" s="24">
        <f>IFERROR(IF(OR(P65&gt;=R65,F65&gt;=R65),LOOKUP(IF(P65="",F65,P65),{0,1,10,50,100,500,1000,5000},{0.0,0.1,0.023,0.0204,0.0173,0.0158,0.01428,0.01122}),"MOQ="&amp;R65),"")</f>
        <v>0.1</v>
      </c>
      <c r="R65" s="23">
        <v>1</v>
      </c>
      <c r="S65" s="25">
        <f>IFERROR(IF(P65="",F65,P65)*Q65,"")</f>
        <v>0.1</v>
      </c>
      <c r="T65" s="23" t="s">
        <v>439</v>
      </c>
    </row>
    <row r="66" spans="1:26">
      <c r="A66" s="23" t="s">
        <v>443</v>
      </c>
      <c r="B66" s="23" t="s">
        <v>444</v>
      </c>
      <c r="C66" s="23" t="s">
        <v>364</v>
      </c>
      <c r="D66" s="23" t="s">
        <v>25</v>
      </c>
      <c r="E66" s="23" t="s">
        <v>446</v>
      </c>
      <c r="F66" s="23">
        <f>CEILING(BoardQty*3,1)</f>
        <v>3</v>
      </c>
      <c r="G66" s="24">
        <f>IF(MIN(Q66,K66,W66)&lt;&gt;0,MIN(Q66,K66,W66),"")</f>
        <v>0.09025</v>
      </c>
      <c r="H66" s="25">
        <f>IF(AND(ISNUMBER(F66),ISNUMBER(G66)),F66*G66,"")</f>
        <v>0.2707</v>
      </c>
      <c r="I66" s="23">
        <v>145019</v>
      </c>
      <c r="J66" s="23"/>
      <c r="K66" s="24">
        <f>IFERROR(IF(OR(J66&gt;=L66,F66&gt;=L66),USD_CHF*LOOKUP(IF(J66="",F66,J66),{0,1,10,100,1000,2500,10000},{0.0,0.091,0.02,0.015,0.013,0.01,0.006}),"MOQ="&amp;L66),"")</f>
        <v>0.1030628362384334</v>
      </c>
      <c r="L66" s="23">
        <v>1</v>
      </c>
      <c r="M66" s="25">
        <f>IFERROR(IF(J66="",F66,J66)*K66,"")</f>
        <v>0.3092</v>
      </c>
      <c r="N66" s="23" t="s">
        <v>630</v>
      </c>
      <c r="O66" s="23">
        <v>83239</v>
      </c>
      <c r="P66" s="23"/>
      <c r="Q66" s="24">
        <f>IFERROR(IF(OR(P66&gt;=R66,F66&gt;=R66),LOOKUP(IF(P66="",F66,P66),{0,1,10,50,100,500,1000,5000},{0.0,0.1,0.023,0.0204,0.0173,0.0158,0.01428,0.01122}),"MOQ="&amp;R66),"")</f>
        <v>0.1</v>
      </c>
      <c r="R66" s="23">
        <v>1</v>
      </c>
      <c r="S66" s="25">
        <f>IFERROR(IF(P66="",F66,P66)*Q66,"")</f>
        <v>0.3</v>
      </c>
      <c r="T66" s="23" t="s">
        <v>445</v>
      </c>
      <c r="U66" s="23">
        <v>5076</v>
      </c>
      <c r="V66" s="23"/>
      <c r="W66" s="24">
        <f>IFERROR(IF(OR(V66&gt;=X66,F66&gt;=X66),LOOKUP(IF(V66="",F66,V66),{0,1,10,50,100,500,1000,2500,3000,5000,10000},{0.0,0.09025,0.02111,0.01879,0.01604,0.01467,0.01298,0.01003,0.00971,0.00866,0.0038}),"MOQ="&amp;X66),"")</f>
        <v>0.09025</v>
      </c>
      <c r="X66" s="23">
        <v>1</v>
      </c>
      <c r="Y66" s="25">
        <f>IFERROR(IF(V66="",F66,V66)*W66,"")</f>
        <v>0.2707</v>
      </c>
      <c r="Z66" s="23" t="s">
        <v>446</v>
      </c>
    </row>
    <row r="67" spans="1:26">
      <c r="A67" s="23" t="s">
        <v>449</v>
      </c>
      <c r="B67" s="23" t="s">
        <v>450</v>
      </c>
      <c r="C67" s="23" t="s">
        <v>364</v>
      </c>
      <c r="D67" s="23" t="s">
        <v>25</v>
      </c>
      <c r="E67" s="23" t="s">
        <v>452</v>
      </c>
      <c r="F67" s="23">
        <f>CEILING(BoardQty*6,1)</f>
        <v>6</v>
      </c>
      <c r="G67" s="24">
        <f>IF(MIN(Q67,K67,W67)&lt;&gt;0,MIN(Q67,K67,W67),"")</f>
        <v>0.1</v>
      </c>
      <c r="H67" s="25">
        <f>IF(AND(ISNUMBER(F67),ISNUMBER(G67)),F67*G67,"")</f>
        <v>0.6</v>
      </c>
      <c r="I67" s="23">
        <v>191844</v>
      </c>
      <c r="J67" s="23"/>
      <c r="K67" s="24">
        <f>IFERROR(IF(OR(J67&gt;=L67,F67&gt;=L67),USD_CHF*LOOKUP(IF(J67="",F67,J67),{0,1,10,100,1000,2500,10000,20000},{0.0,0.091,0.02,0.015,0.012,0.009,0.007,0.006}),"MOQ="&amp;L67),"")</f>
        <v>0.1030628362384334</v>
      </c>
      <c r="L67" s="23">
        <v>1</v>
      </c>
      <c r="M67" s="25">
        <f>IFERROR(IF(J67="",F67,J67)*K67,"")</f>
        <v>0.6184</v>
      </c>
      <c r="N67" s="23" t="s">
        <v>631</v>
      </c>
      <c r="O67" s="23">
        <v>74472</v>
      </c>
      <c r="P67" s="23"/>
      <c r="Q67" s="24">
        <f>IFERROR(IF(OR(P67&gt;=R67,F67&gt;=R67),LOOKUP(IF(P67="",F67,P67),{0,1,10,50,100,500,1000,5000},{0.0,0.1,0.023,0.0204,0.0173,0.0158,0.01428,0.01122}),"MOQ="&amp;R67),"")</f>
        <v>0.1</v>
      </c>
      <c r="R67" s="23">
        <v>1</v>
      </c>
      <c r="S67" s="25">
        <f>IFERROR(IF(P67="",F67,P67)*Q67,"")</f>
        <v>0.6</v>
      </c>
      <c r="T67" s="23" t="s">
        <v>451</v>
      </c>
    </row>
    <row r="68" spans="1:26">
      <c r="A68" s="23" t="s">
        <v>456</v>
      </c>
      <c r="B68" s="23" t="s">
        <v>457</v>
      </c>
      <c r="C68" s="23" t="s">
        <v>458</v>
      </c>
      <c r="D68" s="23" t="s">
        <v>461</v>
      </c>
      <c r="E68" s="23" t="s">
        <v>457</v>
      </c>
      <c r="F68" s="23">
        <f>BoardQty*1</f>
        <v>1</v>
      </c>
      <c r="G68" s="24">
        <f>IF(MIN(Q68,K68,W68)&lt;&gt;0,MIN(Q68,K68,W68),"")</f>
        <v>2.66</v>
      </c>
      <c r="H68" s="25">
        <f>IF(AND(ISNUMBER(F68),ISNUMBER(G68)),F68*G68,"")</f>
        <v>2.66</v>
      </c>
      <c r="I68" s="26" t="s">
        <v>594</v>
      </c>
      <c r="J68" s="23"/>
      <c r="N68" s="23" t="s">
        <v>603</v>
      </c>
      <c r="O68" s="23">
        <v>14230</v>
      </c>
      <c r="P68" s="23"/>
      <c r="Q68" s="24">
        <f>IFERROR(IF(OR(P68&gt;=R68,F68&gt;=R68),LOOKUP(IF(P68="",F68,P68),{0,1,10,25,100,250,500},{0.0,2.66,2.159,1.9852,1.7451,1.60036,1.4976}),"MOQ="&amp;R68),"")</f>
        <v>2.66</v>
      </c>
      <c r="R68" s="23">
        <v>1</v>
      </c>
      <c r="S68" s="25">
        <f>IFERROR(IF(P68="",F68,P68)*Q68,"")</f>
        <v>2.66</v>
      </c>
      <c r="T68" s="23" t="s">
        <v>460</v>
      </c>
    </row>
    <row r="69" spans="1:26">
      <c r="A69" s="23" t="s">
        <v>465</v>
      </c>
      <c r="B69" s="23" t="s">
        <v>466</v>
      </c>
      <c r="C69" s="23" t="s">
        <v>364</v>
      </c>
      <c r="D69" s="23" t="s">
        <v>35</v>
      </c>
      <c r="E69" s="23" t="s">
        <v>469</v>
      </c>
      <c r="F69" s="23">
        <f>BoardQty*1</f>
        <v>1</v>
      </c>
      <c r="G69" s="24">
        <f>IF(MIN(Q69,K69,W69)&lt;&gt;0,MIN(Q69,K69,W69),"")</f>
        <v>0.12</v>
      </c>
      <c r="H69" s="25">
        <f>IF(AND(ISNUMBER(F69),ISNUMBER(G69)),F69*G69,"")</f>
        <v>0.12</v>
      </c>
      <c r="I69" s="23">
        <v>50747</v>
      </c>
      <c r="J69" s="23"/>
      <c r="K69" s="24">
        <f>IFERROR(IF(OR(J69&gt;=L69,F69&gt;=L69),USD_CHF*LOOKUP(IF(J69="",F69,J69),{0,1,10,100,500,1000,2500,10000,20000,50000},{0.0,0.109,0.085,0.078,0.067,0.062,0.053,0.047,0.042,0.04}),"MOQ="&amp;L69),"")</f>
        <v>0.12344889175812353</v>
      </c>
      <c r="L69" s="23">
        <v>1</v>
      </c>
      <c r="M69" s="25">
        <f>IFERROR(IF(J69="",F69,J69)*K69,"")</f>
        <v>0.1234</v>
      </c>
      <c r="N69" s="23" t="s">
        <v>632</v>
      </c>
      <c r="O69" s="23">
        <v>91939</v>
      </c>
      <c r="P69" s="23"/>
      <c r="Q69" s="24">
        <f>IFERROR(IF(OR(P69&gt;=R69,F69&gt;=R69),LOOKUP(IF(P69="",F69,P69),{0,1,5,10,25,50,100,500,1000},{0.0,0.12,0.11,0.096,0.0896,0.0836,0.071,0.05992,0.05426}),"MOQ="&amp;R69),"")</f>
        <v>0.12</v>
      </c>
      <c r="R69" s="23">
        <v>1</v>
      </c>
      <c r="S69" s="25">
        <f>IFERROR(IF(P69="",F69,P69)*Q69,"")</f>
        <v>0.12</v>
      </c>
      <c r="T69" s="23" t="s">
        <v>468</v>
      </c>
      <c r="U69" s="23">
        <v>4125</v>
      </c>
      <c r="V69" s="23"/>
      <c r="W69" s="24">
        <f>IFERROR(IF(OR(V69&gt;=X69,F69&gt;=X69),LOOKUP(IF(V69="",F69,V69),{0,1,10,50,100,500,1000,2500,10000,250000},{0.0,0.13,0.096,0.0798,0.0735,0.0615,0.0573,0.0524,0.0465,0.0372}),"MOQ="&amp;X69),"")</f>
        <v>0.13</v>
      </c>
      <c r="X69" s="23">
        <v>1</v>
      </c>
      <c r="Y69" s="25">
        <f>IFERROR(IF(V69="",F69,V69)*W69,"")</f>
        <v>0.13</v>
      </c>
      <c r="Z69" s="23" t="s">
        <v>469</v>
      </c>
    </row>
    <row r="70" spans="1:26">
      <c r="A70" s="23" t="s">
        <v>473</v>
      </c>
      <c r="B70" s="23" t="s">
        <v>472</v>
      </c>
      <c r="C70" s="23" t="s">
        <v>474</v>
      </c>
      <c r="D70" s="23" t="s">
        <v>477</v>
      </c>
      <c r="E70" s="23" t="s">
        <v>478</v>
      </c>
      <c r="F70" s="23">
        <f>BoardQty*1</f>
        <v>1</v>
      </c>
      <c r="G70" s="24">
        <f>IF(MIN(Q70,K70,W70)&lt;&gt;0,MIN(Q70,K70,W70),"")</f>
        <v>9.672050785452981</v>
      </c>
      <c r="H70" s="25">
        <f>IF(AND(ISNUMBER(F70),ISNUMBER(G70)),F70*G70,"")</f>
        <v>9.6721</v>
      </c>
      <c r="I70" s="23">
        <v>6446</v>
      </c>
      <c r="J70" s="23"/>
      <c r="K70" s="24">
        <f>IFERROR(IF(OR(J70&gt;=L70,F70&gt;=L70),USD_CHF*LOOKUP(IF(J70="",F70,J70),{0,1,10,100,500,1000},{0.0,8.54,6.31,5.46,4.61,4.51}),"MOQ="&amp;L70),"")</f>
        <v>9.672050785452981</v>
      </c>
      <c r="L70" s="23">
        <v>1</v>
      </c>
      <c r="M70" s="25">
        <f>IFERROR(IF(J70="",F70,J70)*K70,"")</f>
        <v>9.6721</v>
      </c>
      <c r="N70" s="23" t="s">
        <v>633</v>
      </c>
      <c r="O70" s="23">
        <v>6418</v>
      </c>
      <c r="P70" s="23"/>
      <c r="Q70" s="24">
        <f>IFERROR(IF(OR(P70&gt;=R70,F70&gt;=R70),LOOKUP(IF(P70="",F70,P70),{0,1,5,10,25,50,100},{0.0,9.74,8.28,7.717,7.03,6.5498,6.1017}),"MOQ="&amp;R70),"")</f>
        <v>9.74</v>
      </c>
      <c r="R70" s="23">
        <v>1</v>
      </c>
      <c r="S70" s="25">
        <f>IFERROR(IF(P70="",F70,P70)*Q70,"")</f>
        <v>9.74</v>
      </c>
      <c r="T70" s="23" t="s">
        <v>649</v>
      </c>
    </row>
    <row r="71" spans="1:26">
      <c r="A71" s="23" t="s">
        <v>482</v>
      </c>
      <c r="B71" s="23" t="s">
        <v>481</v>
      </c>
      <c r="C71" s="23" t="s">
        <v>474</v>
      </c>
      <c r="D71" s="23" t="s">
        <v>477</v>
      </c>
      <c r="E71" s="23" t="s">
        <v>485</v>
      </c>
      <c r="F71" s="23">
        <f>BoardQty*1</f>
        <v>1</v>
      </c>
      <c r="G71" s="24">
        <f>IF(MIN(Q71,K71,W71)&lt;&gt;0,MIN(Q71,K71,W71),"")</f>
        <v>8.256352485474501</v>
      </c>
      <c r="H71" s="25">
        <f>IF(AND(ISNUMBER(F71),ISNUMBER(G71)),F71*G71,"")</f>
        <v>8.2564</v>
      </c>
      <c r="I71" s="23">
        <v>2827</v>
      </c>
      <c r="J71" s="23"/>
      <c r="K71" s="24">
        <f>IFERROR(IF(OR(J71&gt;=L71,F71&gt;=L71),USD_CHF*LOOKUP(IF(J71="",F71,J71),{0,1,10,100,500},{0.0,7.29,5.77,5.32,4.55}),"MOQ="&amp;L71),"")</f>
        <v>8.256352485474501</v>
      </c>
      <c r="L71" s="23">
        <v>1</v>
      </c>
      <c r="M71" s="25">
        <f>IFERROR(IF(J71="",F71,J71)*K71,"")</f>
        <v>8.2564</v>
      </c>
      <c r="N71" s="23" t="s">
        <v>634</v>
      </c>
      <c r="O71" s="23">
        <v>762</v>
      </c>
      <c r="P71" s="23"/>
      <c r="Q71" s="24">
        <f>IFERROR(IF(OR(P71&gt;=R71,F71&gt;=R71),LOOKUP(IF(P71="",F71,P71),{0,1,5,10,25,50,100},{0.0,9.28,8.04,6.875,6.7268,6.3602,5.925}),"MOQ="&amp;R71),"")</f>
        <v>9.28</v>
      </c>
      <c r="R71" s="23">
        <v>1</v>
      </c>
      <c r="S71" s="25">
        <f>IFERROR(IF(P71="",F71,P71)*Q71,"")</f>
        <v>9.28</v>
      </c>
      <c r="T71" s="23" t="s">
        <v>484</v>
      </c>
    </row>
    <row r="72" spans="1:26">
      <c r="A72" s="23" t="s">
        <v>489</v>
      </c>
      <c r="B72" s="23" t="s">
        <v>488</v>
      </c>
      <c r="C72" s="23" t="s">
        <v>490</v>
      </c>
      <c r="D72" s="23" t="s">
        <v>493</v>
      </c>
      <c r="E72" s="23" t="s">
        <v>488</v>
      </c>
      <c r="F72" s="23">
        <f>BoardQty*1</f>
        <v>1</v>
      </c>
      <c r="G72" s="24">
        <f>IF(MIN(Q72,K72,W72)&lt;&gt;0,MIN(Q72,K72,W72),"")</f>
        <v>0.93</v>
      </c>
      <c r="H72" s="25">
        <f>IF(AND(ISNUMBER(F72),ISNUMBER(G72)),F72*G72,"")</f>
        <v>0.93</v>
      </c>
      <c r="I72" s="23">
        <v>3365</v>
      </c>
      <c r="J72" s="23"/>
      <c r="K72" s="24">
        <f>IFERROR(IF(OR(J72&gt;=L72,F72&gt;=L72),USD_CHF*LOOKUP(IF(J72="",F72,J72),{0,1,10,100,500,1000,3000,6000,9000,24000},{0.0,1.08,0.575,0.392,0.356,0.322,0.284,0.265,0.238,0.236}),"MOQ="&amp;L72),"")</f>
        <v>1.2231633311814076</v>
      </c>
      <c r="L72" s="23">
        <v>1</v>
      </c>
      <c r="M72" s="25">
        <f>IFERROR(IF(J72="",F72,J72)*K72,"")</f>
        <v>1.2232</v>
      </c>
      <c r="N72" s="23" t="s">
        <v>635</v>
      </c>
      <c r="O72" s="23">
        <v>16148</v>
      </c>
      <c r="P72" s="23"/>
      <c r="Q72" s="24">
        <f>IFERROR(IF(OR(P72&gt;=R72,F72&gt;=R72),LOOKUP(IF(P72="",F72,P72),{0,1,10,25,100,250,500,1000},{0.0,1.2,0.753,0.6336,0.4982,0.43196,0.3914,0.35758}),"MOQ="&amp;R72),"")</f>
        <v>1.2</v>
      </c>
      <c r="R72" s="23">
        <v>1</v>
      </c>
      <c r="S72" s="25">
        <f>IFERROR(IF(P72="",F72,P72)*Q72,"")</f>
        <v>1.2</v>
      </c>
      <c r="T72" s="23" t="s">
        <v>492</v>
      </c>
      <c r="U72" s="26" t="s">
        <v>594</v>
      </c>
      <c r="V72" s="23"/>
      <c r="W72" s="24">
        <f>IFERROR(IF(OR(V72&gt;=X72,F72&gt;=X72),LOOKUP(IF(V72="",F72,V72),{0,1,5,25,100,500,3000,6000,12000},{0.0,0.93,0.616,0.58,0.548,0.507,0.462,0.43,0.4}),"MOQ="&amp;X72),"")</f>
        <v>0.93</v>
      </c>
      <c r="X72" s="23">
        <v>1</v>
      </c>
      <c r="Y72" s="25">
        <f>IFERROR(IF(V72="",F72,V72)*W72,"")</f>
        <v>0.93</v>
      </c>
      <c r="Z72" s="23" t="s">
        <v>488</v>
      </c>
    </row>
    <row r="73" spans="1:26">
      <c r="A73" s="23" t="s">
        <v>497</v>
      </c>
      <c r="B73" s="23" t="s">
        <v>496</v>
      </c>
      <c r="C73" s="23" t="s">
        <v>498</v>
      </c>
      <c r="D73" s="23" t="s">
        <v>501</v>
      </c>
      <c r="E73" s="23" t="s">
        <v>502</v>
      </c>
      <c r="F73" s="23">
        <f>BoardQty*1</f>
        <v>1</v>
      </c>
      <c r="G73" s="24">
        <f>IF(MIN(Q73,K73,W73)&lt;&gt;0,MIN(Q73,K73,W73),"")</f>
        <v>5.59</v>
      </c>
      <c r="H73" s="25">
        <f>IF(AND(ISNUMBER(F73),ISNUMBER(G73)),F73*G73,"")</f>
        <v>5.59</v>
      </c>
      <c r="I73" s="23">
        <v>3272</v>
      </c>
      <c r="J73" s="23"/>
      <c r="K73" s="24">
        <f>IFERROR(IF(OR(J73&gt;=L73,F73&gt;=L73),USD_CHF*LOOKUP(IF(J73="",F73,J73),{0,1,10,100,250,500,1000,2000,4000},{0.0,5.07,3.58,3.26,3.1,3.0,2.9,2.74,2.71}),"MOQ="&amp;L73),"")</f>
        <v>5.7420723047127185</v>
      </c>
      <c r="L73" s="23">
        <v>1</v>
      </c>
      <c r="M73" s="25">
        <f>IFERROR(IF(J73="",F73,J73)*K73,"")</f>
        <v>5.7421</v>
      </c>
      <c r="N73" s="23" t="s">
        <v>636</v>
      </c>
      <c r="O73" s="23">
        <v>3199</v>
      </c>
      <c r="P73" s="23"/>
      <c r="Q73" s="24">
        <f>IFERROR(IF(OR(P73&gt;=R73,F73&gt;=R73),LOOKUP(IF(P73="",F73,P73),{0,1,10,25,100,250,500,1000},{0.0,5.59,4.273,3.9448,3.5837,3.41152,3.30776,3.22234}),"MOQ="&amp;R73),"")</f>
        <v>5.59</v>
      </c>
      <c r="R73" s="23">
        <v>1</v>
      </c>
      <c r="S73" s="25">
        <f>IFERROR(IF(P73="",F73,P73)*Q73,"")</f>
        <v>5.59</v>
      </c>
      <c r="T73" s="23" t="s">
        <v>500</v>
      </c>
    </row>
    <row r="74" spans="1:26">
      <c r="A74" s="23" t="s">
        <v>506</v>
      </c>
      <c r="B74" s="23" t="s">
        <v>505</v>
      </c>
      <c r="C74" s="23" t="s">
        <v>507</v>
      </c>
      <c r="D74" s="23" t="s">
        <v>501</v>
      </c>
      <c r="E74" s="23" t="s">
        <v>510</v>
      </c>
      <c r="F74" s="23">
        <f>BoardQty*1</f>
        <v>1</v>
      </c>
      <c r="G74" s="24">
        <f>IF(MIN(Q74,K74,W74)&lt;&gt;0,MIN(Q74,K74,W74),"")</f>
        <v>2.66</v>
      </c>
      <c r="H74" s="25">
        <f>IF(AND(ISNUMBER(F74),ISNUMBER(G74)),F74*G74,"")</f>
        <v>2.66</v>
      </c>
      <c r="I74" s="23">
        <v>207</v>
      </c>
      <c r="J74" s="23"/>
      <c r="K74" s="24">
        <f>IFERROR(IF(OR(J74&gt;=L74,F74&gt;=L74),USD_CHF*LOOKUP(IF(J74="",F74,J74),{0,1,10,100,250,500,1000,2500,5000},{0.0,2.41,1.65,1.48,1.39,1.32,1.28,1.26,1.23}),"MOQ="&amp;L74),"")</f>
        <v>2.7294663223585114</v>
      </c>
      <c r="L74" s="23">
        <v>1</v>
      </c>
      <c r="M74" s="25">
        <f>IFERROR(IF(J74="",F74,J74)*K74,"")</f>
        <v>2.7295</v>
      </c>
      <c r="N74" s="23" t="s">
        <v>637</v>
      </c>
      <c r="O74" s="23">
        <v>374</v>
      </c>
      <c r="P74" s="23"/>
      <c r="Q74" s="24">
        <f>IFERROR(IF(OR(P74&gt;=R74,F74&gt;=R74),LOOKUP(IF(P74="",F74,P74),{0,1,10,25,100},{0.0,2.66,1.986,1.816,1.6292}),"MOQ="&amp;R74),"")</f>
        <v>2.66</v>
      </c>
      <c r="R74" s="23">
        <v>1</v>
      </c>
      <c r="S74" s="25">
        <f>IFERROR(IF(P74="",F74,P74)*Q74,"")</f>
        <v>2.66</v>
      </c>
      <c r="T74" s="23" t="s">
        <v>509</v>
      </c>
      <c r="U74" s="26" t="s">
        <v>594</v>
      </c>
      <c r="V74" s="23"/>
      <c r="W74" s="24">
        <f>IFERROR(IF(OR(V74&gt;=X74,F74&gt;=X74),LOOKUP(IF(V74="",F74,V74),{0,1,5,25,100,250},{0.0,2.75,2.48,2.19,1.97,1.83}),"MOQ="&amp;X74),"")</f>
        <v>2.75</v>
      </c>
      <c r="X74" s="23">
        <v>1</v>
      </c>
      <c r="Y74" s="25">
        <f>IFERROR(IF(V74="",F74,V74)*W74,"")</f>
        <v>2.75</v>
      </c>
      <c r="Z74" s="23" t="s">
        <v>510</v>
      </c>
    </row>
    <row r="75" spans="1:26">
      <c r="A75" s="23" t="s">
        <v>514</v>
      </c>
      <c r="B75" s="23" t="s">
        <v>513</v>
      </c>
      <c r="C75" s="23" t="s">
        <v>515</v>
      </c>
      <c r="D75" s="23" t="s">
        <v>501</v>
      </c>
      <c r="E75" s="23" t="s">
        <v>518</v>
      </c>
      <c r="F75" s="23">
        <f>BoardQty*1</f>
        <v>1</v>
      </c>
      <c r="G75" s="24">
        <f>IF(MIN(Q75,K75,W75)&lt;&gt;0,MIN(Q75,K75,W75),"")</f>
        <v>4.07</v>
      </c>
      <c r="H75" s="25">
        <f>IF(AND(ISNUMBER(F75),ISNUMBER(G75)),F75*G75,"")</f>
        <v>4.07</v>
      </c>
      <c r="I75" s="23">
        <v>9222</v>
      </c>
      <c r="J75" s="23"/>
      <c r="K75" s="24">
        <f>IFERROR(IF(OR(J75&gt;=L75,F75&gt;=L75),USD_CHF*LOOKUP(IF(J75="",F75,J75),{0,1,10,100,250,500,1000,3000},{0.0,3.7,2.56,2.32,2.2,2.14,2.08,1.91}),"MOQ="&amp;L75),"")</f>
        <v>4.190466967936303</v>
      </c>
      <c r="L75" s="23">
        <v>1</v>
      </c>
      <c r="M75" s="25">
        <f>IFERROR(IF(J75="",F75,J75)*K75,"")</f>
        <v>4.1905</v>
      </c>
      <c r="N75" s="23" t="s">
        <v>638</v>
      </c>
      <c r="O75" s="23">
        <v>1315</v>
      </c>
      <c r="P75" s="23"/>
      <c r="Q75" s="24">
        <f>IFERROR(IF(OR(P75&gt;=R75,F75&gt;=R75),LOOKUP(IF(P75="",F75,P75),{0,1,10,25,100,250,500,1000},{0.0,4.07,3.075,2.8276,2.5554,2.42556,2.34734,2.28295}),"MOQ="&amp;R75),"")</f>
        <v>4.07</v>
      </c>
      <c r="R75" s="23">
        <v>1</v>
      </c>
      <c r="S75" s="25">
        <f>IFERROR(IF(P75="",F75,P75)*Q75,"")</f>
        <v>4.07</v>
      </c>
      <c r="T75" s="23" t="s">
        <v>650</v>
      </c>
      <c r="U75" s="26" t="s">
        <v>594</v>
      </c>
      <c r="V75" s="23"/>
      <c r="W75" s="24">
        <f>IFERROR(IF(OR(V75&gt;=X75,F75&gt;=X75),LOOKUP(IF(V75="",F75,V75),{0,1,3000},{0.0,1.46,1.46}),"MOQ="&amp;X75),"")</f>
        <v/>
      </c>
      <c r="X75" s="23">
        <v>3000</v>
      </c>
      <c r="Y75" s="25">
        <f>IFERROR(IF(V75="",F75,V75)*W75,"")</f>
        <v/>
      </c>
      <c r="Z75" s="23" t="s">
        <v>518</v>
      </c>
    </row>
    <row r="76" spans="1:26">
      <c r="A76" s="23" t="s">
        <v>522</v>
      </c>
      <c r="B76" s="23" t="s">
        <v>521</v>
      </c>
      <c r="C76" s="23" t="s">
        <v>523</v>
      </c>
      <c r="D76" s="23" t="s">
        <v>501</v>
      </c>
      <c r="E76" s="23" t="s">
        <v>521</v>
      </c>
      <c r="F76" s="23">
        <f>BoardQty*1</f>
        <v>1</v>
      </c>
      <c r="G76" s="24">
        <f>IF(MIN(Q76,K76,W76)&lt;&gt;0,MIN(Q76,K76,W76),"")</f>
        <v>1.3</v>
      </c>
      <c r="H76" s="25">
        <f>IF(AND(ISNUMBER(F76),ISNUMBER(G76)),F76*G76,"")</f>
        <v>1.3</v>
      </c>
      <c r="I76" s="23">
        <v>4944</v>
      </c>
      <c r="J76" s="23"/>
      <c r="K76" s="24">
        <f>IFERROR(IF(OR(J76&gt;=L76,F76&gt;=L76),USD_CHF*LOOKUP(IF(J76="",F76,J76),{0,1,10,100,500,1000,3000,6000,9000},{0.0,1.25,0.826,0.687,0.661,0.596,0.583,0.575,0.562}),"MOQ="&amp;L76),"")</f>
        <v>1.4156982999784808</v>
      </c>
      <c r="L76" s="23">
        <v>1</v>
      </c>
      <c r="M76" s="25">
        <f>IFERROR(IF(J76="",F76,J76)*K76,"")</f>
        <v>1.4157</v>
      </c>
      <c r="N76" s="23" t="s">
        <v>639</v>
      </c>
      <c r="O76" s="23">
        <v>70309</v>
      </c>
      <c r="P76" s="23"/>
      <c r="Q76" s="24">
        <f>IFERROR(IF(OR(P76&gt;=R76,F76&gt;=R76),LOOKUP(IF(P76="",F76,P76),{0,1,10,25,100,250,500},{0.0,1.38,1.005,0.9104,0.8072,0.75792,0.72822}),"MOQ="&amp;R76),"")</f>
        <v>1.38</v>
      </c>
      <c r="R76" s="23">
        <v>1</v>
      </c>
      <c r="S76" s="25">
        <f>IFERROR(IF(P76="",F76,P76)*Q76,"")</f>
        <v>1.38</v>
      </c>
      <c r="T76" s="23" t="s">
        <v>525</v>
      </c>
      <c r="U76" s="26" t="s">
        <v>594</v>
      </c>
      <c r="V76" s="23"/>
      <c r="W76" s="24">
        <f>IFERROR(IF(OR(V76&gt;=X76,F76&gt;=X76),LOOKUP(IF(V76="",F76,V76),{0,1,10,25,50,100,250,500,1000},{0.0,1.3,0.98,0.88,0.84,0.77,0.72,0.68,0.63}),"MOQ="&amp;X76),"")</f>
        <v>1.3</v>
      </c>
      <c r="X76" s="23">
        <v>1</v>
      </c>
      <c r="Y76" s="25">
        <f>IFERROR(IF(V76="",F76,V76)*W76,"")</f>
        <v>1.3</v>
      </c>
      <c r="Z76" s="23" t="s">
        <v>521</v>
      </c>
    </row>
    <row r="77" spans="1:26">
      <c r="A77" s="23" t="s">
        <v>529</v>
      </c>
      <c r="B77" s="23" t="s">
        <v>528</v>
      </c>
      <c r="C77" s="23" t="s">
        <v>530</v>
      </c>
      <c r="D77" s="23" t="s">
        <v>501</v>
      </c>
      <c r="E77" s="23" t="s">
        <v>528</v>
      </c>
      <c r="F77" s="23">
        <f>BoardQty*1</f>
        <v>1</v>
      </c>
      <c r="G77" s="24">
        <f>IF(MIN(Q77,K77,W77)&lt;&gt;0,MIN(Q77,K77,W77),"")</f>
        <v>4.16</v>
      </c>
      <c r="H77" s="25">
        <f>IF(AND(ISNUMBER(F77),ISNUMBER(G77)),F77*G77,"")</f>
        <v>4.16</v>
      </c>
      <c r="I77" s="23">
        <v>4752</v>
      </c>
      <c r="J77" s="23"/>
      <c r="K77" s="24">
        <f>IFERROR(IF(OR(J77&gt;=L77,F77&gt;=L77),USD_CHF*LOOKUP(IF(J77="",F77,J77),{0,1,10,100,250,500,1000,2500,5000},{0.0,3.77,2.63,2.39,2.26,2.16,2.14,2.06,2.05}),"MOQ="&amp;L77),"")</f>
        <v>4.269746072735098</v>
      </c>
      <c r="L77" s="23">
        <v>1</v>
      </c>
      <c r="M77" s="25">
        <f>IFERROR(IF(J77="",F77,J77)*K77,"")</f>
        <v>4.2697</v>
      </c>
      <c r="N77" s="23" t="s">
        <v>640</v>
      </c>
      <c r="O77" s="23">
        <v>11206</v>
      </c>
      <c r="P77" s="23"/>
      <c r="Q77" s="24">
        <f>IFERROR(IF(OR(P77&gt;=R77,F77&gt;=R77),LOOKUP(IF(P77="",F77,P77),{0,1,10,25,100,250,500,1000},{0.0,4.16,3.152,2.8996,2.6214,2.48876,2.40886,2.34308}),"MOQ="&amp;R77),"")</f>
        <v>4.16</v>
      </c>
      <c r="R77" s="23">
        <v>1</v>
      </c>
      <c r="S77" s="25">
        <f>IFERROR(IF(P77="",F77,P77)*Q77,"")</f>
        <v>4.16</v>
      </c>
      <c r="T77" s="23" t="s">
        <v>532</v>
      </c>
      <c r="U77" s="26" t="s">
        <v>594</v>
      </c>
      <c r="V77" s="23"/>
      <c r="Z77" s="23" t="s">
        <v>528</v>
      </c>
    </row>
    <row r="78" spans="1:26">
      <c r="A78" s="23" t="s">
        <v>536</v>
      </c>
      <c r="B78" s="23" t="s">
        <v>537</v>
      </c>
      <c r="C78" s="23" t="s">
        <v>538</v>
      </c>
      <c r="D78" s="23" t="s">
        <v>191</v>
      </c>
      <c r="E78" s="23" t="s">
        <v>537</v>
      </c>
      <c r="F78" s="23">
        <f>BoardQty*1</f>
        <v>1</v>
      </c>
      <c r="G78" s="24">
        <f>IF(MIN(Q78,K78,W78)&lt;&gt;0,MIN(Q78,K78,W78),"")</f>
        <v>8.96</v>
      </c>
      <c r="H78" s="25">
        <f>IF(AND(ISNUMBER(F78),ISNUMBER(G78)),F78*G78,"")</f>
        <v>8.96</v>
      </c>
      <c r="I78" s="23">
        <v>1772</v>
      </c>
      <c r="J78" s="23"/>
      <c r="K78" s="24">
        <f>IFERROR(IF(OR(J78&gt;=L78,F78&gt;=L78),USD_CHF*LOOKUP(IF(J78="",F78,J78),{0,1,10,25,100,250,500},{0.0,8.12,6.32,5.87,5.17,4.99,4.98}),"MOQ="&amp;L78),"")</f>
        <v>9.196376156660211</v>
      </c>
      <c r="L78" s="23">
        <v>1</v>
      </c>
      <c r="M78" s="25">
        <f>IFERROR(IF(J78="",F78,J78)*K78,"")</f>
        <v>9.1964</v>
      </c>
      <c r="N78" s="23" t="s">
        <v>641</v>
      </c>
      <c r="O78" s="23">
        <v>879</v>
      </c>
      <c r="P78" s="23"/>
      <c r="Q78" s="24">
        <f>IFERROR(IF(OR(P78&gt;=R78,F78&gt;=R78),LOOKUP(IF(P78="",F78,P78),{0,1,10,25,160,320,480,960},{0.0,8.96,6.963,6.4648,5.77406,5.59556,5.50615,5.37505}),"MOQ="&amp;R78),"")</f>
        <v>8.96</v>
      </c>
      <c r="R78" s="23">
        <v>1</v>
      </c>
      <c r="S78" s="25">
        <f>IFERROR(IF(P78="",F78,P78)*Q78,"")</f>
        <v>8.96</v>
      </c>
      <c r="T78" s="23" t="s">
        <v>540</v>
      </c>
      <c r="U78" s="26" t="s">
        <v>594</v>
      </c>
      <c r="V78" s="23"/>
      <c r="W78" s="24">
        <f>IFERROR(IF(OR(V78&gt;=X78,F78&gt;=X78),LOOKUP(IF(V78="",F78,V78),{0,1,3,10,25,50,100,250,500,1000},{0.0,10.77,10.24,9.73,9.17,8.61,8.05,7.27,7,6.71}),"MOQ="&amp;X78),"")</f>
        <v>10.77</v>
      </c>
      <c r="X78" s="23">
        <v>1</v>
      </c>
      <c r="Y78" s="25">
        <f>IFERROR(IF(V78="",F78,V78)*W78,"")</f>
        <v>10.77</v>
      </c>
      <c r="Z78" s="23" t="s">
        <v>537</v>
      </c>
    </row>
    <row r="79" spans="1:26">
      <c r="A79" s="23" t="s">
        <v>544</v>
      </c>
      <c r="B79" s="23" t="s">
        <v>543</v>
      </c>
      <c r="C79" s="23" t="s">
        <v>545</v>
      </c>
      <c r="D79" s="23" t="s">
        <v>501</v>
      </c>
      <c r="E79" s="23" t="s">
        <v>543</v>
      </c>
      <c r="F79" s="23">
        <f>BoardQty*1</f>
        <v>1</v>
      </c>
      <c r="G79" s="24">
        <f>IF(MIN(Q79,K79,W79)&lt;&gt;0,MIN(Q79,K79,W79),"")</f>
        <v>1.74</v>
      </c>
      <c r="H79" s="25">
        <f>IF(AND(ISNUMBER(F79),ISNUMBER(G79)),F79*G79,"")</f>
        <v>1.74</v>
      </c>
      <c r="I79" s="23">
        <v>834</v>
      </c>
      <c r="J79" s="23"/>
      <c r="K79" s="24">
        <f>IFERROR(IF(OR(J79&gt;=L79,F79&gt;=L79),USD_CHF*LOOKUP(IF(J79="",F79,J79),{0,1,10,100,250,500,1000,3000,6000},{0.0,1.58,1.05,0.943,0.881,0.848,0.821,0.773,0.739}),"MOQ="&amp;L79),"")</f>
        <v>1.7894426511727999</v>
      </c>
      <c r="L79" s="23">
        <v>1</v>
      </c>
      <c r="M79" s="25">
        <f>IFERROR(IF(J79="",F79,J79)*K79,"")</f>
        <v>1.7894</v>
      </c>
      <c r="N79" s="23" t="s">
        <v>642</v>
      </c>
      <c r="O79" s="23">
        <v>3277</v>
      </c>
      <c r="P79" s="23"/>
      <c r="Q79" s="24">
        <f>IFERROR(IF(OR(P79&gt;=R79,F79&gt;=R79),LOOKUP(IF(P79="",F79,P79),{0,1,10,25,100,250,500,1000},{0.0,1.74,1.275,1.1592,1.0321,0.97144,0.9349,0.9048}),"MOQ="&amp;R79),"")</f>
        <v>1.74</v>
      </c>
      <c r="R79" s="23">
        <v>1</v>
      </c>
      <c r="S79" s="25">
        <f>IFERROR(IF(P79="",F79,P79)*Q79,"")</f>
        <v>1.74</v>
      </c>
      <c r="T79" s="23" t="s">
        <v>547</v>
      </c>
    </row>
    <row r="80" spans="1:26">
      <c r="A80" s="23" t="s">
        <v>551</v>
      </c>
      <c r="B80" s="23" t="s">
        <v>550</v>
      </c>
      <c r="C80" s="23" t="s">
        <v>552</v>
      </c>
      <c r="D80" s="23" t="s">
        <v>501</v>
      </c>
      <c r="E80" s="23" t="s">
        <v>555</v>
      </c>
      <c r="F80" s="23">
        <f>BoardQty*1</f>
        <v>1</v>
      </c>
      <c r="G80" s="24">
        <f>IF(MIN(Q80,K80,W80)&lt;&gt;0,MIN(Q80,K80,W80),"")</f>
        <v>1.17</v>
      </c>
      <c r="H80" s="25">
        <f>IF(AND(ISNUMBER(F80),ISNUMBER(G80)),F80*G80,"")</f>
        <v>1.17</v>
      </c>
      <c r="I80" s="23">
        <v>6682</v>
      </c>
      <c r="J80" s="23"/>
      <c r="K80" s="24">
        <f>IFERROR(IF(OR(J80&gt;=L80,F80&gt;=L80),USD_CHF*LOOKUP(IF(J80="",F80,J80),{0,1,10,100,500,1000,3000,6000,9000,24000},{0.0,1.06,0.693,0.574,0.551,0.531,0.507,0.487,0.475,0.472}),"MOQ="&amp;L80),"")</f>
        <v>1.200512158381752</v>
      </c>
      <c r="L80" s="23">
        <v>1</v>
      </c>
      <c r="M80" s="25">
        <f>IFERROR(IF(J80="",F80,J80)*K80,"")</f>
        <v>1.2005</v>
      </c>
      <c r="N80" s="23" t="s">
        <v>643</v>
      </c>
      <c r="O80" s="23">
        <v>12213</v>
      </c>
      <c r="P80" s="23"/>
      <c r="Q80" s="24">
        <f>IFERROR(IF(OR(P80&gt;=R80,F80&gt;=R80),LOOKUP(IF(P80="",F80,P80),{0,1,10,25,100,250,500,1000},{0.0,1.17,0.844,0.7636,0.6746,0.63224,0.60672,0.5857}),"MOQ="&amp;R80),"")</f>
        <v>1.17</v>
      </c>
      <c r="R80" s="23">
        <v>1</v>
      </c>
      <c r="S80" s="25">
        <f>IFERROR(IF(P80="",F80,P80)*Q80,"")</f>
        <v>1.17</v>
      </c>
      <c r="T80" s="23" t="s">
        <v>554</v>
      </c>
      <c r="U80" s="23">
        <v>798</v>
      </c>
      <c r="V80" s="23"/>
      <c r="W80" s="24">
        <f>IFERROR(IF(OR(V80&gt;=X80,F80&gt;=X80),LOOKUP(IF(V80="",F80,V80),{0,1,10,50,100,250,500,1000,2500,3000,9000},{0.0,1.225,1.085,0.91,0.833,0.739,0.675,0.615,0.546,0.533,0.524}),"MOQ="&amp;X80),"")</f>
        <v>1.225</v>
      </c>
      <c r="X80" s="23">
        <v>1</v>
      </c>
      <c r="Y80" s="25">
        <f>IFERROR(IF(V80="",F80,V80)*W80,"")</f>
        <v>1.225</v>
      </c>
      <c r="Z80" s="23" t="s">
        <v>555</v>
      </c>
    </row>
    <row r="82" spans="1:25">
      <c r="B82" s="27" t="s">
        <v>660</v>
      </c>
      <c r="G82" s="14" t="s">
        <v>658</v>
      </c>
      <c r="H82" s="16">
        <f>SUM(S82,M82,Y82)</f>
        <v>0</v>
      </c>
      <c r="I82" s="28" t="s">
        <v>644</v>
      </c>
      <c r="J82" s="17">
        <f>IFERROR(IF(COUNTIF(J10:J80,"&gt;0")&gt;0,COUNTIF(J10:J80,"&gt;0")&amp;" of "&amp;(ROWS(L10:L80)-COUNTBLANK(L10:L80))&amp;" parts purchased",""),"")</f>
        <v/>
      </c>
      <c r="M82" s="16">
        <f>SUMIF(J10:J80,"&gt;0",M10:M80)</f>
        <v>0</v>
      </c>
      <c r="O82" s="28" t="s">
        <v>644</v>
      </c>
      <c r="P82" s="17">
        <f>IFERROR(IF(COUNTIF(P10:P80,"&gt;0")&gt;0,COUNTIF(P10:P80,"&gt;0")&amp;" of "&amp;(ROWS(R10:R80)-COUNTBLANK(R10:R80))&amp;" parts purchased",""),"")</f>
        <v/>
      </c>
      <c r="S82" s="16">
        <f>SUMIF(P10:P80,"&gt;0",S10:S80)</f>
        <v>0</v>
      </c>
      <c r="U82" s="28" t="s">
        <v>644</v>
      </c>
      <c r="V82" s="17">
        <f>IFERROR(IF(COUNTIF(V10:V80,"&gt;0")&gt;0,COUNTIF(V10:V80,"&gt;0")&amp;" of "&amp;(ROWS(X10:X80)-COUNTBLANK(X10:X80))&amp;" parts purchased",""),"")</f>
        <v/>
      </c>
      <c r="Y82" s="16">
        <f>SUMIF(V10:V80,"&gt;0",Y10:Y80)</f>
        <v>0</v>
      </c>
    </row>
    <row r="83" spans="1:25">
      <c r="B83" s="27" t="s">
        <v>661</v>
      </c>
      <c r="C83">
        <v>1.132558639982785</v>
      </c>
      <c r="G83" s="27" t="s">
        <v>659</v>
      </c>
      <c r="J83" s="29">
        <f>CONCATENATE(J155,J156,J157,J158,J159,J160,J161,J162,J163,J164,J165,J166,J167,J168,J169,J170,J171,J172,J173,J174,J175,J176,J177,J178,J179,J180,J181,J182,J183,J184,J185,J186,J187,J188,J189,J190,J191,J192,J193,J194,J195,J196,J197,J198,J199,J200,J201,J202,J203,J204,J205,J206,J207,J208,J209,J210,J211,J212,J213,J214,J215,J216,J217,J218,J219,J220,J221,J222,J223,J224,J225)</f>
        <v/>
      </c>
      <c r="P83" s="29">
        <f>CONCATENATE(P155,P156,P157,P158,P159,P160,P161,P162,P163,P164,P165,P166,P167,P168,P169,P170,P171,P172,P173,P174,P175,P176,P177,P178,P179,P180,P181,P182,P183,P184,P185,P186,P187,P188,P189,P190,P191,P192,P193,P194,P195,P196,P197,P198,P199,P200,P201,P202,P203,P204,P205,P206,P207,P208,P209,P210,P211,P212,P213,P214,P215,P216,P217,P218,P219,P220,P221,P222,P223,P224,P225)</f>
        <v/>
      </c>
      <c r="V83" s="29">
        <f>CONCATENATE(V155,V156,V157,V158,V159,V160,V161,V162,V163,V164,V165,V166,V167,V168,V169,V170,V171,V172,V173,V174,V175,V176,V177,V178,V179,V180,V181,V182,V183,V184,V185,V186,V187,V188,V189,V190,V191,V192,V193,V194,V195,V196,V197,V198,V199,V200,V201,V202,V203,V204,V205,V206,V207,V208,V209,V210,V211,V212,V213,V214,V215,V216,V217,V218,V219,V220,V221,V222,V223,V224,V225)</f>
        <v/>
      </c>
    </row>
    <row r="85" spans="1:25">
      <c r="A85" s="30" t="s">
        <v>665</v>
      </c>
      <c r="B85" s="31" t="s">
        <v>666</v>
      </c>
    </row>
    <row r="86" spans="1:25">
      <c r="A86" s="32" t="s">
        <v>667</v>
      </c>
    </row>
    <row r="155" spans="10:22" ht="30" hidden="1" customHeight="1">
      <c r="J155" t="str">
        <f t="array" ref="J155:J225">IF(ISNUMBER(J10:J80)*(J10:J80&gt;=L10:L80)*(N10:N80&lt;&gt;""),N10:N80&amp;"|"&amp;TEXT(ROUNDUP(J10:J80/IF(ISNUMBER(L10:L80),L10:L80,1),0)*L10:L80,"##0")&amp;"|"&amp;SUBSTITUTE(SUBSTITUTE(SUBSTITUTE(IF(PURCHASE_DESCRIPTION&lt;&gt;"",PURCHASE_DESCRIPTION&amp;":","")&amp;A10:A80,"|",";")," ","_"),"
","_")&amp;CHAR(10),"")</f>
        <v/>
      </c>
      <c r="P155" t="str">
        <f t="array" ref="P155:P225">IF(ISNUMBER(P10:P80)*(P10:P80&gt;=R10:R80)*(T10:T80&lt;&gt;""),TEXT(ROUNDUP(P10:P80/IF(ISNUMBER(R10:R80),R10:R80,1),0)*R10:R80,"##0")&amp;","&amp;T10:T80&amp;","&amp;SUBSTITUTE(SUBSTITUTE(IF(PURCHASE_DESCRIPTION&lt;&gt;"",PURCHASE_DESCRIPTION&amp;":","")&amp;A10:A80,",",";"),"
"," ")&amp;CHAR(10),"")</f>
        <v/>
      </c>
      <c r="V155" t="str">
        <f t="array" ref="V155:V225">IF(ISNUMBER(V10:V80)*(V10:V80&gt;=X10:X80)*(Z10:Z80&lt;&gt;""),Z10:Z80&amp;" "&amp;TEXT(ROUNDUP(V10:V80/IF(ISNUMBER(X10:X80),X10:X80,1),0)*X10:X80,"##0")&amp;" "&amp;SUBSTITUTE(SUBSTITUTE(IF(PURCHASE_DESCRIPTION&lt;&gt;"",PURCHASE_DESCRIPTION&amp;":","")&amp;A10:A80," ",";"),"
",";")&amp;CHAR(10),"")</f>
        <v/>
      </c>
    </row>
    <row r="156" spans="10:22" ht="30" hidden="1" customHeight="1">
      <c r="J156">
        <v>0</v>
      </c>
      <c r="P156">
        <v>0</v>
      </c>
      <c r="V156">
        <v>0</v>
      </c>
    </row>
    <row r="157" spans="10:22" ht="30" hidden="1" customHeight="1">
      <c r="J157">
        <v>0</v>
      </c>
      <c r="P157">
        <v>0</v>
      </c>
      <c r="V157">
        <v>0</v>
      </c>
    </row>
    <row r="158" spans="10:22" ht="30" hidden="1" customHeight="1">
      <c r="J158">
        <v>0</v>
      </c>
      <c r="P158">
        <v>0</v>
      </c>
      <c r="V158">
        <v>0</v>
      </c>
    </row>
    <row r="159" spans="10:22" ht="30" hidden="1" customHeight="1">
      <c r="J159">
        <v>0</v>
      </c>
      <c r="P159">
        <v>0</v>
      </c>
      <c r="V159">
        <v>0</v>
      </c>
    </row>
    <row r="160" spans="10:22" ht="30" hidden="1" customHeight="1">
      <c r="J160">
        <v>0</v>
      </c>
      <c r="P160">
        <v>0</v>
      </c>
      <c r="V160">
        <v>0</v>
      </c>
    </row>
    <row r="161" spans="10:22" ht="30" hidden="1" customHeight="1">
      <c r="J161">
        <v>0</v>
      </c>
      <c r="P161">
        <v>0</v>
      </c>
      <c r="V161">
        <v>0</v>
      </c>
    </row>
    <row r="162" spans="10:22" ht="30" hidden="1" customHeight="1">
      <c r="J162">
        <v>0</v>
      </c>
      <c r="P162">
        <v>0</v>
      </c>
      <c r="V162">
        <v>0</v>
      </c>
    </row>
    <row r="163" spans="10:22" ht="30" hidden="1" customHeight="1">
      <c r="J163">
        <v>0</v>
      </c>
      <c r="P163">
        <v>0</v>
      </c>
      <c r="V163">
        <v>0</v>
      </c>
    </row>
    <row r="164" spans="10:22" ht="30" hidden="1" customHeight="1">
      <c r="J164">
        <v>0</v>
      </c>
      <c r="P164">
        <v>0</v>
      </c>
      <c r="V164">
        <v>0</v>
      </c>
    </row>
    <row r="165" spans="10:22" ht="30" hidden="1" customHeight="1">
      <c r="J165">
        <v>0</v>
      </c>
      <c r="P165">
        <v>0</v>
      </c>
      <c r="V165">
        <v>0</v>
      </c>
    </row>
    <row r="166" spans="10:22" ht="30" hidden="1" customHeight="1">
      <c r="J166">
        <v>0</v>
      </c>
      <c r="P166">
        <v>0</v>
      </c>
      <c r="V166">
        <v>0</v>
      </c>
    </row>
    <row r="167" spans="10:22" ht="30" hidden="1" customHeight="1">
      <c r="J167">
        <v>0</v>
      </c>
      <c r="P167">
        <v>0</v>
      </c>
      <c r="V167">
        <v>0</v>
      </c>
    </row>
    <row r="168" spans="10:22" ht="30" hidden="1" customHeight="1">
      <c r="J168">
        <v>0</v>
      </c>
      <c r="P168">
        <v>0</v>
      </c>
      <c r="V168">
        <v>0</v>
      </c>
    </row>
    <row r="169" spans="10:22" ht="30" hidden="1" customHeight="1">
      <c r="J169">
        <v>0</v>
      </c>
      <c r="P169">
        <v>0</v>
      </c>
      <c r="V169">
        <v>0</v>
      </c>
    </row>
    <row r="170" spans="10:22" ht="30" hidden="1" customHeight="1">
      <c r="J170">
        <v>0</v>
      </c>
      <c r="P170">
        <v>0</v>
      </c>
      <c r="V170">
        <v>0</v>
      </c>
    </row>
    <row r="171" spans="10:22" ht="30" hidden="1" customHeight="1">
      <c r="J171">
        <v>0</v>
      </c>
      <c r="P171">
        <v>0</v>
      </c>
      <c r="V171">
        <v>0</v>
      </c>
    </row>
    <row r="172" spans="10:22" ht="30" hidden="1" customHeight="1">
      <c r="J172">
        <v>0</v>
      </c>
      <c r="P172">
        <v>0</v>
      </c>
      <c r="V172">
        <v>0</v>
      </c>
    </row>
    <row r="173" spans="10:22" ht="30" hidden="1" customHeight="1">
      <c r="J173">
        <v>0</v>
      </c>
      <c r="P173">
        <v>0</v>
      </c>
      <c r="V173">
        <v>0</v>
      </c>
    </row>
    <row r="174" spans="10:22" ht="30" hidden="1" customHeight="1">
      <c r="J174">
        <v>0</v>
      </c>
      <c r="P174">
        <v>0</v>
      </c>
      <c r="V174">
        <v>0</v>
      </c>
    </row>
    <row r="175" spans="10:22" ht="30" hidden="1" customHeight="1">
      <c r="J175">
        <v>0</v>
      </c>
      <c r="P175">
        <v>0</v>
      </c>
      <c r="V175">
        <v>0</v>
      </c>
    </row>
    <row r="176" spans="10:22" ht="30" hidden="1" customHeight="1">
      <c r="J176">
        <v>0</v>
      </c>
      <c r="P176">
        <v>0</v>
      </c>
      <c r="V176">
        <v>0</v>
      </c>
    </row>
    <row r="177" spans="10:22" ht="30" hidden="1" customHeight="1">
      <c r="J177">
        <v>0</v>
      </c>
      <c r="P177">
        <v>0</v>
      </c>
      <c r="V177">
        <v>0</v>
      </c>
    </row>
    <row r="178" spans="10:22" ht="30" hidden="1" customHeight="1">
      <c r="J178">
        <v>0</v>
      </c>
      <c r="P178">
        <v>0</v>
      </c>
      <c r="V178">
        <v>0</v>
      </c>
    </row>
    <row r="179" spans="10:22" ht="30" hidden="1" customHeight="1">
      <c r="J179">
        <v>0</v>
      </c>
      <c r="P179">
        <v>0</v>
      </c>
      <c r="V179">
        <v>0</v>
      </c>
    </row>
    <row r="180" spans="10:22" ht="30" hidden="1" customHeight="1">
      <c r="J180">
        <v>0</v>
      </c>
      <c r="P180">
        <v>0</v>
      </c>
      <c r="V180">
        <v>0</v>
      </c>
    </row>
    <row r="181" spans="10:22" ht="30" hidden="1" customHeight="1">
      <c r="J181">
        <v>0</v>
      </c>
      <c r="P181">
        <v>0</v>
      </c>
      <c r="V181">
        <v>0</v>
      </c>
    </row>
    <row r="182" spans="10:22" ht="30" hidden="1" customHeight="1">
      <c r="J182">
        <v>0</v>
      </c>
      <c r="P182">
        <v>0</v>
      </c>
      <c r="V182">
        <v>0</v>
      </c>
    </row>
    <row r="183" spans="10:22" ht="30" hidden="1" customHeight="1">
      <c r="J183">
        <v>0</v>
      </c>
      <c r="P183">
        <v>0</v>
      </c>
      <c r="V183">
        <v>0</v>
      </c>
    </row>
    <row r="184" spans="10:22" ht="30" hidden="1" customHeight="1">
      <c r="J184">
        <v>0</v>
      </c>
      <c r="P184">
        <v>0</v>
      </c>
      <c r="V184">
        <v>0</v>
      </c>
    </row>
    <row r="185" spans="10:22" ht="30" hidden="1" customHeight="1">
      <c r="J185">
        <v>0</v>
      </c>
      <c r="P185">
        <v>0</v>
      </c>
      <c r="V185">
        <v>0</v>
      </c>
    </row>
    <row r="186" spans="10:22" ht="30" hidden="1" customHeight="1">
      <c r="J186">
        <v>0</v>
      </c>
      <c r="P186">
        <v>0</v>
      </c>
      <c r="V186">
        <v>0</v>
      </c>
    </row>
    <row r="187" spans="10:22" ht="30" hidden="1" customHeight="1">
      <c r="J187">
        <v>0</v>
      </c>
      <c r="P187">
        <v>0</v>
      </c>
      <c r="V187">
        <v>0</v>
      </c>
    </row>
    <row r="188" spans="10:22" ht="30" hidden="1" customHeight="1">
      <c r="J188">
        <v>0</v>
      </c>
      <c r="P188">
        <v>0</v>
      </c>
      <c r="V188">
        <v>0</v>
      </c>
    </row>
    <row r="189" spans="10:22" ht="30" hidden="1" customHeight="1">
      <c r="J189">
        <v>0</v>
      </c>
      <c r="P189">
        <v>0</v>
      </c>
      <c r="V189">
        <v>0</v>
      </c>
    </row>
    <row r="190" spans="10:22" ht="30" hidden="1" customHeight="1">
      <c r="J190">
        <v>0</v>
      </c>
      <c r="P190">
        <v>0</v>
      </c>
      <c r="V190">
        <v>0</v>
      </c>
    </row>
    <row r="191" spans="10:22" ht="30" hidden="1" customHeight="1">
      <c r="J191">
        <v>0</v>
      </c>
      <c r="P191">
        <v>0</v>
      </c>
      <c r="V191">
        <v>0</v>
      </c>
    </row>
    <row r="192" spans="10:22" ht="30" hidden="1" customHeight="1">
      <c r="J192">
        <v>0</v>
      </c>
      <c r="P192">
        <v>0</v>
      </c>
      <c r="V192">
        <v>0</v>
      </c>
    </row>
    <row r="193" spans="10:22" ht="30" hidden="1" customHeight="1">
      <c r="J193">
        <v>0</v>
      </c>
      <c r="P193">
        <v>0</v>
      </c>
      <c r="V193">
        <v>0</v>
      </c>
    </row>
    <row r="194" spans="10:22" ht="30" hidden="1" customHeight="1">
      <c r="J194">
        <v>0</v>
      </c>
      <c r="P194">
        <v>0</v>
      </c>
      <c r="V194">
        <v>0</v>
      </c>
    </row>
    <row r="195" spans="10:22" ht="30" hidden="1" customHeight="1">
      <c r="J195">
        <v>0</v>
      </c>
      <c r="P195">
        <v>0</v>
      </c>
      <c r="V195">
        <v>0</v>
      </c>
    </row>
    <row r="196" spans="10:22" ht="30" hidden="1" customHeight="1">
      <c r="J196">
        <v>0</v>
      </c>
      <c r="P196">
        <v>0</v>
      </c>
      <c r="V196">
        <v>0</v>
      </c>
    </row>
    <row r="197" spans="10:22" ht="30" hidden="1" customHeight="1">
      <c r="J197">
        <v>0</v>
      </c>
      <c r="P197">
        <v>0</v>
      </c>
      <c r="V197">
        <v>0</v>
      </c>
    </row>
    <row r="198" spans="10:22" ht="30" hidden="1" customHeight="1">
      <c r="J198">
        <v>0</v>
      </c>
      <c r="P198">
        <v>0</v>
      </c>
      <c r="V198">
        <v>0</v>
      </c>
    </row>
    <row r="199" spans="10:22" ht="30" hidden="1" customHeight="1">
      <c r="J199">
        <v>0</v>
      </c>
      <c r="P199">
        <v>0</v>
      </c>
      <c r="V199">
        <v>0</v>
      </c>
    </row>
    <row r="200" spans="10:22" ht="30" hidden="1" customHeight="1">
      <c r="J200">
        <v>0</v>
      </c>
      <c r="P200">
        <v>0</v>
      </c>
      <c r="V200">
        <v>0</v>
      </c>
    </row>
    <row r="201" spans="10:22" ht="30" hidden="1" customHeight="1">
      <c r="J201">
        <v>0</v>
      </c>
      <c r="P201">
        <v>0</v>
      </c>
      <c r="V201">
        <v>0</v>
      </c>
    </row>
    <row r="202" spans="10:22" ht="30" hidden="1" customHeight="1">
      <c r="J202">
        <v>0</v>
      </c>
      <c r="P202">
        <v>0</v>
      </c>
      <c r="V202">
        <v>0</v>
      </c>
    </row>
    <row r="203" spans="10:22" ht="30" hidden="1" customHeight="1">
      <c r="J203">
        <v>0</v>
      </c>
      <c r="P203">
        <v>0</v>
      </c>
      <c r="V203">
        <v>0</v>
      </c>
    </row>
    <row r="204" spans="10:22" ht="30" hidden="1" customHeight="1">
      <c r="J204">
        <v>0</v>
      </c>
      <c r="P204">
        <v>0</v>
      </c>
      <c r="V204">
        <v>0</v>
      </c>
    </row>
    <row r="205" spans="10:22" ht="30" hidden="1" customHeight="1">
      <c r="J205">
        <v>0</v>
      </c>
      <c r="P205">
        <v>0</v>
      </c>
      <c r="V205">
        <v>0</v>
      </c>
    </row>
    <row r="206" spans="10:22" ht="30" hidden="1" customHeight="1">
      <c r="J206">
        <v>0</v>
      </c>
      <c r="P206">
        <v>0</v>
      </c>
      <c r="V206">
        <v>0</v>
      </c>
    </row>
    <row r="207" spans="10:22" ht="30" hidden="1" customHeight="1">
      <c r="J207">
        <v>0</v>
      </c>
      <c r="P207">
        <v>0</v>
      </c>
      <c r="V207">
        <v>0</v>
      </c>
    </row>
    <row r="208" spans="10:22" ht="30" hidden="1" customHeight="1">
      <c r="J208">
        <v>0</v>
      </c>
      <c r="P208">
        <v>0</v>
      </c>
      <c r="V208">
        <v>0</v>
      </c>
    </row>
    <row r="209" spans="10:22" ht="30" hidden="1" customHeight="1">
      <c r="J209">
        <v>0</v>
      </c>
      <c r="P209">
        <v>0</v>
      </c>
      <c r="V209">
        <v>0</v>
      </c>
    </row>
    <row r="210" spans="10:22" ht="30" hidden="1" customHeight="1">
      <c r="J210">
        <v>0</v>
      </c>
      <c r="P210">
        <v>0</v>
      </c>
      <c r="V210">
        <v>0</v>
      </c>
    </row>
    <row r="211" spans="10:22" ht="30" hidden="1" customHeight="1">
      <c r="J211">
        <v>0</v>
      </c>
      <c r="P211">
        <v>0</v>
      </c>
      <c r="V211">
        <v>0</v>
      </c>
    </row>
    <row r="212" spans="10:22" ht="30" hidden="1" customHeight="1">
      <c r="J212">
        <v>0</v>
      </c>
      <c r="P212">
        <v>0</v>
      </c>
      <c r="V212">
        <v>0</v>
      </c>
    </row>
    <row r="213" spans="10:22" ht="30" hidden="1" customHeight="1">
      <c r="J213">
        <v>0</v>
      </c>
      <c r="P213">
        <v>0</v>
      </c>
      <c r="V213">
        <v>0</v>
      </c>
    </row>
    <row r="214" spans="10:22" ht="30" hidden="1" customHeight="1">
      <c r="J214">
        <v>0</v>
      </c>
      <c r="P214">
        <v>0</v>
      </c>
      <c r="V214">
        <v>0</v>
      </c>
    </row>
    <row r="215" spans="10:22" ht="30" hidden="1" customHeight="1">
      <c r="J215">
        <v>0</v>
      </c>
      <c r="P215">
        <v>0</v>
      </c>
      <c r="V215">
        <v>0</v>
      </c>
    </row>
    <row r="216" spans="10:22" ht="30" hidden="1" customHeight="1">
      <c r="J216">
        <v>0</v>
      </c>
      <c r="P216">
        <v>0</v>
      </c>
      <c r="V216">
        <v>0</v>
      </c>
    </row>
    <row r="217" spans="10:22" ht="30" hidden="1" customHeight="1">
      <c r="J217">
        <v>0</v>
      </c>
      <c r="P217">
        <v>0</v>
      </c>
      <c r="V217">
        <v>0</v>
      </c>
    </row>
    <row r="218" spans="10:22" ht="30" hidden="1" customHeight="1">
      <c r="J218">
        <v>0</v>
      </c>
      <c r="P218">
        <v>0</v>
      </c>
      <c r="V218">
        <v>0</v>
      </c>
    </row>
    <row r="219" spans="10:22" ht="30" hidden="1" customHeight="1">
      <c r="J219">
        <v>0</v>
      </c>
      <c r="P219">
        <v>0</v>
      </c>
      <c r="V219">
        <v>0</v>
      </c>
    </row>
    <row r="220" spans="10:22" ht="30" hidden="1" customHeight="1">
      <c r="J220">
        <v>0</v>
      </c>
      <c r="P220">
        <v>0</v>
      </c>
      <c r="V220">
        <v>0</v>
      </c>
    </row>
    <row r="221" spans="10:22" ht="30" hidden="1" customHeight="1">
      <c r="J221">
        <v>0</v>
      </c>
      <c r="P221">
        <v>0</v>
      </c>
      <c r="V221">
        <v>0</v>
      </c>
    </row>
    <row r="222" spans="10:22" ht="30" hidden="1" customHeight="1">
      <c r="J222">
        <v>0</v>
      </c>
      <c r="P222">
        <v>0</v>
      </c>
      <c r="V222">
        <v>0</v>
      </c>
    </row>
    <row r="223" spans="10:22" ht="30" hidden="1" customHeight="1">
      <c r="J223">
        <v>0</v>
      </c>
      <c r="P223">
        <v>0</v>
      </c>
      <c r="V223">
        <v>0</v>
      </c>
    </row>
    <row r="224" spans="10:22" ht="30" hidden="1" customHeight="1">
      <c r="J224">
        <v>0</v>
      </c>
      <c r="P224">
        <v>0</v>
      </c>
      <c r="V224">
        <v>0</v>
      </c>
    </row>
    <row r="225" spans="10:22" ht="30" hidden="1" customHeight="1">
      <c r="J225">
        <v>0</v>
      </c>
      <c r="P225">
        <v>0</v>
      </c>
      <c r="V225">
        <v>0</v>
      </c>
    </row>
  </sheetData>
  <mergeCells count="8">
    <mergeCell ref="A8:H8"/>
    <mergeCell ref="I8:N8"/>
    <mergeCell ref="J83:M154"/>
    <mergeCell ref="O8:T8"/>
    <mergeCell ref="P83:S154"/>
    <mergeCell ref="U8:Z8"/>
    <mergeCell ref="V83:Y154"/>
    <mergeCell ref="A1:H1"/>
  </mergeCells>
  <conditionalFormatting sqref="F10">
    <cfRule type="expression" dxfId="4" priority="705">
      <formula>AND(ISBLANK(E10),ISBLANK(S10),ISBLANK(M10),ISBLANK(Y10))</formula>
    </cfRule>
    <cfRule type="expression" dxfId="5" priority="706">
      <formula>IF(SUM(O10,I10,U10)=0,1,0)</formula>
    </cfRule>
    <cfRule type="cellIs" dxfId="0" priority="707" operator="greaterThan">
      <formula>SUM(O10,I10,U10)</formula>
    </cfRule>
    <cfRule type="cellIs" dxfId="6" priority="708" operator="greaterThan">
      <formula>SUM(IF(ISNUMBER(Q10),P10,0),IF(ISNUMBER(K10),J10,0),IF(ISNUMBER(W10),V10,0))</formula>
    </cfRule>
  </conditionalFormatting>
  <conditionalFormatting sqref="F11">
    <cfRule type="expression" dxfId="4" priority="709">
      <formula>AND(ISBLANK(E11),ISBLANK(S11),ISBLANK(M11),ISBLANK(Y11))</formula>
    </cfRule>
    <cfRule type="expression" dxfId="5" priority="710">
      <formula>IF(SUM(O11,I11,U11)=0,1,0)</formula>
    </cfRule>
    <cfRule type="cellIs" dxfId="0" priority="711" operator="greaterThan">
      <formula>SUM(O11,I11,U11)</formula>
    </cfRule>
    <cfRule type="cellIs" dxfId="6" priority="712" operator="greaterThan">
      <formula>SUM(IF(ISNUMBER(Q11),P11,0),IF(ISNUMBER(K11),J11,0),IF(ISNUMBER(W11),V11,0))</formula>
    </cfRule>
  </conditionalFormatting>
  <conditionalFormatting sqref="F12">
    <cfRule type="expression" dxfId="4" priority="713">
      <formula>AND(ISBLANK(E12),ISBLANK(S12),ISBLANK(M12),ISBLANK(Y12))</formula>
    </cfRule>
    <cfRule type="expression" dxfId="5" priority="714">
      <formula>IF(SUM(O12,I12,U12)=0,1,0)</formula>
    </cfRule>
    <cfRule type="cellIs" dxfId="0" priority="715" operator="greaterThan">
      <formula>SUM(O12,I12,U12)</formula>
    </cfRule>
    <cfRule type="cellIs" dxfId="6" priority="716" operator="greaterThan">
      <formula>SUM(IF(ISNUMBER(Q12),P12,0),IF(ISNUMBER(K12),J12,0),IF(ISNUMBER(W12),V12,0))</formula>
    </cfRule>
  </conditionalFormatting>
  <conditionalFormatting sqref="F13">
    <cfRule type="expression" dxfId="4" priority="717">
      <formula>AND(ISBLANK(E13),ISBLANK(S13),ISBLANK(M13),ISBLANK(Y13))</formula>
    </cfRule>
    <cfRule type="expression" dxfId="5" priority="718">
      <formula>IF(SUM(O13,I13,U13)=0,1,0)</formula>
    </cfRule>
    <cfRule type="cellIs" dxfId="0" priority="719" operator="greaterThan">
      <formula>SUM(O13,I13,U13)</formula>
    </cfRule>
    <cfRule type="cellIs" dxfId="6" priority="720" operator="greaterThan">
      <formula>SUM(IF(ISNUMBER(Q13),P13,0),IF(ISNUMBER(K13),J13,0),IF(ISNUMBER(W13),V13,0))</formula>
    </cfRule>
  </conditionalFormatting>
  <conditionalFormatting sqref="F14">
    <cfRule type="expression" dxfId="4" priority="721">
      <formula>AND(ISBLANK(E14),ISBLANK(S14),ISBLANK(M14),ISBLANK(Y14))</formula>
    </cfRule>
    <cfRule type="expression" dxfId="5" priority="722">
      <formula>IF(SUM(O14,I14,U14)=0,1,0)</formula>
    </cfRule>
    <cfRule type="cellIs" dxfId="0" priority="723" operator="greaterThan">
      <formula>SUM(O14,I14,U14)</formula>
    </cfRule>
    <cfRule type="cellIs" dxfId="6" priority="724" operator="greaterThan">
      <formula>SUM(IF(ISNUMBER(Q14),P14,0),IF(ISNUMBER(K14),J14,0),IF(ISNUMBER(W14),V14,0))</formula>
    </cfRule>
  </conditionalFormatting>
  <conditionalFormatting sqref="F15">
    <cfRule type="expression" dxfId="4" priority="725">
      <formula>AND(ISBLANK(E15),ISBLANK(S15),ISBLANK(M15),ISBLANK(Y15))</formula>
    </cfRule>
    <cfRule type="expression" dxfId="5" priority="726">
      <formula>IF(SUM(O15,I15,U15)=0,1,0)</formula>
    </cfRule>
    <cfRule type="cellIs" dxfId="0" priority="727" operator="greaterThan">
      <formula>SUM(O15,I15,U15)</formula>
    </cfRule>
    <cfRule type="cellIs" dxfId="6" priority="728" operator="greaterThan">
      <formula>SUM(IF(ISNUMBER(Q15),P15,0),IF(ISNUMBER(K15),J15,0),IF(ISNUMBER(W15),V15,0))</formula>
    </cfRule>
  </conditionalFormatting>
  <conditionalFormatting sqref="F16">
    <cfRule type="expression" dxfId="4" priority="729">
      <formula>AND(ISBLANK(E16),ISBLANK(S16),ISBLANK(M16),ISBLANK(Y16))</formula>
    </cfRule>
    <cfRule type="expression" dxfId="5" priority="730">
      <formula>IF(SUM(O16,I16,U16)=0,1,0)</formula>
    </cfRule>
    <cfRule type="cellIs" dxfId="0" priority="731" operator="greaterThan">
      <formula>SUM(O16,I16,U16)</formula>
    </cfRule>
    <cfRule type="cellIs" dxfId="6" priority="732" operator="greaterThan">
      <formula>SUM(IF(ISNUMBER(Q16),P16,0),IF(ISNUMBER(K16),J16,0),IF(ISNUMBER(W16),V16,0))</formula>
    </cfRule>
  </conditionalFormatting>
  <conditionalFormatting sqref="F17">
    <cfRule type="expression" dxfId="4" priority="733">
      <formula>AND(ISBLANK(E17),ISBLANK(S17),ISBLANK(M17),ISBLANK(Y17))</formula>
    </cfRule>
    <cfRule type="expression" dxfId="5" priority="734">
      <formula>IF(SUM(O17,I17,U17)=0,1,0)</formula>
    </cfRule>
    <cfRule type="cellIs" dxfId="0" priority="735" operator="greaterThan">
      <formula>SUM(O17,I17,U17)</formula>
    </cfRule>
    <cfRule type="cellIs" dxfId="6" priority="736" operator="greaterThan">
      <formula>SUM(IF(ISNUMBER(Q17),P17,0),IF(ISNUMBER(K17),J17,0),IF(ISNUMBER(W17),V17,0))</formula>
    </cfRule>
  </conditionalFormatting>
  <conditionalFormatting sqref="F18">
    <cfRule type="expression" dxfId="4" priority="737">
      <formula>AND(ISBLANK(E18),ISBLANK(S18),ISBLANK(M18),ISBLANK(Y18))</formula>
    </cfRule>
    <cfRule type="expression" dxfId="5" priority="738">
      <formula>IF(SUM(O18,I18,U18)=0,1,0)</formula>
    </cfRule>
    <cfRule type="cellIs" dxfId="0" priority="739" operator="greaterThan">
      <formula>SUM(O18,I18,U18)</formula>
    </cfRule>
    <cfRule type="cellIs" dxfId="6" priority="740" operator="greaterThan">
      <formula>SUM(IF(ISNUMBER(Q18),P18,0),IF(ISNUMBER(K18),J18,0),IF(ISNUMBER(W18),V18,0))</formula>
    </cfRule>
  </conditionalFormatting>
  <conditionalFormatting sqref="F19">
    <cfRule type="expression" dxfId="4" priority="741">
      <formula>AND(ISBLANK(E19),ISBLANK(S19),ISBLANK(M19),ISBLANK(Y19))</formula>
    </cfRule>
    <cfRule type="expression" dxfId="5" priority="742">
      <formula>IF(SUM(O19,I19,U19)=0,1,0)</formula>
    </cfRule>
    <cfRule type="cellIs" dxfId="0" priority="743" operator="greaterThan">
      <formula>SUM(O19,I19,U19)</formula>
    </cfRule>
    <cfRule type="cellIs" dxfId="6" priority="744" operator="greaterThan">
      <formula>SUM(IF(ISNUMBER(Q19),P19,0),IF(ISNUMBER(K19),J19,0),IF(ISNUMBER(W19),V19,0))</formula>
    </cfRule>
  </conditionalFormatting>
  <conditionalFormatting sqref="F20">
    <cfRule type="expression" dxfId="4" priority="745">
      <formula>AND(ISBLANK(E20),ISBLANK(S20),ISBLANK(M20),ISBLANK(Y20))</formula>
    </cfRule>
    <cfRule type="expression" dxfId="5" priority="746">
      <formula>IF(SUM(O20,I20,U20)=0,1,0)</formula>
    </cfRule>
    <cfRule type="cellIs" dxfId="0" priority="747" operator="greaterThan">
      <formula>SUM(O20,I20,U20)</formula>
    </cfRule>
    <cfRule type="cellIs" dxfId="6" priority="748" operator="greaterThan">
      <formula>SUM(IF(ISNUMBER(Q20),P20,0),IF(ISNUMBER(K20),J20,0),IF(ISNUMBER(W20),V20,0))</formula>
    </cfRule>
  </conditionalFormatting>
  <conditionalFormatting sqref="F21">
    <cfRule type="expression" dxfId="4" priority="749">
      <formula>AND(ISBLANK(E21),ISBLANK(S21),ISBLANK(M21),ISBLANK(Y21))</formula>
    </cfRule>
    <cfRule type="expression" dxfId="5" priority="750">
      <formula>IF(SUM(O21,I21,U21)=0,1,0)</formula>
    </cfRule>
    <cfRule type="cellIs" dxfId="0" priority="751" operator="greaterThan">
      <formula>SUM(O21,I21,U21)</formula>
    </cfRule>
    <cfRule type="cellIs" dxfId="6" priority="752" operator="greaterThan">
      <formula>SUM(IF(ISNUMBER(Q21),P21,0),IF(ISNUMBER(K21),J21,0),IF(ISNUMBER(W21),V21,0))</formula>
    </cfRule>
  </conditionalFormatting>
  <conditionalFormatting sqref="F22">
    <cfRule type="expression" dxfId="4" priority="753">
      <formula>AND(ISBLANK(E22),ISBLANK(S22),ISBLANK(M22),ISBLANK(Y22))</formula>
    </cfRule>
    <cfRule type="expression" dxfId="5" priority="754">
      <formula>IF(SUM(O22,I22,U22)=0,1,0)</formula>
    </cfRule>
    <cfRule type="cellIs" dxfId="0" priority="755" operator="greaterThan">
      <formula>SUM(O22,I22,U22)</formula>
    </cfRule>
    <cfRule type="cellIs" dxfId="6" priority="756" operator="greaterThan">
      <formula>SUM(IF(ISNUMBER(Q22),P22,0),IF(ISNUMBER(K22),J22,0),IF(ISNUMBER(W22),V22,0))</formula>
    </cfRule>
  </conditionalFormatting>
  <conditionalFormatting sqref="F23">
    <cfRule type="expression" dxfId="4" priority="757">
      <formula>AND(ISBLANK(E23),ISBLANK(S23),ISBLANK(M23),ISBLANK(Y23))</formula>
    </cfRule>
    <cfRule type="expression" dxfId="5" priority="758">
      <formula>IF(SUM(O23,I23,U23)=0,1,0)</formula>
    </cfRule>
    <cfRule type="cellIs" dxfId="0" priority="759" operator="greaterThan">
      <formula>SUM(O23,I23,U23)</formula>
    </cfRule>
    <cfRule type="cellIs" dxfId="6" priority="760" operator="greaterThan">
      <formula>SUM(IF(ISNUMBER(Q23),P23,0),IF(ISNUMBER(K23),J23,0),IF(ISNUMBER(W23),V23,0))</formula>
    </cfRule>
  </conditionalFormatting>
  <conditionalFormatting sqref="F24">
    <cfRule type="expression" dxfId="4" priority="761">
      <formula>AND(ISBLANK(E24),ISBLANK(S24),ISBLANK(M24),ISBLANK(Y24))</formula>
    </cfRule>
    <cfRule type="expression" dxfId="5" priority="762">
      <formula>IF(SUM(O24,I24,U24)=0,1,0)</formula>
    </cfRule>
    <cfRule type="cellIs" dxfId="0" priority="763" operator="greaterThan">
      <formula>SUM(O24,I24,U24)</formula>
    </cfRule>
    <cfRule type="cellIs" dxfId="6" priority="764" operator="greaterThan">
      <formula>SUM(IF(ISNUMBER(Q24),P24,0),IF(ISNUMBER(K24),J24,0),IF(ISNUMBER(W24),V24,0))</formula>
    </cfRule>
  </conditionalFormatting>
  <conditionalFormatting sqref="F25">
    <cfRule type="expression" dxfId="4" priority="765">
      <formula>AND(ISBLANK(E25),ISBLANK(S25),ISBLANK(M25),ISBLANK(Y25))</formula>
    </cfRule>
    <cfRule type="expression" dxfId="5" priority="766">
      <formula>IF(SUM(O25,I25,U25)=0,1,0)</formula>
    </cfRule>
    <cfRule type="cellIs" dxfId="0" priority="767" operator="greaterThan">
      <formula>SUM(O25,I25,U25)</formula>
    </cfRule>
    <cfRule type="cellIs" dxfId="6" priority="768" operator="greaterThan">
      <formula>SUM(IF(ISNUMBER(Q25),P25,0),IF(ISNUMBER(K25),J25,0),IF(ISNUMBER(W25),V25,0))</formula>
    </cfRule>
  </conditionalFormatting>
  <conditionalFormatting sqref="F26">
    <cfRule type="expression" dxfId="4" priority="769">
      <formula>AND(ISBLANK(E26),ISBLANK(S26),ISBLANK(M26),ISBLANK(Y26))</formula>
    </cfRule>
    <cfRule type="expression" dxfId="5" priority="770">
      <formula>IF(SUM(O26,I26,U26)=0,1,0)</formula>
    </cfRule>
    <cfRule type="cellIs" dxfId="0" priority="771" operator="greaterThan">
      <formula>SUM(O26,I26,U26)</formula>
    </cfRule>
    <cfRule type="cellIs" dxfId="6" priority="772" operator="greaterThan">
      <formula>SUM(IF(ISNUMBER(Q26),P26,0),IF(ISNUMBER(K26),J26,0),IF(ISNUMBER(W26),V26,0))</formula>
    </cfRule>
  </conditionalFormatting>
  <conditionalFormatting sqref="F27">
    <cfRule type="expression" dxfId="4" priority="773">
      <formula>AND(ISBLANK(E27),ISBLANK(S27),ISBLANK(M27),ISBLANK(Y27))</formula>
    </cfRule>
    <cfRule type="expression" dxfId="5" priority="774">
      <formula>IF(SUM(O27,I27,U27)=0,1,0)</formula>
    </cfRule>
    <cfRule type="cellIs" dxfId="0" priority="775" operator="greaterThan">
      <formula>SUM(O27,I27,U27)</formula>
    </cfRule>
    <cfRule type="cellIs" dxfId="6" priority="776" operator="greaterThan">
      <formula>SUM(IF(ISNUMBER(Q27),P27,0),IF(ISNUMBER(K27),J27,0),IF(ISNUMBER(W27),V27,0))</formula>
    </cfRule>
  </conditionalFormatting>
  <conditionalFormatting sqref="F28">
    <cfRule type="expression" dxfId="4" priority="777">
      <formula>AND(ISBLANK(E28),ISBLANK(S28),ISBLANK(M28),ISBLANK(Y28))</formula>
    </cfRule>
    <cfRule type="expression" dxfId="5" priority="778">
      <formula>IF(SUM(O28,I28,U28)=0,1,0)</formula>
    </cfRule>
    <cfRule type="cellIs" dxfId="0" priority="779" operator="greaterThan">
      <formula>SUM(O28,I28,U28)</formula>
    </cfRule>
    <cfRule type="cellIs" dxfId="6" priority="780" operator="greaterThan">
      <formula>SUM(IF(ISNUMBER(Q28),P28,0),IF(ISNUMBER(K28),J28,0),IF(ISNUMBER(W28),V28,0))</formula>
    </cfRule>
  </conditionalFormatting>
  <conditionalFormatting sqref="F29">
    <cfRule type="expression" dxfId="4" priority="781">
      <formula>AND(ISBLANK(E29),ISBLANK(S29),ISBLANK(M29),ISBLANK(Y29))</formula>
    </cfRule>
    <cfRule type="expression" dxfId="5" priority="782">
      <formula>IF(SUM(O29,I29,U29)=0,1,0)</formula>
    </cfRule>
    <cfRule type="cellIs" dxfId="0" priority="783" operator="greaterThan">
      <formula>SUM(O29,I29,U29)</formula>
    </cfRule>
    <cfRule type="cellIs" dxfId="6" priority="784" operator="greaterThan">
      <formula>SUM(IF(ISNUMBER(Q29),P29,0),IF(ISNUMBER(K29),J29,0),IF(ISNUMBER(W29),V29,0))</formula>
    </cfRule>
  </conditionalFormatting>
  <conditionalFormatting sqref="F30">
    <cfRule type="expression" dxfId="4" priority="785">
      <formula>AND(ISBLANK(E30),ISBLANK(S30),ISBLANK(M30),ISBLANK(Y30))</formula>
    </cfRule>
    <cfRule type="expression" dxfId="5" priority="786">
      <formula>IF(SUM(O30,I30,U30)=0,1,0)</formula>
    </cfRule>
    <cfRule type="cellIs" dxfId="0" priority="787" operator="greaterThan">
      <formula>SUM(O30,I30,U30)</formula>
    </cfRule>
    <cfRule type="cellIs" dxfId="6" priority="788" operator="greaterThan">
      <formula>SUM(IF(ISNUMBER(Q30),P30,0),IF(ISNUMBER(K30),J30,0),IF(ISNUMBER(W30),V30,0))</formula>
    </cfRule>
  </conditionalFormatting>
  <conditionalFormatting sqref="F31">
    <cfRule type="expression" dxfId="4" priority="789">
      <formula>AND(ISBLANK(E31),ISBLANK(S31),ISBLANK(M31),ISBLANK(Y31))</formula>
    </cfRule>
    <cfRule type="expression" dxfId="5" priority="790">
      <formula>IF(SUM(O31,I31,U31)=0,1,0)</formula>
    </cfRule>
    <cfRule type="cellIs" dxfId="0" priority="791" operator="greaterThan">
      <formula>SUM(O31,I31,U31)</formula>
    </cfRule>
    <cfRule type="cellIs" dxfId="6" priority="792" operator="greaterThan">
      <formula>SUM(IF(ISNUMBER(Q31),P31,0),IF(ISNUMBER(K31),J31,0),IF(ISNUMBER(W31),V31,0))</formula>
    </cfRule>
  </conditionalFormatting>
  <conditionalFormatting sqref="F32">
    <cfRule type="expression" dxfId="4" priority="793">
      <formula>AND(ISBLANK(E32),ISBLANK(S32),ISBLANK(M32),ISBLANK(Y32))</formula>
    </cfRule>
    <cfRule type="expression" dxfId="5" priority="794">
      <formula>IF(SUM(O32,I32,U32)=0,1,0)</formula>
    </cfRule>
    <cfRule type="cellIs" dxfId="0" priority="795" operator="greaterThan">
      <formula>SUM(O32,I32,U32)</formula>
    </cfRule>
    <cfRule type="cellIs" dxfId="6" priority="796" operator="greaterThan">
      <formula>SUM(IF(ISNUMBER(Q32),P32,0),IF(ISNUMBER(K32),J32,0),IF(ISNUMBER(W32),V32,0))</formula>
    </cfRule>
  </conditionalFormatting>
  <conditionalFormatting sqref="F33">
    <cfRule type="expression" dxfId="4" priority="797">
      <formula>AND(ISBLANK(E33),ISBLANK(S33),ISBLANK(M33),ISBLANK(Y33))</formula>
    </cfRule>
    <cfRule type="expression" dxfId="5" priority="798">
      <formula>IF(SUM(O33,I33,U33)=0,1,0)</formula>
    </cfRule>
    <cfRule type="cellIs" dxfId="0" priority="799" operator="greaterThan">
      <formula>SUM(O33,I33,U33)</formula>
    </cfRule>
    <cfRule type="cellIs" dxfId="6" priority="800" operator="greaterThan">
      <formula>SUM(IF(ISNUMBER(Q33),P33,0),IF(ISNUMBER(K33),J33,0),IF(ISNUMBER(W33),V33,0))</formula>
    </cfRule>
  </conditionalFormatting>
  <conditionalFormatting sqref="F34">
    <cfRule type="expression" dxfId="4" priority="801">
      <formula>AND(ISBLANK(E34),ISBLANK(S34),ISBLANK(M34),ISBLANK(Y34))</formula>
    </cfRule>
    <cfRule type="expression" dxfId="5" priority="802">
      <formula>IF(SUM(O34,I34,U34)=0,1,0)</formula>
    </cfRule>
    <cfRule type="cellIs" dxfId="0" priority="803" operator="greaterThan">
      <formula>SUM(O34,I34,U34)</formula>
    </cfRule>
    <cfRule type="cellIs" dxfId="6" priority="804" operator="greaterThan">
      <formula>SUM(IF(ISNUMBER(Q34),P34,0),IF(ISNUMBER(K34),J34,0),IF(ISNUMBER(W34),V34,0))</formula>
    </cfRule>
  </conditionalFormatting>
  <conditionalFormatting sqref="F35">
    <cfRule type="expression" dxfId="4" priority="805">
      <formula>AND(ISBLANK(E35),ISBLANK(S35),ISBLANK(M35),ISBLANK(Y35))</formula>
    </cfRule>
    <cfRule type="expression" dxfId="5" priority="806">
      <formula>IF(SUM(O35,I35,U35)=0,1,0)</formula>
    </cfRule>
    <cfRule type="cellIs" dxfId="0" priority="807" operator="greaterThan">
      <formula>SUM(O35,I35,U35)</formula>
    </cfRule>
    <cfRule type="cellIs" dxfId="6" priority="808" operator="greaterThan">
      <formula>SUM(IF(ISNUMBER(Q35),P35,0),IF(ISNUMBER(K35),J35,0),IF(ISNUMBER(W35),V35,0))</formula>
    </cfRule>
  </conditionalFormatting>
  <conditionalFormatting sqref="F36">
    <cfRule type="expression" dxfId="4" priority="809">
      <formula>AND(ISBLANK(E36),ISBLANK(S36),ISBLANK(M36),ISBLANK(Y36))</formula>
    </cfRule>
    <cfRule type="expression" dxfId="5" priority="810">
      <formula>IF(SUM(O36,I36,U36)=0,1,0)</formula>
    </cfRule>
    <cfRule type="cellIs" dxfId="0" priority="811" operator="greaterThan">
      <formula>SUM(O36,I36,U36)</formula>
    </cfRule>
    <cfRule type="cellIs" dxfId="6" priority="812" operator="greaterThan">
      <formula>SUM(IF(ISNUMBER(Q36),P36,0),IF(ISNUMBER(K36),J36,0),IF(ISNUMBER(W36),V36,0))</formula>
    </cfRule>
  </conditionalFormatting>
  <conditionalFormatting sqref="F37">
    <cfRule type="expression" dxfId="4" priority="813">
      <formula>AND(ISBLANK(E37),ISBLANK(S37),ISBLANK(M37),ISBLANK(Y37))</formula>
    </cfRule>
    <cfRule type="expression" dxfId="5" priority="814">
      <formula>IF(SUM(O37,I37,U37)=0,1,0)</formula>
    </cfRule>
    <cfRule type="cellIs" dxfId="0" priority="815" operator="greaterThan">
      <formula>SUM(O37,I37,U37)</formula>
    </cfRule>
    <cfRule type="cellIs" dxfId="6" priority="816" operator="greaterThan">
      <formula>SUM(IF(ISNUMBER(Q37),P37,0),IF(ISNUMBER(K37),J37,0),IF(ISNUMBER(W37),V37,0))</formula>
    </cfRule>
  </conditionalFormatting>
  <conditionalFormatting sqref="F38">
    <cfRule type="expression" dxfId="4" priority="817">
      <formula>AND(ISBLANK(E38),ISBLANK(S38),ISBLANK(M38),ISBLANK(Y38))</formula>
    </cfRule>
    <cfRule type="expression" dxfId="5" priority="818">
      <formula>IF(SUM(O38,I38,U38)=0,1,0)</formula>
    </cfRule>
    <cfRule type="cellIs" dxfId="0" priority="819" operator="greaterThan">
      <formula>SUM(O38,I38,U38)</formula>
    </cfRule>
    <cfRule type="cellIs" dxfId="6" priority="820" operator="greaterThan">
      <formula>SUM(IF(ISNUMBER(Q38),P38,0),IF(ISNUMBER(K38),J38,0),IF(ISNUMBER(W38),V38,0))</formula>
    </cfRule>
  </conditionalFormatting>
  <conditionalFormatting sqref="F39">
    <cfRule type="expression" dxfId="4" priority="821">
      <formula>AND(ISBLANK(E39),ISBLANK(S39),ISBLANK(M39),ISBLANK(Y39))</formula>
    </cfRule>
    <cfRule type="expression" dxfId="5" priority="822">
      <formula>IF(SUM(O39,I39,U39)=0,1,0)</formula>
    </cfRule>
    <cfRule type="cellIs" dxfId="0" priority="823" operator="greaterThan">
      <formula>SUM(O39,I39,U39)</formula>
    </cfRule>
    <cfRule type="cellIs" dxfId="6" priority="824" operator="greaterThan">
      <formula>SUM(IF(ISNUMBER(Q39),P39,0),IF(ISNUMBER(K39),J39,0),IF(ISNUMBER(W39),V39,0))</formula>
    </cfRule>
  </conditionalFormatting>
  <conditionalFormatting sqref="F40">
    <cfRule type="expression" dxfId="4" priority="825">
      <formula>AND(ISBLANK(E40),ISBLANK(S40),ISBLANK(M40),ISBLANK(Y40))</formula>
    </cfRule>
    <cfRule type="expression" dxfId="5" priority="826">
      <formula>IF(SUM(O40,I40,U40)=0,1,0)</formula>
    </cfRule>
    <cfRule type="cellIs" dxfId="0" priority="827" operator="greaterThan">
      <formula>SUM(O40,I40,U40)</formula>
    </cfRule>
    <cfRule type="cellIs" dxfId="6" priority="828" operator="greaterThan">
      <formula>SUM(IF(ISNUMBER(Q40),P40,0),IF(ISNUMBER(K40),J40,0),IF(ISNUMBER(W40),V40,0))</formula>
    </cfRule>
  </conditionalFormatting>
  <conditionalFormatting sqref="F41">
    <cfRule type="expression" dxfId="4" priority="829">
      <formula>AND(ISBLANK(E41),ISBLANK(S41),ISBLANK(M41),ISBLANK(Y41))</formula>
    </cfRule>
    <cfRule type="expression" dxfId="5" priority="830">
      <formula>IF(SUM(O41,I41,U41)=0,1,0)</formula>
    </cfRule>
    <cfRule type="cellIs" dxfId="0" priority="831" operator="greaterThan">
      <formula>SUM(O41,I41,U41)</formula>
    </cfRule>
    <cfRule type="cellIs" dxfId="6" priority="832" operator="greaterThan">
      <formula>SUM(IF(ISNUMBER(Q41),P41,0),IF(ISNUMBER(K41),J41,0),IF(ISNUMBER(W41),V41,0))</formula>
    </cfRule>
  </conditionalFormatting>
  <conditionalFormatting sqref="F42">
    <cfRule type="expression" dxfId="4" priority="833">
      <formula>AND(ISBLANK(E42),ISBLANK(S42),ISBLANK(M42),ISBLANK(Y42))</formula>
    </cfRule>
    <cfRule type="expression" dxfId="5" priority="834">
      <formula>IF(SUM(O42,I42,U42)=0,1,0)</formula>
    </cfRule>
    <cfRule type="cellIs" dxfId="0" priority="835" operator="greaterThan">
      <formula>SUM(O42,I42,U42)</formula>
    </cfRule>
    <cfRule type="cellIs" dxfId="6" priority="836" operator="greaterThan">
      <formula>SUM(IF(ISNUMBER(Q42),P42,0),IF(ISNUMBER(K42),J42,0),IF(ISNUMBER(W42),V42,0))</formula>
    </cfRule>
  </conditionalFormatting>
  <conditionalFormatting sqref="F43">
    <cfRule type="expression" dxfId="4" priority="837">
      <formula>AND(ISBLANK(E43),ISBLANK(S43),ISBLANK(M43),ISBLANK(Y43))</formula>
    </cfRule>
    <cfRule type="expression" dxfId="5" priority="838">
      <formula>IF(SUM(O43,I43,U43)=0,1,0)</formula>
    </cfRule>
    <cfRule type="cellIs" dxfId="0" priority="839" operator="greaterThan">
      <formula>SUM(O43,I43,U43)</formula>
    </cfRule>
    <cfRule type="cellIs" dxfId="6" priority="840" operator="greaterThan">
      <formula>SUM(IF(ISNUMBER(Q43),P43,0),IF(ISNUMBER(K43),J43,0),IF(ISNUMBER(W43),V43,0))</formula>
    </cfRule>
  </conditionalFormatting>
  <conditionalFormatting sqref="F44">
    <cfRule type="expression" dxfId="4" priority="841">
      <formula>AND(ISBLANK(E44),ISBLANK(S44),ISBLANK(M44),ISBLANK(Y44))</formula>
    </cfRule>
    <cfRule type="expression" dxfId="5" priority="842">
      <formula>IF(SUM(O44,I44,U44)=0,1,0)</formula>
    </cfRule>
    <cfRule type="cellIs" dxfId="0" priority="843" operator="greaterThan">
      <formula>SUM(O44,I44,U44)</formula>
    </cfRule>
    <cfRule type="cellIs" dxfId="6" priority="844" operator="greaterThan">
      <formula>SUM(IF(ISNUMBER(Q44),P44,0),IF(ISNUMBER(K44),J44,0),IF(ISNUMBER(W44),V44,0))</formula>
    </cfRule>
  </conditionalFormatting>
  <conditionalFormatting sqref="F45">
    <cfRule type="expression" dxfId="4" priority="845">
      <formula>AND(ISBLANK(E45),ISBLANK(S45),ISBLANK(M45),ISBLANK(Y45))</formula>
    </cfRule>
    <cfRule type="expression" dxfId="5" priority="846">
      <formula>IF(SUM(O45,I45,U45)=0,1,0)</formula>
    </cfRule>
    <cfRule type="cellIs" dxfId="0" priority="847" operator="greaterThan">
      <formula>SUM(O45,I45,U45)</formula>
    </cfRule>
    <cfRule type="cellIs" dxfId="6" priority="848" operator="greaterThan">
      <formula>SUM(IF(ISNUMBER(Q45),P45,0),IF(ISNUMBER(K45),J45,0),IF(ISNUMBER(W45),V45,0))</formula>
    </cfRule>
  </conditionalFormatting>
  <conditionalFormatting sqref="F46">
    <cfRule type="expression" dxfId="4" priority="849">
      <formula>AND(ISBLANK(E46),ISBLANK(S46),ISBLANK(M46),ISBLANK(Y46))</formula>
    </cfRule>
    <cfRule type="expression" dxfId="5" priority="850">
      <formula>IF(SUM(O46,I46,U46)=0,1,0)</formula>
    </cfRule>
    <cfRule type="cellIs" dxfId="0" priority="851" operator="greaterThan">
      <formula>SUM(O46,I46,U46)</formula>
    </cfRule>
    <cfRule type="cellIs" dxfId="6" priority="852" operator="greaterThan">
      <formula>SUM(IF(ISNUMBER(Q46),P46,0),IF(ISNUMBER(K46),J46,0),IF(ISNUMBER(W46),V46,0))</formula>
    </cfRule>
  </conditionalFormatting>
  <conditionalFormatting sqref="F47">
    <cfRule type="expression" dxfId="4" priority="853">
      <formula>AND(ISBLANK(E47),ISBLANK(S47),ISBLANK(M47),ISBLANK(Y47))</formula>
    </cfRule>
    <cfRule type="expression" dxfId="5" priority="854">
      <formula>IF(SUM(O47,I47,U47)=0,1,0)</formula>
    </cfRule>
    <cfRule type="cellIs" dxfId="0" priority="855" operator="greaterThan">
      <formula>SUM(O47,I47,U47)</formula>
    </cfRule>
    <cfRule type="cellIs" dxfId="6" priority="856" operator="greaterThan">
      <formula>SUM(IF(ISNUMBER(Q47),P47,0),IF(ISNUMBER(K47),J47,0),IF(ISNUMBER(W47),V47,0))</formula>
    </cfRule>
  </conditionalFormatting>
  <conditionalFormatting sqref="F48">
    <cfRule type="expression" dxfId="4" priority="857">
      <formula>AND(ISBLANK(E48),ISBLANK(S48),ISBLANK(M48),ISBLANK(Y48))</formula>
    </cfRule>
    <cfRule type="expression" dxfId="5" priority="858">
      <formula>IF(SUM(O48,I48,U48)=0,1,0)</formula>
    </cfRule>
    <cfRule type="cellIs" dxfId="0" priority="859" operator="greaterThan">
      <formula>SUM(O48,I48,U48)</formula>
    </cfRule>
    <cfRule type="cellIs" dxfId="6" priority="860" operator="greaterThan">
      <formula>SUM(IF(ISNUMBER(Q48),P48,0),IF(ISNUMBER(K48),J48,0),IF(ISNUMBER(W48),V48,0))</formula>
    </cfRule>
  </conditionalFormatting>
  <conditionalFormatting sqref="F49">
    <cfRule type="expression" dxfId="4" priority="861">
      <formula>AND(ISBLANK(E49),ISBLANK(S49),ISBLANK(M49),ISBLANK(Y49))</formula>
    </cfRule>
    <cfRule type="expression" dxfId="5" priority="862">
      <formula>IF(SUM(O49,I49,U49)=0,1,0)</formula>
    </cfRule>
    <cfRule type="cellIs" dxfId="0" priority="863" operator="greaterThan">
      <formula>SUM(O49,I49,U49)</formula>
    </cfRule>
    <cfRule type="cellIs" dxfId="6" priority="864" operator="greaterThan">
      <formula>SUM(IF(ISNUMBER(Q49),P49,0),IF(ISNUMBER(K49),J49,0),IF(ISNUMBER(W49),V49,0))</formula>
    </cfRule>
  </conditionalFormatting>
  <conditionalFormatting sqref="F50">
    <cfRule type="expression" dxfId="4" priority="865">
      <formula>AND(ISBLANK(E50),ISBLANK(S50),ISBLANK(M50),ISBLANK(Y50))</formula>
    </cfRule>
    <cfRule type="expression" dxfId="5" priority="866">
      <formula>IF(SUM(O50,I50,U50)=0,1,0)</formula>
    </cfRule>
    <cfRule type="cellIs" dxfId="0" priority="867" operator="greaterThan">
      <formula>SUM(O50,I50,U50)</formula>
    </cfRule>
    <cfRule type="cellIs" dxfId="6" priority="868" operator="greaterThan">
      <formula>SUM(IF(ISNUMBER(Q50),P50,0),IF(ISNUMBER(K50),J50,0),IF(ISNUMBER(W50),V50,0))</formula>
    </cfRule>
  </conditionalFormatting>
  <conditionalFormatting sqref="F51">
    <cfRule type="expression" dxfId="4" priority="869">
      <formula>AND(ISBLANK(E51),ISBLANK(S51),ISBLANK(M51),ISBLANK(Y51))</formula>
    </cfRule>
    <cfRule type="expression" dxfId="5" priority="870">
      <formula>IF(SUM(O51,I51,U51)=0,1,0)</formula>
    </cfRule>
    <cfRule type="cellIs" dxfId="0" priority="871" operator="greaterThan">
      <formula>SUM(O51,I51,U51)</formula>
    </cfRule>
    <cfRule type="cellIs" dxfId="6" priority="872" operator="greaterThan">
      <formula>SUM(IF(ISNUMBER(Q51),P51,0),IF(ISNUMBER(K51),J51,0),IF(ISNUMBER(W51),V51,0))</formula>
    </cfRule>
  </conditionalFormatting>
  <conditionalFormatting sqref="F52">
    <cfRule type="expression" dxfId="4" priority="873">
      <formula>AND(ISBLANK(E52),ISBLANK(S52),ISBLANK(M52),ISBLANK(Y52))</formula>
    </cfRule>
    <cfRule type="expression" dxfId="5" priority="874">
      <formula>IF(SUM(O52,I52,U52)=0,1,0)</formula>
    </cfRule>
    <cfRule type="cellIs" dxfId="0" priority="875" operator="greaterThan">
      <formula>SUM(O52,I52,U52)</formula>
    </cfRule>
    <cfRule type="cellIs" dxfId="6" priority="876" operator="greaterThan">
      <formula>SUM(IF(ISNUMBER(Q52),P52,0),IF(ISNUMBER(K52),J52,0),IF(ISNUMBER(W52),V52,0))</formula>
    </cfRule>
  </conditionalFormatting>
  <conditionalFormatting sqref="F53">
    <cfRule type="expression" dxfId="4" priority="877">
      <formula>AND(ISBLANK(E53),ISBLANK(S53),ISBLANK(M53),ISBLANK(Y53))</formula>
    </cfRule>
    <cfRule type="expression" dxfId="5" priority="878">
      <formula>IF(SUM(O53,I53,U53)=0,1,0)</formula>
    </cfRule>
    <cfRule type="cellIs" dxfId="0" priority="879" operator="greaterThan">
      <formula>SUM(O53,I53,U53)</formula>
    </cfRule>
    <cfRule type="cellIs" dxfId="6" priority="880" operator="greaterThan">
      <formula>SUM(IF(ISNUMBER(Q53),P53,0),IF(ISNUMBER(K53),J53,0),IF(ISNUMBER(W53),V53,0))</formula>
    </cfRule>
  </conditionalFormatting>
  <conditionalFormatting sqref="F54">
    <cfRule type="expression" dxfId="4" priority="881">
      <formula>AND(ISBLANK(E54),ISBLANK(S54),ISBLANK(M54),ISBLANK(Y54))</formula>
    </cfRule>
    <cfRule type="expression" dxfId="5" priority="882">
      <formula>IF(SUM(O54,I54,U54)=0,1,0)</formula>
    </cfRule>
    <cfRule type="cellIs" dxfId="0" priority="883" operator="greaterThan">
      <formula>SUM(O54,I54,U54)</formula>
    </cfRule>
    <cfRule type="cellIs" dxfId="6" priority="884" operator="greaterThan">
      <formula>SUM(IF(ISNUMBER(Q54),P54,0),IF(ISNUMBER(K54),J54,0),IF(ISNUMBER(W54),V54,0))</formula>
    </cfRule>
  </conditionalFormatting>
  <conditionalFormatting sqref="F55">
    <cfRule type="expression" dxfId="4" priority="885">
      <formula>AND(ISBLANK(E55),ISBLANK(S55),ISBLANK(M55),ISBLANK(Y55))</formula>
    </cfRule>
    <cfRule type="expression" dxfId="5" priority="886">
      <formula>IF(SUM(O55,I55,U55)=0,1,0)</formula>
    </cfRule>
    <cfRule type="cellIs" dxfId="0" priority="887" operator="greaterThan">
      <formula>SUM(O55,I55,U55)</formula>
    </cfRule>
    <cfRule type="cellIs" dxfId="6" priority="888" operator="greaterThan">
      <formula>SUM(IF(ISNUMBER(Q55),P55,0),IF(ISNUMBER(K55),J55,0),IF(ISNUMBER(W55),V55,0))</formula>
    </cfRule>
  </conditionalFormatting>
  <conditionalFormatting sqref="F56">
    <cfRule type="expression" dxfId="4" priority="889">
      <formula>AND(ISBLANK(E56),ISBLANK(S56),ISBLANK(M56),ISBLANK(Y56))</formula>
    </cfRule>
    <cfRule type="expression" dxfId="5" priority="890">
      <formula>IF(SUM(O56,I56,U56)=0,1,0)</formula>
    </cfRule>
    <cfRule type="cellIs" dxfId="0" priority="891" operator="greaterThan">
      <formula>SUM(O56,I56,U56)</formula>
    </cfRule>
    <cfRule type="cellIs" dxfId="6" priority="892" operator="greaterThan">
      <formula>SUM(IF(ISNUMBER(Q56),P56,0),IF(ISNUMBER(K56),J56,0),IF(ISNUMBER(W56),V56,0))</formula>
    </cfRule>
  </conditionalFormatting>
  <conditionalFormatting sqref="F57">
    <cfRule type="expression" dxfId="4" priority="893">
      <formula>AND(ISBLANK(E57),ISBLANK(S57),ISBLANK(M57),ISBLANK(Y57))</formula>
    </cfRule>
    <cfRule type="expression" dxfId="5" priority="894">
      <formula>IF(SUM(O57,I57,U57)=0,1,0)</formula>
    </cfRule>
    <cfRule type="cellIs" dxfId="0" priority="895" operator="greaterThan">
      <formula>SUM(O57,I57,U57)</formula>
    </cfRule>
    <cfRule type="cellIs" dxfId="6" priority="896" operator="greaterThan">
      <formula>SUM(IF(ISNUMBER(Q57),P57,0),IF(ISNUMBER(K57),J57,0),IF(ISNUMBER(W57),V57,0))</formula>
    </cfRule>
  </conditionalFormatting>
  <conditionalFormatting sqref="F58">
    <cfRule type="expression" dxfId="4" priority="897">
      <formula>AND(ISBLANK(E58),ISBLANK(S58),ISBLANK(M58),ISBLANK(Y58))</formula>
    </cfRule>
    <cfRule type="expression" dxfId="5" priority="898">
      <formula>IF(SUM(O58,I58,U58)=0,1,0)</formula>
    </cfRule>
    <cfRule type="cellIs" dxfId="0" priority="899" operator="greaterThan">
      <formula>SUM(O58,I58,U58)</formula>
    </cfRule>
    <cfRule type="cellIs" dxfId="6" priority="900" operator="greaterThan">
      <formula>SUM(IF(ISNUMBER(Q58),P58,0),IF(ISNUMBER(K58),J58,0),IF(ISNUMBER(W58),V58,0))</formula>
    </cfRule>
  </conditionalFormatting>
  <conditionalFormatting sqref="F59">
    <cfRule type="expression" dxfId="4" priority="901">
      <formula>AND(ISBLANK(E59),ISBLANK(S59),ISBLANK(M59),ISBLANK(Y59))</formula>
    </cfRule>
    <cfRule type="expression" dxfId="5" priority="902">
      <formula>IF(SUM(O59,I59,U59)=0,1,0)</formula>
    </cfRule>
    <cfRule type="cellIs" dxfId="0" priority="903" operator="greaterThan">
      <formula>SUM(O59,I59,U59)</formula>
    </cfRule>
    <cfRule type="cellIs" dxfId="6" priority="904" operator="greaterThan">
      <formula>SUM(IF(ISNUMBER(Q59),P59,0),IF(ISNUMBER(K59),J59,0),IF(ISNUMBER(W59),V59,0))</formula>
    </cfRule>
  </conditionalFormatting>
  <conditionalFormatting sqref="F60">
    <cfRule type="expression" dxfId="4" priority="905">
      <formula>AND(ISBLANK(E60),ISBLANK(S60),ISBLANK(M60),ISBLANK(Y60))</formula>
    </cfRule>
    <cfRule type="expression" dxfId="5" priority="906">
      <formula>IF(SUM(O60,I60,U60)=0,1,0)</formula>
    </cfRule>
    <cfRule type="cellIs" dxfId="0" priority="907" operator="greaterThan">
      <formula>SUM(O60,I60,U60)</formula>
    </cfRule>
    <cfRule type="cellIs" dxfId="6" priority="908" operator="greaterThan">
      <formula>SUM(IF(ISNUMBER(Q60),P60,0),IF(ISNUMBER(K60),J60,0),IF(ISNUMBER(W60),V60,0))</formula>
    </cfRule>
  </conditionalFormatting>
  <conditionalFormatting sqref="F61">
    <cfRule type="expression" dxfId="4" priority="909">
      <formula>AND(ISBLANK(E61),ISBLANK(S61),ISBLANK(M61),ISBLANK(Y61))</formula>
    </cfRule>
    <cfRule type="expression" dxfId="5" priority="910">
      <formula>IF(SUM(O61,I61,U61)=0,1,0)</formula>
    </cfRule>
    <cfRule type="cellIs" dxfId="0" priority="911" operator="greaterThan">
      <formula>SUM(O61,I61,U61)</formula>
    </cfRule>
    <cfRule type="cellIs" dxfId="6" priority="912" operator="greaterThan">
      <formula>SUM(IF(ISNUMBER(Q61),P61,0),IF(ISNUMBER(K61),J61,0),IF(ISNUMBER(W61),V61,0))</formula>
    </cfRule>
  </conditionalFormatting>
  <conditionalFormatting sqref="F62">
    <cfRule type="expression" dxfId="4" priority="913">
      <formula>AND(ISBLANK(E62),ISBLANK(S62),ISBLANK(M62),ISBLANK(Y62))</formula>
    </cfRule>
    <cfRule type="expression" dxfId="5" priority="914">
      <formula>IF(SUM(O62,I62,U62)=0,1,0)</formula>
    </cfRule>
    <cfRule type="cellIs" dxfId="0" priority="915" operator="greaterThan">
      <formula>SUM(O62,I62,U62)</formula>
    </cfRule>
    <cfRule type="cellIs" dxfId="6" priority="916" operator="greaterThan">
      <formula>SUM(IF(ISNUMBER(Q62),P62,0),IF(ISNUMBER(K62),J62,0),IF(ISNUMBER(W62),V62,0))</formula>
    </cfRule>
  </conditionalFormatting>
  <conditionalFormatting sqref="F63">
    <cfRule type="expression" dxfId="4" priority="917">
      <formula>AND(ISBLANK(E63),ISBLANK(S63),ISBLANK(M63),ISBLANK(Y63))</formula>
    </cfRule>
    <cfRule type="expression" dxfId="5" priority="918">
      <formula>IF(SUM(O63,I63,U63)=0,1,0)</formula>
    </cfRule>
    <cfRule type="cellIs" dxfId="0" priority="919" operator="greaterThan">
      <formula>SUM(O63,I63,U63)</formula>
    </cfRule>
    <cfRule type="cellIs" dxfId="6" priority="920" operator="greaterThan">
      <formula>SUM(IF(ISNUMBER(Q63),P63,0),IF(ISNUMBER(K63),J63,0),IF(ISNUMBER(W63),V63,0))</formula>
    </cfRule>
  </conditionalFormatting>
  <conditionalFormatting sqref="F64">
    <cfRule type="expression" dxfId="4" priority="921">
      <formula>AND(ISBLANK(E64),ISBLANK(S64),ISBLANK(M64),ISBLANK(Y64))</formula>
    </cfRule>
    <cfRule type="expression" dxfId="5" priority="922">
      <formula>IF(SUM(O64,I64,U64)=0,1,0)</formula>
    </cfRule>
    <cfRule type="cellIs" dxfId="0" priority="923" operator="greaterThan">
      <formula>SUM(O64,I64,U64)</formula>
    </cfRule>
    <cfRule type="cellIs" dxfId="6" priority="924" operator="greaterThan">
      <formula>SUM(IF(ISNUMBER(Q64),P64,0),IF(ISNUMBER(K64),J64,0),IF(ISNUMBER(W64),V64,0))</formula>
    </cfRule>
  </conditionalFormatting>
  <conditionalFormatting sqref="F65">
    <cfRule type="expression" dxfId="4" priority="925">
      <formula>AND(ISBLANK(E65),ISBLANK(S65),ISBLANK(M65),ISBLANK(Y65))</formula>
    </cfRule>
    <cfRule type="expression" dxfId="5" priority="926">
      <formula>IF(SUM(O65,I65,U65)=0,1,0)</formula>
    </cfRule>
    <cfRule type="cellIs" dxfId="0" priority="927" operator="greaterThan">
      <formula>SUM(O65,I65,U65)</formula>
    </cfRule>
    <cfRule type="cellIs" dxfId="6" priority="928" operator="greaterThan">
      <formula>SUM(IF(ISNUMBER(Q65),P65,0),IF(ISNUMBER(K65),J65,0),IF(ISNUMBER(W65),V65,0))</formula>
    </cfRule>
  </conditionalFormatting>
  <conditionalFormatting sqref="F66">
    <cfRule type="expression" dxfId="4" priority="929">
      <formula>AND(ISBLANK(E66),ISBLANK(S66),ISBLANK(M66),ISBLANK(Y66))</formula>
    </cfRule>
    <cfRule type="expression" dxfId="5" priority="930">
      <formula>IF(SUM(O66,I66,U66)=0,1,0)</formula>
    </cfRule>
    <cfRule type="cellIs" dxfId="0" priority="931" operator="greaterThan">
      <formula>SUM(O66,I66,U66)</formula>
    </cfRule>
    <cfRule type="cellIs" dxfId="6" priority="932" operator="greaterThan">
      <formula>SUM(IF(ISNUMBER(Q66),P66,0),IF(ISNUMBER(K66),J66,0),IF(ISNUMBER(W66),V66,0))</formula>
    </cfRule>
  </conditionalFormatting>
  <conditionalFormatting sqref="F67">
    <cfRule type="expression" dxfId="4" priority="933">
      <formula>AND(ISBLANK(E67),ISBLANK(S67),ISBLANK(M67),ISBLANK(Y67))</formula>
    </cfRule>
    <cfRule type="expression" dxfId="5" priority="934">
      <formula>IF(SUM(O67,I67,U67)=0,1,0)</formula>
    </cfRule>
    <cfRule type="cellIs" dxfId="0" priority="935" operator="greaterThan">
      <formula>SUM(O67,I67,U67)</formula>
    </cfRule>
    <cfRule type="cellIs" dxfId="6" priority="936" operator="greaterThan">
      <formula>SUM(IF(ISNUMBER(Q67),P67,0),IF(ISNUMBER(K67),J67,0),IF(ISNUMBER(W67),V67,0))</formula>
    </cfRule>
  </conditionalFormatting>
  <conditionalFormatting sqref="F68">
    <cfRule type="expression" dxfId="4" priority="937">
      <formula>AND(ISBLANK(E68),ISBLANK(S68),ISBLANK(M68),ISBLANK(Y68))</formula>
    </cfRule>
    <cfRule type="expression" dxfId="5" priority="938">
      <formula>IF(SUM(O68,I68,U68)=0,1,0)</formula>
    </cfRule>
    <cfRule type="cellIs" dxfId="0" priority="939" operator="greaterThan">
      <formula>SUM(O68,I68,U68)</formula>
    </cfRule>
    <cfRule type="cellIs" dxfId="6" priority="940" operator="greaterThan">
      <formula>SUM(IF(ISNUMBER(Q68),P68,0),IF(ISNUMBER(K68),J68,0),IF(ISNUMBER(W68),V68,0))</formula>
    </cfRule>
  </conditionalFormatting>
  <conditionalFormatting sqref="F69">
    <cfRule type="expression" dxfId="4" priority="941">
      <formula>AND(ISBLANK(E69),ISBLANK(S69),ISBLANK(M69),ISBLANK(Y69))</formula>
    </cfRule>
    <cfRule type="expression" dxfId="5" priority="942">
      <formula>IF(SUM(O69,I69,U69)=0,1,0)</formula>
    </cfRule>
    <cfRule type="cellIs" dxfId="0" priority="943" operator="greaterThan">
      <formula>SUM(O69,I69,U69)</formula>
    </cfRule>
    <cfRule type="cellIs" dxfId="6" priority="944" operator="greaterThan">
      <formula>SUM(IF(ISNUMBER(Q69),P69,0),IF(ISNUMBER(K69),J69,0),IF(ISNUMBER(W69),V69,0))</formula>
    </cfRule>
  </conditionalFormatting>
  <conditionalFormatting sqref="F70">
    <cfRule type="expression" dxfId="4" priority="945">
      <formula>AND(ISBLANK(E70),ISBLANK(S70),ISBLANK(M70),ISBLANK(Y70))</formula>
    </cfRule>
    <cfRule type="expression" dxfId="5" priority="946">
      <formula>IF(SUM(O70,I70,U70)=0,1,0)</formula>
    </cfRule>
    <cfRule type="cellIs" dxfId="0" priority="947" operator="greaterThan">
      <formula>SUM(O70,I70,U70)</formula>
    </cfRule>
    <cfRule type="cellIs" dxfId="6" priority="948" operator="greaterThan">
      <formula>SUM(IF(ISNUMBER(Q70),P70,0),IF(ISNUMBER(K70),J70,0),IF(ISNUMBER(W70),V70,0))</formula>
    </cfRule>
  </conditionalFormatting>
  <conditionalFormatting sqref="F71">
    <cfRule type="expression" dxfId="4" priority="949">
      <formula>AND(ISBLANK(E71),ISBLANK(S71),ISBLANK(M71),ISBLANK(Y71))</formula>
    </cfRule>
    <cfRule type="expression" dxfId="5" priority="950">
      <formula>IF(SUM(O71,I71,U71)=0,1,0)</formula>
    </cfRule>
    <cfRule type="cellIs" dxfId="0" priority="951" operator="greaterThan">
      <formula>SUM(O71,I71,U71)</formula>
    </cfRule>
    <cfRule type="cellIs" dxfId="6" priority="952" operator="greaterThan">
      <formula>SUM(IF(ISNUMBER(Q71),P71,0),IF(ISNUMBER(K71),J71,0),IF(ISNUMBER(W71),V71,0))</formula>
    </cfRule>
  </conditionalFormatting>
  <conditionalFormatting sqref="F72">
    <cfRule type="expression" dxfId="4" priority="953">
      <formula>AND(ISBLANK(E72),ISBLANK(S72),ISBLANK(M72),ISBLANK(Y72))</formula>
    </cfRule>
    <cfRule type="expression" dxfId="5" priority="954">
      <formula>IF(SUM(O72,I72,U72)=0,1,0)</formula>
    </cfRule>
    <cfRule type="cellIs" dxfId="0" priority="955" operator="greaterThan">
      <formula>SUM(O72,I72,U72)</formula>
    </cfRule>
    <cfRule type="cellIs" dxfId="6" priority="956" operator="greaterThan">
      <formula>SUM(IF(ISNUMBER(Q72),P72,0),IF(ISNUMBER(K72),J72,0),IF(ISNUMBER(W72),V72,0))</formula>
    </cfRule>
  </conditionalFormatting>
  <conditionalFormatting sqref="F73">
    <cfRule type="expression" dxfId="4" priority="957">
      <formula>AND(ISBLANK(E73),ISBLANK(S73),ISBLANK(M73),ISBLANK(Y73))</formula>
    </cfRule>
    <cfRule type="expression" dxfId="5" priority="958">
      <formula>IF(SUM(O73,I73,U73)=0,1,0)</formula>
    </cfRule>
    <cfRule type="cellIs" dxfId="0" priority="959" operator="greaterThan">
      <formula>SUM(O73,I73,U73)</formula>
    </cfRule>
    <cfRule type="cellIs" dxfId="6" priority="960" operator="greaterThan">
      <formula>SUM(IF(ISNUMBER(Q73),P73,0),IF(ISNUMBER(K73),J73,0),IF(ISNUMBER(W73),V73,0))</formula>
    </cfRule>
  </conditionalFormatting>
  <conditionalFormatting sqref="F74">
    <cfRule type="expression" dxfId="4" priority="961">
      <formula>AND(ISBLANK(E74),ISBLANK(S74),ISBLANK(M74),ISBLANK(Y74))</formula>
    </cfRule>
    <cfRule type="expression" dxfId="5" priority="962">
      <formula>IF(SUM(O74,I74,U74)=0,1,0)</formula>
    </cfRule>
    <cfRule type="cellIs" dxfId="0" priority="963" operator="greaterThan">
      <formula>SUM(O74,I74,U74)</formula>
    </cfRule>
    <cfRule type="cellIs" dxfId="6" priority="964" operator="greaterThan">
      <formula>SUM(IF(ISNUMBER(Q74),P74,0),IF(ISNUMBER(K74),J74,0),IF(ISNUMBER(W74),V74,0))</formula>
    </cfRule>
  </conditionalFormatting>
  <conditionalFormatting sqref="F75">
    <cfRule type="expression" dxfId="4" priority="965">
      <formula>AND(ISBLANK(E75),ISBLANK(S75),ISBLANK(M75),ISBLANK(Y75))</formula>
    </cfRule>
    <cfRule type="expression" dxfId="5" priority="966">
      <formula>IF(SUM(O75,I75,U75)=0,1,0)</formula>
    </cfRule>
    <cfRule type="cellIs" dxfId="0" priority="967" operator="greaterThan">
      <formula>SUM(O75,I75,U75)</formula>
    </cfRule>
    <cfRule type="cellIs" dxfId="6" priority="968" operator="greaterThan">
      <formula>SUM(IF(ISNUMBER(Q75),P75,0),IF(ISNUMBER(K75),J75,0),IF(ISNUMBER(W75),V75,0))</formula>
    </cfRule>
  </conditionalFormatting>
  <conditionalFormatting sqref="F76">
    <cfRule type="expression" dxfId="4" priority="969">
      <formula>AND(ISBLANK(E76),ISBLANK(S76),ISBLANK(M76),ISBLANK(Y76))</formula>
    </cfRule>
    <cfRule type="expression" dxfId="5" priority="970">
      <formula>IF(SUM(O76,I76,U76)=0,1,0)</formula>
    </cfRule>
    <cfRule type="cellIs" dxfId="0" priority="971" operator="greaterThan">
      <formula>SUM(O76,I76,U76)</formula>
    </cfRule>
    <cfRule type="cellIs" dxfId="6" priority="972" operator="greaterThan">
      <formula>SUM(IF(ISNUMBER(Q76),P76,0),IF(ISNUMBER(K76),J76,0),IF(ISNUMBER(W76),V76,0))</formula>
    </cfRule>
  </conditionalFormatting>
  <conditionalFormatting sqref="F77">
    <cfRule type="expression" dxfId="4" priority="973">
      <formula>AND(ISBLANK(E77),ISBLANK(S77),ISBLANK(M77),ISBLANK(Y77))</formula>
    </cfRule>
    <cfRule type="expression" dxfId="5" priority="974">
      <formula>IF(SUM(O77,I77,U77)=0,1,0)</formula>
    </cfRule>
    <cfRule type="cellIs" dxfId="0" priority="975" operator="greaterThan">
      <formula>SUM(O77,I77,U77)</formula>
    </cfRule>
    <cfRule type="cellIs" dxfId="6" priority="976" operator="greaterThan">
      <formula>SUM(IF(ISNUMBER(Q77),P77,0),IF(ISNUMBER(K77),J77,0),IF(ISNUMBER(W77),V77,0))</formula>
    </cfRule>
  </conditionalFormatting>
  <conditionalFormatting sqref="F78">
    <cfRule type="expression" dxfId="4" priority="977">
      <formula>AND(ISBLANK(E78),ISBLANK(S78),ISBLANK(M78),ISBLANK(Y78))</formula>
    </cfRule>
    <cfRule type="expression" dxfId="5" priority="978">
      <formula>IF(SUM(O78,I78,U78)=0,1,0)</formula>
    </cfRule>
    <cfRule type="cellIs" dxfId="0" priority="979" operator="greaterThan">
      <formula>SUM(O78,I78,U78)</formula>
    </cfRule>
    <cfRule type="cellIs" dxfId="6" priority="980" operator="greaterThan">
      <formula>SUM(IF(ISNUMBER(Q78),P78,0),IF(ISNUMBER(K78),J78,0),IF(ISNUMBER(W78),V78,0))</formula>
    </cfRule>
  </conditionalFormatting>
  <conditionalFormatting sqref="F79">
    <cfRule type="expression" dxfId="4" priority="981">
      <formula>AND(ISBLANK(E79),ISBLANK(S79),ISBLANK(M79),ISBLANK(Y79))</formula>
    </cfRule>
    <cfRule type="expression" dxfId="5" priority="982">
      <formula>IF(SUM(O79,I79,U79)=0,1,0)</formula>
    </cfRule>
    <cfRule type="cellIs" dxfId="0" priority="983" operator="greaterThan">
      <formula>SUM(O79,I79,U79)</formula>
    </cfRule>
    <cfRule type="cellIs" dxfId="6" priority="984" operator="greaterThan">
      <formula>SUM(IF(ISNUMBER(Q79),P79,0),IF(ISNUMBER(K79),J79,0),IF(ISNUMBER(W79),V79,0))</formula>
    </cfRule>
  </conditionalFormatting>
  <conditionalFormatting sqref="F80">
    <cfRule type="expression" dxfId="4" priority="985">
      <formula>AND(ISBLANK(E80),ISBLANK(S80),ISBLANK(M80),ISBLANK(Y80))</formula>
    </cfRule>
    <cfRule type="expression" dxfId="5" priority="986">
      <formula>IF(SUM(O80,I80,U80)=0,1,0)</formula>
    </cfRule>
    <cfRule type="cellIs" dxfId="0" priority="987" operator="greaterThan">
      <formula>SUM(O80,I80,U80)</formula>
    </cfRule>
    <cfRule type="cellIs" dxfId="6" priority="988" operator="greaterThan">
      <formula>SUM(IF(ISNUMBER(Q80),P80,0),IF(ISNUMBER(K80),J80,0),IF(ISNUMBER(W80),V80,0))</formula>
    </cfRule>
  </conditionalFormatting>
  <conditionalFormatting sqref="I10">
    <cfRule type="cellIs" dxfId="0" priority="1" operator="lessThan">
      <formula>F10</formula>
    </cfRule>
  </conditionalFormatting>
  <conditionalFormatting sqref="I11">
    <cfRule type="cellIs" dxfId="0" priority="5" operator="lessThan">
      <formula>F11</formula>
    </cfRule>
  </conditionalFormatting>
  <conditionalFormatting sqref="I12">
    <cfRule type="cellIs" dxfId="0" priority="9" operator="lessThan">
      <formula>F12</formula>
    </cfRule>
  </conditionalFormatting>
  <conditionalFormatting sqref="I13">
    <cfRule type="cellIs" dxfId="0" priority="13" operator="lessThan">
      <formula>F13</formula>
    </cfRule>
  </conditionalFormatting>
  <conditionalFormatting sqref="I14">
    <cfRule type="cellIs" dxfId="0" priority="17" operator="lessThan">
      <formula>F14</formula>
    </cfRule>
  </conditionalFormatting>
  <conditionalFormatting sqref="I15">
    <cfRule type="cellIs" dxfId="0" priority="21" operator="lessThan">
      <formula>F15</formula>
    </cfRule>
  </conditionalFormatting>
  <conditionalFormatting sqref="I16">
    <cfRule type="cellIs" dxfId="0" priority="25" operator="lessThan">
      <formula>F16</formula>
    </cfRule>
  </conditionalFormatting>
  <conditionalFormatting sqref="I17">
    <cfRule type="cellIs" dxfId="0" priority="29" operator="lessThan">
      <formula>F17</formula>
    </cfRule>
  </conditionalFormatting>
  <conditionalFormatting sqref="I18">
    <cfRule type="cellIs" dxfId="0" priority="33" operator="lessThan">
      <formula>F18</formula>
    </cfRule>
  </conditionalFormatting>
  <conditionalFormatting sqref="I19">
    <cfRule type="cellIs" dxfId="0" priority="37" operator="lessThan">
      <formula>F19</formula>
    </cfRule>
  </conditionalFormatting>
  <conditionalFormatting sqref="I20">
    <cfRule type="cellIs" dxfId="0" priority="41" operator="lessThan">
      <formula>F20</formula>
    </cfRule>
  </conditionalFormatting>
  <conditionalFormatting sqref="I21">
    <cfRule type="cellIs" dxfId="0" priority="45" operator="lessThan">
      <formula>F21</formula>
    </cfRule>
  </conditionalFormatting>
  <conditionalFormatting sqref="I22">
    <cfRule type="cellIs" dxfId="0" priority="49" operator="lessThan">
      <formula>F22</formula>
    </cfRule>
  </conditionalFormatting>
  <conditionalFormatting sqref="I23">
    <cfRule type="cellIs" dxfId="0" priority="53" operator="lessThan">
      <formula>F23</formula>
    </cfRule>
  </conditionalFormatting>
  <conditionalFormatting sqref="I24">
    <cfRule type="cellIs" dxfId="0" priority="57" operator="lessThan">
      <formula>F24</formula>
    </cfRule>
  </conditionalFormatting>
  <conditionalFormatting sqref="I25">
    <cfRule type="cellIs" dxfId="0" priority="61" operator="lessThan">
      <formula>F25</formula>
    </cfRule>
  </conditionalFormatting>
  <conditionalFormatting sqref="I26">
    <cfRule type="cellIs" dxfId="0" priority="65" operator="lessThan">
      <formula>F26</formula>
    </cfRule>
  </conditionalFormatting>
  <conditionalFormatting sqref="I27">
    <cfRule type="cellIs" dxfId="0" priority="69" operator="lessThan">
      <formula>F27</formula>
    </cfRule>
  </conditionalFormatting>
  <conditionalFormatting sqref="I28">
    <cfRule type="cellIs" dxfId="0" priority="73" operator="lessThan">
      <formula>F28</formula>
    </cfRule>
  </conditionalFormatting>
  <conditionalFormatting sqref="I29">
    <cfRule type="cellIs" dxfId="0" priority="77" operator="lessThan">
      <formula>F29</formula>
    </cfRule>
  </conditionalFormatting>
  <conditionalFormatting sqref="I30">
    <cfRule type="cellIs" dxfId="0" priority="81" operator="lessThan">
      <formula>F30</formula>
    </cfRule>
  </conditionalFormatting>
  <conditionalFormatting sqref="I32">
    <cfRule type="cellIs" dxfId="0" priority="85" operator="lessThan">
      <formula>F32</formula>
    </cfRule>
  </conditionalFormatting>
  <conditionalFormatting sqref="I33">
    <cfRule type="cellIs" dxfId="0" priority="89" operator="lessThan">
      <formula>F33</formula>
    </cfRule>
  </conditionalFormatting>
  <conditionalFormatting sqref="I34">
    <cfRule type="cellIs" dxfId="0" priority="93" operator="lessThan">
      <formula>F34</formula>
    </cfRule>
  </conditionalFormatting>
  <conditionalFormatting sqref="I35">
    <cfRule type="cellIs" dxfId="0" priority="97" operator="lessThan">
      <formula>F35</formula>
    </cfRule>
  </conditionalFormatting>
  <conditionalFormatting sqref="I36">
    <cfRule type="cellIs" dxfId="0" priority="101" operator="lessThan">
      <formula>F36</formula>
    </cfRule>
  </conditionalFormatting>
  <conditionalFormatting sqref="I37">
    <cfRule type="cellIs" dxfId="0" priority="105" operator="lessThan">
      <formula>F37</formula>
    </cfRule>
  </conditionalFormatting>
  <conditionalFormatting sqref="I38">
    <cfRule type="cellIs" dxfId="0" priority="109" operator="lessThan">
      <formula>F38</formula>
    </cfRule>
  </conditionalFormatting>
  <conditionalFormatting sqref="I39">
    <cfRule type="cellIs" dxfId="0" priority="113" operator="lessThan">
      <formula>F39</formula>
    </cfRule>
  </conditionalFormatting>
  <conditionalFormatting sqref="I40">
    <cfRule type="cellIs" dxfId="0" priority="117" operator="lessThan">
      <formula>F40</formula>
    </cfRule>
  </conditionalFormatting>
  <conditionalFormatting sqref="I41">
    <cfRule type="cellIs" dxfId="0" priority="121" operator="lessThan">
      <formula>F41</formula>
    </cfRule>
  </conditionalFormatting>
  <conditionalFormatting sqref="I44">
    <cfRule type="cellIs" dxfId="0" priority="125" operator="lessThan">
      <formula>F44</formula>
    </cfRule>
  </conditionalFormatting>
  <conditionalFormatting sqref="I49">
    <cfRule type="cellIs" dxfId="0" priority="129" operator="lessThan">
      <formula>F49</formula>
    </cfRule>
  </conditionalFormatting>
  <conditionalFormatting sqref="I50">
    <cfRule type="cellIs" dxfId="0" priority="133" operator="lessThan">
      <formula>F50</formula>
    </cfRule>
  </conditionalFormatting>
  <conditionalFormatting sqref="I51">
    <cfRule type="cellIs" dxfId="0" priority="137" operator="lessThan">
      <formula>F51</formula>
    </cfRule>
  </conditionalFormatting>
  <conditionalFormatting sqref="I52">
    <cfRule type="cellIs" dxfId="0" priority="141" operator="lessThan">
      <formula>F52</formula>
    </cfRule>
  </conditionalFormatting>
  <conditionalFormatting sqref="I53">
    <cfRule type="cellIs" dxfId="0" priority="145" operator="lessThan">
      <formula>F53</formula>
    </cfRule>
  </conditionalFormatting>
  <conditionalFormatting sqref="I54">
    <cfRule type="cellIs" dxfId="0" priority="149" operator="lessThan">
      <formula>F54</formula>
    </cfRule>
  </conditionalFormatting>
  <conditionalFormatting sqref="I55">
    <cfRule type="cellIs" dxfId="0" priority="153" operator="lessThan">
      <formula>F55</formula>
    </cfRule>
  </conditionalFormatting>
  <conditionalFormatting sqref="I56">
    <cfRule type="cellIs" dxfId="0" priority="157" operator="lessThan">
      <formula>F56</formula>
    </cfRule>
  </conditionalFormatting>
  <conditionalFormatting sqref="I57">
    <cfRule type="cellIs" dxfId="0" priority="161" operator="lessThan">
      <formula>F57</formula>
    </cfRule>
  </conditionalFormatting>
  <conditionalFormatting sqref="I58">
    <cfRule type="cellIs" dxfId="0" priority="165" operator="lessThan">
      <formula>F58</formula>
    </cfRule>
  </conditionalFormatting>
  <conditionalFormatting sqref="I59">
    <cfRule type="cellIs" dxfId="0" priority="169" operator="lessThan">
      <formula>F59</formula>
    </cfRule>
  </conditionalFormatting>
  <conditionalFormatting sqref="I60">
    <cfRule type="cellIs" dxfId="0" priority="173" operator="lessThan">
      <formula>F60</formula>
    </cfRule>
  </conditionalFormatting>
  <conditionalFormatting sqref="I61">
    <cfRule type="cellIs" dxfId="0" priority="177" operator="lessThan">
      <formula>F61</formula>
    </cfRule>
  </conditionalFormatting>
  <conditionalFormatting sqref="I62">
    <cfRule type="cellIs" dxfId="0" priority="181" operator="lessThan">
      <formula>F62</formula>
    </cfRule>
  </conditionalFormatting>
  <conditionalFormatting sqref="I63">
    <cfRule type="cellIs" dxfId="0" priority="185" operator="lessThan">
      <formula>F63</formula>
    </cfRule>
  </conditionalFormatting>
  <conditionalFormatting sqref="I64">
    <cfRule type="cellIs" dxfId="0" priority="189" operator="lessThan">
      <formula>F64</formula>
    </cfRule>
  </conditionalFormatting>
  <conditionalFormatting sqref="I65">
    <cfRule type="cellIs" dxfId="0" priority="193" operator="lessThan">
      <formula>F65</formula>
    </cfRule>
  </conditionalFormatting>
  <conditionalFormatting sqref="I66">
    <cfRule type="cellIs" dxfId="0" priority="197" operator="lessThan">
      <formula>F66</formula>
    </cfRule>
  </conditionalFormatting>
  <conditionalFormatting sqref="I67">
    <cfRule type="cellIs" dxfId="0" priority="201" operator="lessThan">
      <formula>F67</formula>
    </cfRule>
  </conditionalFormatting>
  <conditionalFormatting sqref="I69">
    <cfRule type="cellIs" dxfId="0" priority="205" operator="lessThan">
      <formula>F69</formula>
    </cfRule>
  </conditionalFormatting>
  <conditionalFormatting sqref="I70">
    <cfRule type="cellIs" dxfId="0" priority="209" operator="lessThan">
      <formula>F70</formula>
    </cfRule>
  </conditionalFormatting>
  <conditionalFormatting sqref="I71">
    <cfRule type="cellIs" dxfId="0" priority="213" operator="lessThan">
      <formula>F71</formula>
    </cfRule>
  </conditionalFormatting>
  <conditionalFormatting sqref="I72">
    <cfRule type="cellIs" dxfId="0" priority="217" operator="lessThan">
      <formula>F72</formula>
    </cfRule>
  </conditionalFormatting>
  <conditionalFormatting sqref="I73">
    <cfRule type="cellIs" dxfId="0" priority="221" operator="lessThan">
      <formula>F73</formula>
    </cfRule>
  </conditionalFormatting>
  <conditionalFormatting sqref="I74">
    <cfRule type="cellIs" dxfId="0" priority="225" operator="lessThan">
      <formula>F74</formula>
    </cfRule>
  </conditionalFormatting>
  <conditionalFormatting sqref="I75">
    <cfRule type="cellIs" dxfId="0" priority="229" operator="lessThan">
      <formula>F75</formula>
    </cfRule>
  </conditionalFormatting>
  <conditionalFormatting sqref="I76">
    <cfRule type="cellIs" dxfId="0" priority="233" operator="lessThan">
      <formula>F76</formula>
    </cfRule>
  </conditionalFormatting>
  <conditionalFormatting sqref="I77">
    <cfRule type="cellIs" dxfId="0" priority="237" operator="lessThan">
      <formula>F77</formula>
    </cfRule>
  </conditionalFormatting>
  <conditionalFormatting sqref="I78">
    <cfRule type="cellIs" dxfId="0" priority="241" operator="lessThan">
      <formula>F78</formula>
    </cfRule>
  </conditionalFormatting>
  <conditionalFormatting sqref="I79">
    <cfRule type="cellIs" dxfId="0" priority="245" operator="lessThan">
      <formula>F79</formula>
    </cfRule>
  </conditionalFormatting>
  <conditionalFormatting sqref="I80">
    <cfRule type="cellIs" dxfId="0" priority="249" operator="lessThan">
      <formula>F80</formula>
    </cfRule>
  </conditionalFormatting>
  <conditionalFormatting sqref="J10">
    <cfRule type="expression" dxfId="1" priority="2">
      <formula>AND(NOT(ISBLANK(J10)),OR(I10="NonStk",J10&gt;I10))</formula>
    </cfRule>
  </conditionalFormatting>
  <conditionalFormatting sqref="J11">
    <cfRule type="expression" dxfId="1" priority="6">
      <formula>AND(NOT(ISBLANK(J11)),OR(I11="NonStk",J11&gt;I11))</formula>
    </cfRule>
  </conditionalFormatting>
  <conditionalFormatting sqref="J12">
    <cfRule type="expression" dxfId="1" priority="10">
      <formula>AND(NOT(ISBLANK(J12)),OR(I12="NonStk",J12&gt;I12))</formula>
    </cfRule>
  </conditionalFormatting>
  <conditionalFormatting sqref="J13">
    <cfRule type="expression" dxfId="1" priority="14">
      <formula>AND(NOT(ISBLANK(J13)),OR(I13="NonStk",J13&gt;I13))</formula>
    </cfRule>
  </conditionalFormatting>
  <conditionalFormatting sqref="J14">
    <cfRule type="expression" dxfId="1" priority="18">
      <formula>AND(NOT(ISBLANK(J14)),OR(I14="NonStk",J14&gt;I14))</formula>
    </cfRule>
  </conditionalFormatting>
  <conditionalFormatting sqref="J15">
    <cfRule type="expression" dxfId="1" priority="22">
      <formula>AND(NOT(ISBLANK(J15)),OR(I15="NonStk",J15&gt;I15))</formula>
    </cfRule>
  </conditionalFormatting>
  <conditionalFormatting sqref="J16">
    <cfRule type="expression" dxfId="1" priority="26">
      <formula>AND(NOT(ISBLANK(J16)),OR(I16="NonStk",J16&gt;I16))</formula>
    </cfRule>
  </conditionalFormatting>
  <conditionalFormatting sqref="J17">
    <cfRule type="expression" dxfId="1" priority="30">
      <formula>AND(NOT(ISBLANK(J17)),OR(I17="NonStk",J17&gt;I17))</formula>
    </cfRule>
  </conditionalFormatting>
  <conditionalFormatting sqref="J18">
    <cfRule type="expression" dxfId="1" priority="34">
      <formula>AND(NOT(ISBLANK(J18)),OR(I18="NonStk",J18&gt;I18))</formula>
    </cfRule>
  </conditionalFormatting>
  <conditionalFormatting sqref="J19">
    <cfRule type="expression" dxfId="1" priority="38">
      <formula>AND(NOT(ISBLANK(J19)),OR(I19="NonStk",J19&gt;I19))</formula>
    </cfRule>
  </conditionalFormatting>
  <conditionalFormatting sqref="J20">
    <cfRule type="expression" dxfId="1" priority="42">
      <formula>AND(NOT(ISBLANK(J20)),OR(I20="NonStk",J20&gt;I20))</formula>
    </cfRule>
  </conditionalFormatting>
  <conditionalFormatting sqref="J21">
    <cfRule type="expression" dxfId="1" priority="46">
      <formula>AND(NOT(ISBLANK(J21)),OR(I21="NonStk",J21&gt;I21))</formula>
    </cfRule>
  </conditionalFormatting>
  <conditionalFormatting sqref="J22">
    <cfRule type="expression" dxfId="1" priority="50">
      <formula>AND(NOT(ISBLANK(J22)),OR(I22="NonStk",J22&gt;I22))</formula>
    </cfRule>
  </conditionalFormatting>
  <conditionalFormatting sqref="J23">
    <cfRule type="expression" dxfId="1" priority="54">
      <formula>AND(NOT(ISBLANK(J23)),OR(I23="NonStk",J23&gt;I23))</formula>
    </cfRule>
  </conditionalFormatting>
  <conditionalFormatting sqref="J24">
    <cfRule type="expression" dxfId="1" priority="58">
      <formula>AND(NOT(ISBLANK(J24)),OR(I24="NonStk",J24&gt;I24))</formula>
    </cfRule>
  </conditionalFormatting>
  <conditionalFormatting sqref="J25">
    <cfRule type="expression" dxfId="1" priority="62">
      <formula>AND(NOT(ISBLANK(J25)),OR(I25="NonStk",J25&gt;I25))</formula>
    </cfRule>
  </conditionalFormatting>
  <conditionalFormatting sqref="J26">
    <cfRule type="expression" dxfId="1" priority="66">
      <formula>AND(NOT(ISBLANK(J26)),OR(I26="NonStk",J26&gt;I26))</formula>
    </cfRule>
  </conditionalFormatting>
  <conditionalFormatting sqref="J27">
    <cfRule type="expression" dxfId="1" priority="70">
      <formula>AND(NOT(ISBLANK(J27)),OR(I27="NonStk",J27&gt;I27))</formula>
    </cfRule>
  </conditionalFormatting>
  <conditionalFormatting sqref="J28">
    <cfRule type="expression" dxfId="1" priority="74">
      <formula>AND(NOT(ISBLANK(J28)),OR(I28="NonStk",J28&gt;I28))</formula>
    </cfRule>
  </conditionalFormatting>
  <conditionalFormatting sqref="J29">
    <cfRule type="expression" dxfId="1" priority="78">
      <formula>AND(NOT(ISBLANK(J29)),OR(I29="NonStk",J29&gt;I29))</formula>
    </cfRule>
  </conditionalFormatting>
  <conditionalFormatting sqref="J30">
    <cfRule type="expression" dxfId="1" priority="82">
      <formula>AND(NOT(ISBLANK(J30)),OR(I30="NonStk",J30&gt;I30))</formula>
    </cfRule>
  </conditionalFormatting>
  <conditionalFormatting sqref="J32">
    <cfRule type="expression" dxfId="1" priority="86">
      <formula>AND(NOT(ISBLANK(J32)),OR(I32="NonStk",J32&gt;I32))</formula>
    </cfRule>
  </conditionalFormatting>
  <conditionalFormatting sqref="J33">
    <cfRule type="expression" dxfId="1" priority="90">
      <formula>AND(NOT(ISBLANK(J33)),OR(I33="NonStk",J33&gt;I33))</formula>
    </cfRule>
  </conditionalFormatting>
  <conditionalFormatting sqref="J34">
    <cfRule type="expression" dxfId="1" priority="94">
      <formula>AND(NOT(ISBLANK(J34)),OR(I34="NonStk",J34&gt;I34))</formula>
    </cfRule>
  </conditionalFormatting>
  <conditionalFormatting sqref="J35">
    <cfRule type="expression" dxfId="1" priority="98">
      <formula>AND(NOT(ISBLANK(J35)),OR(I35="NonStk",J35&gt;I35))</formula>
    </cfRule>
  </conditionalFormatting>
  <conditionalFormatting sqref="J36">
    <cfRule type="expression" dxfId="1" priority="102">
      <formula>AND(NOT(ISBLANK(J36)),OR(I36="NonStk",J36&gt;I36))</formula>
    </cfRule>
  </conditionalFormatting>
  <conditionalFormatting sqref="J37">
    <cfRule type="expression" dxfId="1" priority="106">
      <formula>AND(NOT(ISBLANK(J37)),OR(I37="NonStk",J37&gt;I37))</formula>
    </cfRule>
  </conditionalFormatting>
  <conditionalFormatting sqref="J38">
    <cfRule type="expression" dxfId="1" priority="110">
      <formula>AND(NOT(ISBLANK(J38)),OR(I38="NonStk",J38&gt;I38))</formula>
    </cfRule>
  </conditionalFormatting>
  <conditionalFormatting sqref="J39">
    <cfRule type="expression" dxfId="1" priority="114">
      <formula>AND(NOT(ISBLANK(J39)),OR(I39="NonStk",J39&gt;I39))</formula>
    </cfRule>
  </conditionalFormatting>
  <conditionalFormatting sqref="J40">
    <cfRule type="expression" dxfId="1" priority="118">
      <formula>AND(NOT(ISBLANK(J40)),OR(I40="NonStk",J40&gt;I40))</formula>
    </cfRule>
  </conditionalFormatting>
  <conditionalFormatting sqref="J41">
    <cfRule type="expression" dxfId="1" priority="122">
      <formula>AND(NOT(ISBLANK(J41)),OR(I41="NonStk",J41&gt;I41))</formula>
    </cfRule>
  </conditionalFormatting>
  <conditionalFormatting sqref="J44">
    <cfRule type="expression" dxfId="1" priority="126">
      <formula>AND(NOT(ISBLANK(J44)),OR(I44="NonStk",J44&gt;I44))</formula>
    </cfRule>
  </conditionalFormatting>
  <conditionalFormatting sqref="J49">
    <cfRule type="expression" dxfId="1" priority="130">
      <formula>AND(NOT(ISBLANK(J49)),OR(I49="NonStk",J49&gt;I49))</formula>
    </cfRule>
  </conditionalFormatting>
  <conditionalFormatting sqref="J50">
    <cfRule type="expression" dxfId="1" priority="134">
      <formula>AND(NOT(ISBLANK(J50)),OR(I50="NonStk",J50&gt;I50))</formula>
    </cfRule>
  </conditionalFormatting>
  <conditionalFormatting sqref="J51">
    <cfRule type="expression" dxfId="1" priority="138">
      <formula>AND(NOT(ISBLANK(J51)),OR(I51="NonStk",J51&gt;I51))</formula>
    </cfRule>
  </conditionalFormatting>
  <conditionalFormatting sqref="J52">
    <cfRule type="expression" dxfId="1" priority="142">
      <formula>AND(NOT(ISBLANK(J52)),OR(I52="NonStk",J52&gt;I52))</formula>
    </cfRule>
  </conditionalFormatting>
  <conditionalFormatting sqref="J53">
    <cfRule type="expression" dxfId="1" priority="146">
      <formula>AND(NOT(ISBLANK(J53)),OR(I53="NonStk",J53&gt;I53))</formula>
    </cfRule>
  </conditionalFormatting>
  <conditionalFormatting sqref="J54">
    <cfRule type="expression" dxfId="1" priority="150">
      <formula>AND(NOT(ISBLANK(J54)),OR(I54="NonStk",J54&gt;I54))</formula>
    </cfRule>
  </conditionalFormatting>
  <conditionalFormatting sqref="J55">
    <cfRule type="expression" dxfId="1" priority="154">
      <formula>AND(NOT(ISBLANK(J55)),OR(I55="NonStk",J55&gt;I55))</formula>
    </cfRule>
  </conditionalFormatting>
  <conditionalFormatting sqref="J56">
    <cfRule type="expression" dxfId="1" priority="158">
      <formula>AND(NOT(ISBLANK(J56)),OR(I56="NonStk",J56&gt;I56))</formula>
    </cfRule>
  </conditionalFormatting>
  <conditionalFormatting sqref="J57">
    <cfRule type="expression" dxfId="1" priority="162">
      <formula>AND(NOT(ISBLANK(J57)),OR(I57="NonStk",J57&gt;I57))</formula>
    </cfRule>
  </conditionalFormatting>
  <conditionalFormatting sqref="J58">
    <cfRule type="expression" dxfId="1" priority="166">
      <formula>AND(NOT(ISBLANK(J58)),OR(I58="NonStk",J58&gt;I58))</formula>
    </cfRule>
  </conditionalFormatting>
  <conditionalFormatting sqref="J59">
    <cfRule type="expression" dxfId="1" priority="170">
      <formula>AND(NOT(ISBLANK(J59)),OR(I59="NonStk",J59&gt;I59))</formula>
    </cfRule>
  </conditionalFormatting>
  <conditionalFormatting sqref="J60">
    <cfRule type="expression" dxfId="1" priority="174">
      <formula>AND(NOT(ISBLANK(J60)),OR(I60="NonStk",J60&gt;I60))</formula>
    </cfRule>
  </conditionalFormatting>
  <conditionalFormatting sqref="J61">
    <cfRule type="expression" dxfId="1" priority="178">
      <formula>AND(NOT(ISBLANK(J61)),OR(I61="NonStk",J61&gt;I61))</formula>
    </cfRule>
  </conditionalFormatting>
  <conditionalFormatting sqref="J62">
    <cfRule type="expression" dxfId="1" priority="182">
      <formula>AND(NOT(ISBLANK(J62)),OR(I62="NonStk",J62&gt;I62))</formula>
    </cfRule>
  </conditionalFormatting>
  <conditionalFormatting sqref="J63">
    <cfRule type="expression" dxfId="1" priority="186">
      <formula>AND(NOT(ISBLANK(J63)),OR(I63="NonStk",J63&gt;I63))</formula>
    </cfRule>
  </conditionalFormatting>
  <conditionalFormatting sqref="J64">
    <cfRule type="expression" dxfId="1" priority="190">
      <formula>AND(NOT(ISBLANK(J64)),OR(I64="NonStk",J64&gt;I64))</formula>
    </cfRule>
  </conditionalFormatting>
  <conditionalFormatting sqref="J65">
    <cfRule type="expression" dxfId="1" priority="194">
      <formula>AND(NOT(ISBLANK(J65)),OR(I65="NonStk",J65&gt;I65))</formula>
    </cfRule>
  </conditionalFormatting>
  <conditionalFormatting sqref="J66">
    <cfRule type="expression" dxfId="1" priority="198">
      <formula>AND(NOT(ISBLANK(J66)),OR(I66="NonStk",J66&gt;I66))</formula>
    </cfRule>
  </conditionalFormatting>
  <conditionalFormatting sqref="J67">
    <cfRule type="expression" dxfId="1" priority="202">
      <formula>AND(NOT(ISBLANK(J67)),OR(I67="NonStk",J67&gt;I67))</formula>
    </cfRule>
  </conditionalFormatting>
  <conditionalFormatting sqref="J69">
    <cfRule type="expression" dxfId="1" priority="206">
      <formula>AND(NOT(ISBLANK(J69)),OR(I69="NonStk",J69&gt;I69))</formula>
    </cfRule>
  </conditionalFormatting>
  <conditionalFormatting sqref="J70">
    <cfRule type="expression" dxfId="1" priority="210">
      <formula>AND(NOT(ISBLANK(J70)),OR(I70="NonStk",J70&gt;I70))</formula>
    </cfRule>
  </conditionalFormatting>
  <conditionalFormatting sqref="J71">
    <cfRule type="expression" dxfId="1" priority="214">
      <formula>AND(NOT(ISBLANK(J71)),OR(I71="NonStk",J71&gt;I71))</formula>
    </cfRule>
  </conditionalFormatting>
  <conditionalFormatting sqref="J72">
    <cfRule type="expression" dxfId="1" priority="218">
      <formula>AND(NOT(ISBLANK(J72)),OR(I72="NonStk",J72&gt;I72))</formula>
    </cfRule>
  </conditionalFormatting>
  <conditionalFormatting sqref="J73">
    <cfRule type="expression" dxfId="1" priority="222">
      <formula>AND(NOT(ISBLANK(J73)),OR(I73="NonStk",J73&gt;I73))</formula>
    </cfRule>
  </conditionalFormatting>
  <conditionalFormatting sqref="J74">
    <cfRule type="expression" dxfId="1" priority="226">
      <formula>AND(NOT(ISBLANK(J74)),OR(I74="NonStk",J74&gt;I74))</formula>
    </cfRule>
  </conditionalFormatting>
  <conditionalFormatting sqref="J75">
    <cfRule type="expression" dxfId="1" priority="230">
      <formula>AND(NOT(ISBLANK(J75)),OR(I75="NonStk",J75&gt;I75))</formula>
    </cfRule>
  </conditionalFormatting>
  <conditionalFormatting sqref="J76">
    <cfRule type="expression" dxfId="1" priority="234">
      <formula>AND(NOT(ISBLANK(J76)),OR(I76="NonStk",J76&gt;I76))</formula>
    </cfRule>
  </conditionalFormatting>
  <conditionalFormatting sqref="J77">
    <cfRule type="expression" dxfId="1" priority="238">
      <formula>AND(NOT(ISBLANK(J77)),OR(I77="NonStk",J77&gt;I77))</formula>
    </cfRule>
  </conditionalFormatting>
  <conditionalFormatting sqref="J78">
    <cfRule type="expression" dxfId="1" priority="242">
      <formula>AND(NOT(ISBLANK(J78)),OR(I78="NonStk",J78&gt;I78))</formula>
    </cfRule>
  </conditionalFormatting>
  <conditionalFormatting sqref="J79">
    <cfRule type="expression" dxfId="1" priority="246">
      <formula>AND(NOT(ISBLANK(J79)),OR(I79="NonStk",J79&gt;I79))</formula>
    </cfRule>
  </conditionalFormatting>
  <conditionalFormatting sqref="J80">
    <cfRule type="expression" dxfId="1" priority="250">
      <formula>AND(NOT(ISBLANK(J80)),OR(I80="NonStk",J80&gt;I80))</formula>
    </cfRule>
  </conditionalFormatting>
  <conditionalFormatting sqref="K10">
    <cfRule type="cellIs" dxfId="2" priority="4" operator="lessThanOrEqual">
      <formula>G10</formula>
    </cfRule>
  </conditionalFormatting>
  <conditionalFormatting sqref="K11">
    <cfRule type="cellIs" dxfId="2" priority="8" operator="lessThanOrEqual">
      <formula>G11</formula>
    </cfRule>
  </conditionalFormatting>
  <conditionalFormatting sqref="K12">
    <cfRule type="cellIs" dxfId="2" priority="12" operator="lessThanOrEqual">
      <formula>G12</formula>
    </cfRule>
  </conditionalFormatting>
  <conditionalFormatting sqref="K13">
    <cfRule type="cellIs" dxfId="2" priority="16" operator="lessThanOrEqual">
      <formula>G13</formula>
    </cfRule>
  </conditionalFormatting>
  <conditionalFormatting sqref="K14">
    <cfRule type="cellIs" dxfId="2" priority="20" operator="lessThanOrEqual">
      <formula>G14</formula>
    </cfRule>
  </conditionalFormatting>
  <conditionalFormatting sqref="K15">
    <cfRule type="cellIs" dxfId="2" priority="24" operator="lessThanOrEqual">
      <formula>G15</formula>
    </cfRule>
  </conditionalFormatting>
  <conditionalFormatting sqref="K16">
    <cfRule type="cellIs" dxfId="2" priority="28" operator="lessThanOrEqual">
      <formula>G16</formula>
    </cfRule>
  </conditionalFormatting>
  <conditionalFormatting sqref="K17">
    <cfRule type="cellIs" dxfId="2" priority="32" operator="lessThanOrEqual">
      <formula>G17</formula>
    </cfRule>
  </conditionalFormatting>
  <conditionalFormatting sqref="K18">
    <cfRule type="cellIs" dxfId="2" priority="36" operator="lessThanOrEqual">
      <formula>G18</formula>
    </cfRule>
  </conditionalFormatting>
  <conditionalFormatting sqref="K19">
    <cfRule type="cellIs" dxfId="2" priority="40" operator="lessThanOrEqual">
      <formula>G19</formula>
    </cfRule>
  </conditionalFormatting>
  <conditionalFormatting sqref="K20">
    <cfRule type="cellIs" dxfId="2" priority="44" operator="lessThanOrEqual">
      <formula>G20</formula>
    </cfRule>
  </conditionalFormatting>
  <conditionalFormatting sqref="K21">
    <cfRule type="cellIs" dxfId="2" priority="48" operator="lessThanOrEqual">
      <formula>G21</formula>
    </cfRule>
  </conditionalFormatting>
  <conditionalFormatting sqref="K22">
    <cfRule type="cellIs" dxfId="2" priority="52" operator="lessThanOrEqual">
      <formula>G22</formula>
    </cfRule>
  </conditionalFormatting>
  <conditionalFormatting sqref="K23">
    <cfRule type="cellIs" dxfId="2" priority="56" operator="lessThanOrEqual">
      <formula>G23</formula>
    </cfRule>
  </conditionalFormatting>
  <conditionalFormatting sqref="K24">
    <cfRule type="cellIs" dxfId="2" priority="60" operator="lessThanOrEqual">
      <formula>G24</formula>
    </cfRule>
  </conditionalFormatting>
  <conditionalFormatting sqref="K25">
    <cfRule type="cellIs" dxfId="2" priority="64" operator="lessThanOrEqual">
      <formula>G25</formula>
    </cfRule>
  </conditionalFormatting>
  <conditionalFormatting sqref="K26">
    <cfRule type="cellIs" dxfId="2" priority="68" operator="lessThanOrEqual">
      <formula>G26</formula>
    </cfRule>
  </conditionalFormatting>
  <conditionalFormatting sqref="K27">
    <cfRule type="cellIs" dxfId="2" priority="72" operator="lessThanOrEqual">
      <formula>G27</formula>
    </cfRule>
  </conditionalFormatting>
  <conditionalFormatting sqref="K28">
    <cfRule type="cellIs" dxfId="2" priority="76" operator="lessThanOrEqual">
      <formula>G28</formula>
    </cfRule>
  </conditionalFormatting>
  <conditionalFormatting sqref="K29">
    <cfRule type="cellIs" dxfId="2" priority="80" operator="lessThanOrEqual">
      <formula>G29</formula>
    </cfRule>
  </conditionalFormatting>
  <conditionalFormatting sqref="K30">
    <cfRule type="cellIs" dxfId="2" priority="84" operator="lessThanOrEqual">
      <formula>G30</formula>
    </cfRule>
  </conditionalFormatting>
  <conditionalFormatting sqref="K32">
    <cfRule type="cellIs" dxfId="2" priority="88" operator="lessThanOrEqual">
      <formula>G32</formula>
    </cfRule>
  </conditionalFormatting>
  <conditionalFormatting sqref="K33">
    <cfRule type="cellIs" dxfId="2" priority="92" operator="lessThanOrEqual">
      <formula>G33</formula>
    </cfRule>
  </conditionalFormatting>
  <conditionalFormatting sqref="K34">
    <cfRule type="cellIs" dxfId="2" priority="96" operator="lessThanOrEqual">
      <formula>G34</formula>
    </cfRule>
  </conditionalFormatting>
  <conditionalFormatting sqref="K35">
    <cfRule type="cellIs" dxfId="2" priority="100" operator="lessThanOrEqual">
      <formula>G35</formula>
    </cfRule>
  </conditionalFormatting>
  <conditionalFormatting sqref="K36">
    <cfRule type="cellIs" dxfId="2" priority="104" operator="lessThanOrEqual">
      <formula>G36</formula>
    </cfRule>
  </conditionalFormatting>
  <conditionalFormatting sqref="K37">
    <cfRule type="cellIs" dxfId="2" priority="108" operator="lessThanOrEqual">
      <formula>G37</formula>
    </cfRule>
  </conditionalFormatting>
  <conditionalFormatting sqref="K38">
    <cfRule type="cellIs" dxfId="2" priority="112" operator="lessThanOrEqual">
      <formula>G38</formula>
    </cfRule>
  </conditionalFormatting>
  <conditionalFormatting sqref="K39">
    <cfRule type="cellIs" dxfId="2" priority="116" operator="lessThanOrEqual">
      <formula>G39</formula>
    </cfRule>
  </conditionalFormatting>
  <conditionalFormatting sqref="K40">
    <cfRule type="cellIs" dxfId="2" priority="120" operator="lessThanOrEqual">
      <formula>G40</formula>
    </cfRule>
  </conditionalFormatting>
  <conditionalFormatting sqref="K41">
    <cfRule type="cellIs" dxfId="2" priority="124" operator="lessThanOrEqual">
      <formula>G41</formula>
    </cfRule>
  </conditionalFormatting>
  <conditionalFormatting sqref="K44">
    <cfRule type="cellIs" dxfId="2" priority="128" operator="lessThanOrEqual">
      <formula>G44</formula>
    </cfRule>
  </conditionalFormatting>
  <conditionalFormatting sqref="K49">
    <cfRule type="cellIs" dxfId="2" priority="132" operator="lessThanOrEqual">
      <formula>G49</formula>
    </cfRule>
  </conditionalFormatting>
  <conditionalFormatting sqref="K50">
    <cfRule type="cellIs" dxfId="2" priority="136" operator="lessThanOrEqual">
      <formula>G50</formula>
    </cfRule>
  </conditionalFormatting>
  <conditionalFormatting sqref="K51">
    <cfRule type="cellIs" dxfId="2" priority="140" operator="lessThanOrEqual">
      <formula>G51</formula>
    </cfRule>
  </conditionalFormatting>
  <conditionalFormatting sqref="K52">
    <cfRule type="cellIs" dxfId="2" priority="144" operator="lessThanOrEqual">
      <formula>G52</formula>
    </cfRule>
  </conditionalFormatting>
  <conditionalFormatting sqref="K53">
    <cfRule type="cellIs" dxfId="2" priority="148" operator="lessThanOrEqual">
      <formula>G53</formula>
    </cfRule>
  </conditionalFormatting>
  <conditionalFormatting sqref="K54">
    <cfRule type="cellIs" dxfId="2" priority="152" operator="lessThanOrEqual">
      <formula>G54</formula>
    </cfRule>
  </conditionalFormatting>
  <conditionalFormatting sqref="K55">
    <cfRule type="cellIs" dxfId="2" priority="156" operator="lessThanOrEqual">
      <formula>G55</formula>
    </cfRule>
  </conditionalFormatting>
  <conditionalFormatting sqref="K56">
    <cfRule type="cellIs" dxfId="2" priority="160" operator="lessThanOrEqual">
      <formula>G56</formula>
    </cfRule>
  </conditionalFormatting>
  <conditionalFormatting sqref="K57">
    <cfRule type="cellIs" dxfId="2" priority="164" operator="lessThanOrEqual">
      <formula>G57</formula>
    </cfRule>
  </conditionalFormatting>
  <conditionalFormatting sqref="K58">
    <cfRule type="cellIs" dxfId="2" priority="168" operator="lessThanOrEqual">
      <formula>G58</formula>
    </cfRule>
  </conditionalFormatting>
  <conditionalFormatting sqref="K59">
    <cfRule type="cellIs" dxfId="2" priority="172" operator="lessThanOrEqual">
      <formula>G59</formula>
    </cfRule>
  </conditionalFormatting>
  <conditionalFormatting sqref="K60">
    <cfRule type="cellIs" dxfId="2" priority="176" operator="lessThanOrEqual">
      <formula>G60</formula>
    </cfRule>
  </conditionalFormatting>
  <conditionalFormatting sqref="K61">
    <cfRule type="cellIs" dxfId="2" priority="180" operator="lessThanOrEqual">
      <formula>G61</formula>
    </cfRule>
  </conditionalFormatting>
  <conditionalFormatting sqref="K62">
    <cfRule type="cellIs" dxfId="2" priority="184" operator="lessThanOrEqual">
      <formula>G62</formula>
    </cfRule>
  </conditionalFormatting>
  <conditionalFormatting sqref="K63">
    <cfRule type="cellIs" dxfId="2" priority="188" operator="lessThanOrEqual">
      <formula>G63</formula>
    </cfRule>
  </conditionalFormatting>
  <conditionalFormatting sqref="K64">
    <cfRule type="cellIs" dxfId="2" priority="192" operator="lessThanOrEqual">
      <formula>G64</formula>
    </cfRule>
  </conditionalFormatting>
  <conditionalFormatting sqref="K65">
    <cfRule type="cellIs" dxfId="2" priority="196" operator="lessThanOrEqual">
      <formula>G65</formula>
    </cfRule>
  </conditionalFormatting>
  <conditionalFormatting sqref="K66">
    <cfRule type="cellIs" dxfId="2" priority="200" operator="lessThanOrEqual">
      <formula>G66</formula>
    </cfRule>
  </conditionalFormatting>
  <conditionalFormatting sqref="K67">
    <cfRule type="cellIs" dxfId="2" priority="204" operator="lessThanOrEqual">
      <formula>G67</formula>
    </cfRule>
  </conditionalFormatting>
  <conditionalFormatting sqref="K69">
    <cfRule type="cellIs" dxfId="2" priority="208" operator="lessThanOrEqual">
      <formula>G69</formula>
    </cfRule>
  </conditionalFormatting>
  <conditionalFormatting sqref="K70">
    <cfRule type="cellIs" dxfId="2" priority="212" operator="lessThanOrEqual">
      <formula>G70</formula>
    </cfRule>
  </conditionalFormatting>
  <conditionalFormatting sqref="K71">
    <cfRule type="cellIs" dxfId="2" priority="216" operator="lessThanOrEqual">
      <formula>G71</formula>
    </cfRule>
  </conditionalFormatting>
  <conditionalFormatting sqref="K72">
    <cfRule type="cellIs" dxfId="2" priority="220" operator="lessThanOrEqual">
      <formula>G72</formula>
    </cfRule>
  </conditionalFormatting>
  <conditionalFormatting sqref="K73">
    <cfRule type="cellIs" dxfId="2" priority="224" operator="lessThanOrEqual">
      <formula>G73</formula>
    </cfRule>
  </conditionalFormatting>
  <conditionalFormatting sqref="K74">
    <cfRule type="cellIs" dxfId="2" priority="228" operator="lessThanOrEqual">
      <formula>G74</formula>
    </cfRule>
  </conditionalFormatting>
  <conditionalFormatting sqref="K75">
    <cfRule type="cellIs" dxfId="2" priority="232" operator="lessThanOrEqual">
      <formula>G75</formula>
    </cfRule>
  </conditionalFormatting>
  <conditionalFormatting sqref="K76">
    <cfRule type="cellIs" dxfId="2" priority="236" operator="lessThanOrEqual">
      <formula>G76</formula>
    </cfRule>
  </conditionalFormatting>
  <conditionalFormatting sqref="K77">
    <cfRule type="cellIs" dxfId="2" priority="240" operator="lessThanOrEqual">
      <formula>G77</formula>
    </cfRule>
  </conditionalFormatting>
  <conditionalFormatting sqref="K78">
    <cfRule type="cellIs" dxfId="2" priority="244" operator="lessThanOrEqual">
      <formula>G78</formula>
    </cfRule>
  </conditionalFormatting>
  <conditionalFormatting sqref="K79">
    <cfRule type="cellIs" dxfId="2" priority="248" operator="lessThanOrEqual">
      <formula>G79</formula>
    </cfRule>
  </conditionalFormatting>
  <conditionalFormatting sqref="K80">
    <cfRule type="cellIs" dxfId="2" priority="252" operator="lessThanOrEqual">
      <formula>G80</formula>
    </cfRule>
  </conditionalFormatting>
  <conditionalFormatting sqref="M10">
    <cfRule type="cellIs" dxfId="2" priority="3" operator="lessThanOrEqual">
      <formula>H10</formula>
    </cfRule>
  </conditionalFormatting>
  <conditionalFormatting sqref="M11">
    <cfRule type="cellIs" dxfId="2" priority="7" operator="lessThanOrEqual">
      <formula>H11</formula>
    </cfRule>
  </conditionalFormatting>
  <conditionalFormatting sqref="M12">
    <cfRule type="cellIs" dxfId="2" priority="11" operator="lessThanOrEqual">
      <formula>H12</formula>
    </cfRule>
  </conditionalFormatting>
  <conditionalFormatting sqref="M13">
    <cfRule type="cellIs" dxfId="2" priority="15" operator="lessThanOrEqual">
      <formula>H13</formula>
    </cfRule>
  </conditionalFormatting>
  <conditionalFormatting sqref="M14">
    <cfRule type="cellIs" dxfId="2" priority="19" operator="lessThanOrEqual">
      <formula>H14</formula>
    </cfRule>
  </conditionalFormatting>
  <conditionalFormatting sqref="M15">
    <cfRule type="cellIs" dxfId="2" priority="23" operator="lessThanOrEqual">
      <formula>H15</formula>
    </cfRule>
  </conditionalFormatting>
  <conditionalFormatting sqref="M16">
    <cfRule type="cellIs" dxfId="2" priority="27" operator="lessThanOrEqual">
      <formula>H16</formula>
    </cfRule>
  </conditionalFormatting>
  <conditionalFormatting sqref="M17">
    <cfRule type="cellIs" dxfId="2" priority="31" operator="lessThanOrEqual">
      <formula>H17</formula>
    </cfRule>
  </conditionalFormatting>
  <conditionalFormatting sqref="M18">
    <cfRule type="cellIs" dxfId="2" priority="35" operator="lessThanOrEqual">
      <formula>H18</formula>
    </cfRule>
  </conditionalFormatting>
  <conditionalFormatting sqref="M19">
    <cfRule type="cellIs" dxfId="2" priority="39" operator="lessThanOrEqual">
      <formula>H19</formula>
    </cfRule>
  </conditionalFormatting>
  <conditionalFormatting sqref="M20">
    <cfRule type="cellIs" dxfId="2" priority="43" operator="lessThanOrEqual">
      <formula>H20</formula>
    </cfRule>
  </conditionalFormatting>
  <conditionalFormatting sqref="M21">
    <cfRule type="cellIs" dxfId="2" priority="47" operator="lessThanOrEqual">
      <formula>H21</formula>
    </cfRule>
  </conditionalFormatting>
  <conditionalFormatting sqref="M22">
    <cfRule type="cellIs" dxfId="2" priority="51" operator="lessThanOrEqual">
      <formula>H22</formula>
    </cfRule>
  </conditionalFormatting>
  <conditionalFormatting sqref="M23">
    <cfRule type="cellIs" dxfId="2" priority="55" operator="lessThanOrEqual">
      <formula>H23</formula>
    </cfRule>
  </conditionalFormatting>
  <conditionalFormatting sqref="M24">
    <cfRule type="cellIs" dxfId="2" priority="59" operator="lessThanOrEqual">
      <formula>H24</formula>
    </cfRule>
  </conditionalFormatting>
  <conditionalFormatting sqref="M25">
    <cfRule type="cellIs" dxfId="2" priority="63" operator="lessThanOrEqual">
      <formula>H25</formula>
    </cfRule>
  </conditionalFormatting>
  <conditionalFormatting sqref="M26">
    <cfRule type="cellIs" dxfId="2" priority="67" operator="lessThanOrEqual">
      <formula>H26</formula>
    </cfRule>
  </conditionalFormatting>
  <conditionalFormatting sqref="M27">
    <cfRule type="cellIs" dxfId="2" priority="71" operator="lessThanOrEqual">
      <formula>H27</formula>
    </cfRule>
  </conditionalFormatting>
  <conditionalFormatting sqref="M28">
    <cfRule type="cellIs" dxfId="2" priority="75" operator="lessThanOrEqual">
      <formula>H28</formula>
    </cfRule>
  </conditionalFormatting>
  <conditionalFormatting sqref="M29">
    <cfRule type="cellIs" dxfId="2" priority="79" operator="lessThanOrEqual">
      <formula>H29</formula>
    </cfRule>
  </conditionalFormatting>
  <conditionalFormatting sqref="M30">
    <cfRule type="cellIs" dxfId="2" priority="83" operator="lessThanOrEqual">
      <formula>H30</formula>
    </cfRule>
  </conditionalFormatting>
  <conditionalFormatting sqref="M32">
    <cfRule type="cellIs" dxfId="2" priority="87" operator="lessThanOrEqual">
      <formula>H32</formula>
    </cfRule>
  </conditionalFormatting>
  <conditionalFormatting sqref="M33">
    <cfRule type="cellIs" dxfId="2" priority="91" operator="lessThanOrEqual">
      <formula>H33</formula>
    </cfRule>
  </conditionalFormatting>
  <conditionalFormatting sqref="M34">
    <cfRule type="cellIs" dxfId="2" priority="95" operator="lessThanOrEqual">
      <formula>H34</formula>
    </cfRule>
  </conditionalFormatting>
  <conditionalFormatting sqref="M35">
    <cfRule type="cellIs" dxfId="2" priority="99" operator="lessThanOrEqual">
      <formula>H35</formula>
    </cfRule>
  </conditionalFormatting>
  <conditionalFormatting sqref="M36">
    <cfRule type="cellIs" dxfId="2" priority="103" operator="lessThanOrEqual">
      <formula>H36</formula>
    </cfRule>
  </conditionalFormatting>
  <conditionalFormatting sqref="M37">
    <cfRule type="cellIs" dxfId="2" priority="107" operator="lessThanOrEqual">
      <formula>H37</formula>
    </cfRule>
  </conditionalFormatting>
  <conditionalFormatting sqref="M38">
    <cfRule type="cellIs" dxfId="2" priority="111" operator="lessThanOrEqual">
      <formula>H38</formula>
    </cfRule>
  </conditionalFormatting>
  <conditionalFormatting sqref="M39">
    <cfRule type="cellIs" dxfId="2" priority="115" operator="lessThanOrEqual">
      <formula>H39</formula>
    </cfRule>
  </conditionalFormatting>
  <conditionalFormatting sqref="M40">
    <cfRule type="cellIs" dxfId="2" priority="119" operator="lessThanOrEqual">
      <formula>H40</formula>
    </cfRule>
  </conditionalFormatting>
  <conditionalFormatting sqref="M41">
    <cfRule type="cellIs" dxfId="2" priority="123" operator="lessThanOrEqual">
      <formula>H41</formula>
    </cfRule>
  </conditionalFormatting>
  <conditionalFormatting sqref="M44">
    <cfRule type="cellIs" dxfId="2" priority="127" operator="lessThanOrEqual">
      <formula>H44</formula>
    </cfRule>
  </conditionalFormatting>
  <conditionalFormatting sqref="M49">
    <cfRule type="cellIs" dxfId="2" priority="131" operator="lessThanOrEqual">
      <formula>H49</formula>
    </cfRule>
  </conditionalFormatting>
  <conditionalFormatting sqref="M50">
    <cfRule type="cellIs" dxfId="2" priority="135" operator="lessThanOrEqual">
      <formula>H50</formula>
    </cfRule>
  </conditionalFormatting>
  <conditionalFormatting sqref="M51">
    <cfRule type="cellIs" dxfId="2" priority="139" operator="lessThanOrEqual">
      <formula>H51</formula>
    </cfRule>
  </conditionalFormatting>
  <conditionalFormatting sqref="M52">
    <cfRule type="cellIs" dxfId="2" priority="143" operator="lessThanOrEqual">
      <formula>H52</formula>
    </cfRule>
  </conditionalFormatting>
  <conditionalFormatting sqref="M53">
    <cfRule type="cellIs" dxfId="2" priority="147" operator="lessThanOrEqual">
      <formula>H53</formula>
    </cfRule>
  </conditionalFormatting>
  <conditionalFormatting sqref="M54">
    <cfRule type="cellIs" dxfId="2" priority="151" operator="lessThanOrEqual">
      <formula>H54</formula>
    </cfRule>
  </conditionalFormatting>
  <conditionalFormatting sqref="M55">
    <cfRule type="cellIs" dxfId="2" priority="155" operator="lessThanOrEqual">
      <formula>H55</formula>
    </cfRule>
  </conditionalFormatting>
  <conditionalFormatting sqref="M56">
    <cfRule type="cellIs" dxfId="2" priority="159" operator="lessThanOrEqual">
      <formula>H56</formula>
    </cfRule>
  </conditionalFormatting>
  <conditionalFormatting sqref="M57">
    <cfRule type="cellIs" dxfId="2" priority="163" operator="lessThanOrEqual">
      <formula>H57</formula>
    </cfRule>
  </conditionalFormatting>
  <conditionalFormatting sqref="M58">
    <cfRule type="cellIs" dxfId="2" priority="167" operator="lessThanOrEqual">
      <formula>H58</formula>
    </cfRule>
  </conditionalFormatting>
  <conditionalFormatting sqref="M59">
    <cfRule type="cellIs" dxfId="2" priority="171" operator="lessThanOrEqual">
      <formula>H59</formula>
    </cfRule>
  </conditionalFormatting>
  <conditionalFormatting sqref="M60">
    <cfRule type="cellIs" dxfId="2" priority="175" operator="lessThanOrEqual">
      <formula>H60</formula>
    </cfRule>
  </conditionalFormatting>
  <conditionalFormatting sqref="M61">
    <cfRule type="cellIs" dxfId="2" priority="179" operator="lessThanOrEqual">
      <formula>H61</formula>
    </cfRule>
  </conditionalFormatting>
  <conditionalFormatting sqref="M62">
    <cfRule type="cellIs" dxfId="2" priority="183" operator="lessThanOrEqual">
      <formula>H62</formula>
    </cfRule>
  </conditionalFormatting>
  <conditionalFormatting sqref="M63">
    <cfRule type="cellIs" dxfId="2" priority="187" operator="lessThanOrEqual">
      <formula>H63</formula>
    </cfRule>
  </conditionalFormatting>
  <conditionalFormatting sqref="M64">
    <cfRule type="cellIs" dxfId="2" priority="191" operator="lessThanOrEqual">
      <formula>H64</formula>
    </cfRule>
  </conditionalFormatting>
  <conditionalFormatting sqref="M65">
    <cfRule type="cellIs" dxfId="2" priority="195" operator="lessThanOrEqual">
      <formula>H65</formula>
    </cfRule>
  </conditionalFormatting>
  <conditionalFormatting sqref="M66">
    <cfRule type="cellIs" dxfId="2" priority="199" operator="lessThanOrEqual">
      <formula>H66</formula>
    </cfRule>
  </conditionalFormatting>
  <conditionalFormatting sqref="M67">
    <cfRule type="cellIs" dxfId="2" priority="203" operator="lessThanOrEqual">
      <formula>H67</formula>
    </cfRule>
  </conditionalFormatting>
  <conditionalFormatting sqref="M69">
    <cfRule type="cellIs" dxfId="2" priority="207" operator="lessThanOrEqual">
      <formula>H69</formula>
    </cfRule>
  </conditionalFormatting>
  <conditionalFormatting sqref="M70">
    <cfRule type="cellIs" dxfId="2" priority="211" operator="lessThanOrEqual">
      <formula>H70</formula>
    </cfRule>
  </conditionalFormatting>
  <conditionalFormatting sqref="M71">
    <cfRule type="cellIs" dxfId="2" priority="215" operator="lessThanOrEqual">
      <formula>H71</formula>
    </cfRule>
  </conditionalFormatting>
  <conditionalFormatting sqref="M72">
    <cfRule type="cellIs" dxfId="2" priority="219" operator="lessThanOrEqual">
      <formula>H72</formula>
    </cfRule>
  </conditionalFormatting>
  <conditionalFormatting sqref="M73">
    <cfRule type="cellIs" dxfId="2" priority="223" operator="lessThanOrEqual">
      <formula>H73</formula>
    </cfRule>
  </conditionalFormatting>
  <conditionalFormatting sqref="M74">
    <cfRule type="cellIs" dxfId="2" priority="227" operator="lessThanOrEqual">
      <formula>H74</formula>
    </cfRule>
  </conditionalFormatting>
  <conditionalFormatting sqref="M75">
    <cfRule type="cellIs" dxfId="2" priority="231" operator="lessThanOrEqual">
      <formula>H75</formula>
    </cfRule>
  </conditionalFormatting>
  <conditionalFormatting sqref="M76">
    <cfRule type="cellIs" dxfId="2" priority="235" operator="lessThanOrEqual">
      <formula>H76</formula>
    </cfRule>
  </conditionalFormatting>
  <conditionalFormatting sqref="M77">
    <cfRule type="cellIs" dxfId="2" priority="239" operator="lessThanOrEqual">
      <formula>H77</formula>
    </cfRule>
  </conditionalFormatting>
  <conditionalFormatting sqref="M78">
    <cfRule type="cellIs" dxfId="2" priority="243" operator="lessThanOrEqual">
      <formula>H78</formula>
    </cfRule>
  </conditionalFormatting>
  <conditionalFormatting sqref="M79">
    <cfRule type="cellIs" dxfId="2" priority="247" operator="lessThanOrEqual">
      <formula>H79</formula>
    </cfRule>
  </conditionalFormatting>
  <conditionalFormatting sqref="M80">
    <cfRule type="cellIs" dxfId="2" priority="251" operator="lessThanOrEqual">
      <formula>H80</formula>
    </cfRule>
  </conditionalFormatting>
  <conditionalFormatting sqref="O10">
    <cfRule type="cellIs" dxfId="0" priority="253" operator="lessThan">
      <formula>F10</formula>
    </cfRule>
  </conditionalFormatting>
  <conditionalFormatting sqref="O11">
    <cfRule type="cellIs" dxfId="0" priority="257" operator="lessThan">
      <formula>F11</formula>
    </cfRule>
  </conditionalFormatting>
  <conditionalFormatting sqref="O12">
    <cfRule type="cellIs" dxfId="0" priority="261" operator="lessThan">
      <formula>F12</formula>
    </cfRule>
  </conditionalFormatting>
  <conditionalFormatting sqref="O13">
    <cfRule type="cellIs" dxfId="0" priority="265" operator="lessThan">
      <formula>F13</formula>
    </cfRule>
  </conditionalFormatting>
  <conditionalFormatting sqref="O14">
    <cfRule type="cellIs" dxfId="0" priority="269" operator="lessThan">
      <formula>F14</formula>
    </cfRule>
  </conditionalFormatting>
  <conditionalFormatting sqref="O15">
    <cfRule type="cellIs" dxfId="0" priority="273" operator="lessThan">
      <formula>F15</formula>
    </cfRule>
  </conditionalFormatting>
  <conditionalFormatting sqref="O16">
    <cfRule type="cellIs" dxfId="0" priority="277" operator="lessThan">
      <formula>F16</formula>
    </cfRule>
  </conditionalFormatting>
  <conditionalFormatting sqref="O17">
    <cfRule type="cellIs" dxfId="0" priority="281" operator="lessThan">
      <formula>F17</formula>
    </cfRule>
  </conditionalFormatting>
  <conditionalFormatting sqref="O18">
    <cfRule type="cellIs" dxfId="0" priority="285" operator="lessThan">
      <formula>F18</formula>
    </cfRule>
  </conditionalFormatting>
  <conditionalFormatting sqref="O19">
    <cfRule type="cellIs" dxfId="0" priority="289" operator="lessThan">
      <formula>F19</formula>
    </cfRule>
  </conditionalFormatting>
  <conditionalFormatting sqref="O20">
    <cfRule type="cellIs" dxfId="0" priority="293" operator="lessThan">
      <formula>F20</formula>
    </cfRule>
  </conditionalFormatting>
  <conditionalFormatting sqref="O21">
    <cfRule type="cellIs" dxfId="0" priority="297" operator="lessThan">
      <formula>F21</formula>
    </cfRule>
  </conditionalFormatting>
  <conditionalFormatting sqref="O22">
    <cfRule type="cellIs" dxfId="0" priority="301" operator="lessThan">
      <formula>F22</formula>
    </cfRule>
  </conditionalFormatting>
  <conditionalFormatting sqref="O23">
    <cfRule type="cellIs" dxfId="0" priority="305" operator="lessThan">
      <formula>F23</formula>
    </cfRule>
  </conditionalFormatting>
  <conditionalFormatting sqref="O24">
    <cfRule type="cellIs" dxfId="0" priority="309" operator="lessThan">
      <formula>F24</formula>
    </cfRule>
  </conditionalFormatting>
  <conditionalFormatting sqref="O25">
    <cfRule type="cellIs" dxfId="0" priority="313" operator="lessThan">
      <formula>F25</formula>
    </cfRule>
  </conditionalFormatting>
  <conditionalFormatting sqref="O26">
    <cfRule type="cellIs" dxfId="0" priority="317" operator="lessThan">
      <formula>F26</formula>
    </cfRule>
  </conditionalFormatting>
  <conditionalFormatting sqref="O27">
    <cfRule type="cellIs" dxfId="0" priority="321" operator="lessThan">
      <formula>F27</formula>
    </cfRule>
  </conditionalFormatting>
  <conditionalFormatting sqref="O28">
    <cfRule type="cellIs" dxfId="0" priority="325" operator="lessThan">
      <formula>F28</formula>
    </cfRule>
  </conditionalFormatting>
  <conditionalFormatting sqref="O29">
    <cfRule type="cellIs" dxfId="0" priority="329" operator="lessThan">
      <formula>F29</formula>
    </cfRule>
  </conditionalFormatting>
  <conditionalFormatting sqref="O30">
    <cfRule type="cellIs" dxfId="0" priority="333" operator="lessThan">
      <formula>F30</formula>
    </cfRule>
  </conditionalFormatting>
  <conditionalFormatting sqref="O31">
    <cfRule type="cellIs" dxfId="0" priority="337" operator="lessThan">
      <formula>F31</formula>
    </cfRule>
  </conditionalFormatting>
  <conditionalFormatting sqref="O32">
    <cfRule type="cellIs" dxfId="0" priority="341" operator="lessThan">
      <formula>F32</formula>
    </cfRule>
  </conditionalFormatting>
  <conditionalFormatting sqref="O33">
    <cfRule type="cellIs" dxfId="0" priority="345" operator="lessThan">
      <formula>F33</formula>
    </cfRule>
  </conditionalFormatting>
  <conditionalFormatting sqref="O34">
    <cfRule type="cellIs" dxfId="0" priority="349" operator="lessThan">
      <formula>F34</formula>
    </cfRule>
  </conditionalFormatting>
  <conditionalFormatting sqref="O35">
    <cfRule type="cellIs" dxfId="0" priority="353" operator="lessThan">
      <formula>F35</formula>
    </cfRule>
  </conditionalFormatting>
  <conditionalFormatting sqref="O36">
    <cfRule type="cellIs" dxfId="0" priority="357" operator="lessThan">
      <formula>F36</formula>
    </cfRule>
  </conditionalFormatting>
  <conditionalFormatting sqref="O37">
    <cfRule type="cellIs" dxfId="0" priority="361" operator="lessThan">
      <formula>F37</formula>
    </cfRule>
  </conditionalFormatting>
  <conditionalFormatting sqref="O38">
    <cfRule type="cellIs" dxfId="0" priority="365" operator="lessThan">
      <formula>F38</formula>
    </cfRule>
  </conditionalFormatting>
  <conditionalFormatting sqref="O39">
    <cfRule type="cellIs" dxfId="0" priority="369" operator="lessThan">
      <formula>F39</formula>
    </cfRule>
  </conditionalFormatting>
  <conditionalFormatting sqref="O40">
    <cfRule type="cellIs" dxfId="0" priority="373" operator="lessThan">
      <formula>F40</formula>
    </cfRule>
  </conditionalFormatting>
  <conditionalFormatting sqref="O41">
    <cfRule type="cellIs" dxfId="0" priority="377" operator="lessThan">
      <formula>F41</formula>
    </cfRule>
  </conditionalFormatting>
  <conditionalFormatting sqref="O42">
    <cfRule type="cellIs" dxfId="0" priority="381" operator="lessThan">
      <formula>F42</formula>
    </cfRule>
  </conditionalFormatting>
  <conditionalFormatting sqref="O43">
    <cfRule type="cellIs" dxfId="0" priority="385" operator="lessThan">
      <formula>F43</formula>
    </cfRule>
  </conditionalFormatting>
  <conditionalFormatting sqref="O44">
    <cfRule type="cellIs" dxfId="0" priority="389" operator="lessThan">
      <formula>F44</formula>
    </cfRule>
  </conditionalFormatting>
  <conditionalFormatting sqref="O45">
    <cfRule type="cellIs" dxfId="0" priority="393" operator="lessThan">
      <formula>F45</formula>
    </cfRule>
  </conditionalFormatting>
  <conditionalFormatting sqref="O46">
    <cfRule type="cellIs" dxfId="0" priority="397" operator="lessThan">
      <formula>F46</formula>
    </cfRule>
  </conditionalFormatting>
  <conditionalFormatting sqref="O50">
    <cfRule type="cellIs" dxfId="0" priority="401" operator="lessThan">
      <formula>F50</formula>
    </cfRule>
  </conditionalFormatting>
  <conditionalFormatting sqref="O51">
    <cfRule type="cellIs" dxfId="0" priority="405" operator="lessThan">
      <formula>F51</formula>
    </cfRule>
  </conditionalFormatting>
  <conditionalFormatting sqref="O52">
    <cfRule type="cellIs" dxfId="0" priority="409" operator="lessThan">
      <formula>F52</formula>
    </cfRule>
  </conditionalFormatting>
  <conditionalFormatting sqref="O53">
    <cfRule type="cellIs" dxfId="0" priority="413" operator="lessThan">
      <formula>F53</formula>
    </cfRule>
  </conditionalFormatting>
  <conditionalFormatting sqref="O54">
    <cfRule type="cellIs" dxfId="0" priority="417" operator="lessThan">
      <formula>F54</formula>
    </cfRule>
  </conditionalFormatting>
  <conditionalFormatting sqref="O55">
    <cfRule type="cellIs" dxfId="0" priority="421" operator="lessThan">
      <formula>F55</formula>
    </cfRule>
  </conditionalFormatting>
  <conditionalFormatting sqref="O56">
    <cfRule type="cellIs" dxfId="0" priority="425" operator="lessThan">
      <formula>F56</formula>
    </cfRule>
  </conditionalFormatting>
  <conditionalFormatting sqref="O57">
    <cfRule type="cellIs" dxfId="0" priority="429" operator="lessThan">
      <formula>F57</formula>
    </cfRule>
  </conditionalFormatting>
  <conditionalFormatting sqref="O58">
    <cfRule type="cellIs" dxfId="0" priority="433" operator="lessThan">
      <formula>F58</formula>
    </cfRule>
  </conditionalFormatting>
  <conditionalFormatting sqref="O59">
    <cfRule type="cellIs" dxfId="0" priority="437" operator="lessThan">
      <formula>F59</formula>
    </cfRule>
  </conditionalFormatting>
  <conditionalFormatting sqref="O60">
    <cfRule type="cellIs" dxfId="0" priority="441" operator="lessThan">
      <formula>F60</formula>
    </cfRule>
  </conditionalFormatting>
  <conditionalFormatting sqref="O61">
    <cfRule type="cellIs" dxfId="0" priority="445" operator="lessThan">
      <formula>F61</formula>
    </cfRule>
  </conditionalFormatting>
  <conditionalFormatting sqref="O62">
    <cfRule type="cellIs" dxfId="0" priority="449" operator="lessThan">
      <formula>F62</formula>
    </cfRule>
  </conditionalFormatting>
  <conditionalFormatting sqref="O63">
    <cfRule type="cellIs" dxfId="0" priority="453" operator="lessThan">
      <formula>F63</formula>
    </cfRule>
  </conditionalFormatting>
  <conditionalFormatting sqref="O64">
    <cfRule type="cellIs" dxfId="0" priority="457" operator="lessThan">
      <formula>F64</formula>
    </cfRule>
  </conditionalFormatting>
  <conditionalFormatting sqref="O65">
    <cfRule type="cellIs" dxfId="0" priority="461" operator="lessThan">
      <formula>F65</formula>
    </cfRule>
  </conditionalFormatting>
  <conditionalFormatting sqref="O66">
    <cfRule type="cellIs" dxfId="0" priority="465" operator="lessThan">
      <formula>F66</formula>
    </cfRule>
  </conditionalFormatting>
  <conditionalFormatting sqref="O67">
    <cfRule type="cellIs" dxfId="0" priority="469" operator="lessThan">
      <formula>F67</formula>
    </cfRule>
  </conditionalFormatting>
  <conditionalFormatting sqref="O68">
    <cfRule type="cellIs" dxfId="0" priority="473" operator="lessThan">
      <formula>F68</formula>
    </cfRule>
  </conditionalFormatting>
  <conditionalFormatting sqref="O69">
    <cfRule type="cellIs" dxfId="0" priority="477" operator="lessThan">
      <formula>F69</formula>
    </cfRule>
  </conditionalFormatting>
  <conditionalFormatting sqref="O70">
    <cfRule type="cellIs" dxfId="0" priority="481" operator="lessThan">
      <formula>F70</formula>
    </cfRule>
  </conditionalFormatting>
  <conditionalFormatting sqref="O71">
    <cfRule type="cellIs" dxfId="0" priority="485" operator="lessThan">
      <formula>F71</formula>
    </cfRule>
  </conditionalFormatting>
  <conditionalFormatting sqref="O72">
    <cfRule type="cellIs" dxfId="0" priority="489" operator="lessThan">
      <formula>F72</formula>
    </cfRule>
  </conditionalFormatting>
  <conditionalFormatting sqref="O73">
    <cfRule type="cellIs" dxfId="0" priority="493" operator="lessThan">
      <formula>F73</formula>
    </cfRule>
  </conditionalFormatting>
  <conditionalFormatting sqref="O74">
    <cfRule type="cellIs" dxfId="0" priority="497" operator="lessThan">
      <formula>F74</formula>
    </cfRule>
  </conditionalFormatting>
  <conditionalFormatting sqref="O75">
    <cfRule type="cellIs" dxfId="0" priority="501" operator="lessThan">
      <formula>F75</formula>
    </cfRule>
  </conditionalFormatting>
  <conditionalFormatting sqref="O76">
    <cfRule type="cellIs" dxfId="0" priority="505" operator="lessThan">
      <formula>F76</formula>
    </cfRule>
  </conditionalFormatting>
  <conditionalFormatting sqref="O77">
    <cfRule type="cellIs" dxfId="0" priority="509" operator="lessThan">
      <formula>F77</formula>
    </cfRule>
  </conditionalFormatting>
  <conditionalFormatting sqref="O78">
    <cfRule type="cellIs" dxfId="0" priority="513" operator="lessThan">
      <formula>F78</formula>
    </cfRule>
  </conditionalFormatting>
  <conditionalFormatting sqref="O79">
    <cfRule type="cellIs" dxfId="0" priority="517" operator="lessThan">
      <formula>F79</formula>
    </cfRule>
  </conditionalFormatting>
  <conditionalFormatting sqref="O80">
    <cfRule type="cellIs" dxfId="0" priority="521" operator="lessThan">
      <formula>F80</formula>
    </cfRule>
  </conditionalFormatting>
  <conditionalFormatting sqref="P10">
    <cfRule type="expression" dxfId="1" priority="254">
      <formula>AND(NOT(ISBLANK(P10)),OR(O10="NonStk",P10&gt;O10))</formula>
    </cfRule>
  </conditionalFormatting>
  <conditionalFormatting sqref="P11">
    <cfRule type="expression" dxfId="1" priority="258">
      <formula>AND(NOT(ISBLANK(P11)),OR(O11="NonStk",P11&gt;O11))</formula>
    </cfRule>
  </conditionalFormatting>
  <conditionalFormatting sqref="P12">
    <cfRule type="expression" dxfId="1" priority="262">
      <formula>AND(NOT(ISBLANK(P12)),OR(O12="NonStk",P12&gt;O12))</formula>
    </cfRule>
  </conditionalFormatting>
  <conditionalFormatting sqref="P13">
    <cfRule type="expression" dxfId="1" priority="266">
      <formula>AND(NOT(ISBLANK(P13)),OR(O13="NonStk",P13&gt;O13))</formula>
    </cfRule>
  </conditionalFormatting>
  <conditionalFormatting sqref="P14">
    <cfRule type="expression" dxfId="1" priority="270">
      <formula>AND(NOT(ISBLANK(P14)),OR(O14="NonStk",P14&gt;O14))</formula>
    </cfRule>
  </conditionalFormatting>
  <conditionalFormatting sqref="P15">
    <cfRule type="expression" dxfId="1" priority="274">
      <formula>AND(NOT(ISBLANK(P15)),OR(O15="NonStk",P15&gt;O15))</formula>
    </cfRule>
  </conditionalFormatting>
  <conditionalFormatting sqref="P16">
    <cfRule type="expression" dxfId="1" priority="278">
      <formula>AND(NOT(ISBLANK(P16)),OR(O16="NonStk",P16&gt;O16))</formula>
    </cfRule>
  </conditionalFormatting>
  <conditionalFormatting sqref="P17">
    <cfRule type="expression" dxfId="1" priority="282">
      <formula>AND(NOT(ISBLANK(P17)),OR(O17="NonStk",P17&gt;O17))</formula>
    </cfRule>
  </conditionalFormatting>
  <conditionalFormatting sqref="P18">
    <cfRule type="expression" dxfId="1" priority="286">
      <formula>AND(NOT(ISBLANK(P18)),OR(O18="NonStk",P18&gt;O18))</formula>
    </cfRule>
  </conditionalFormatting>
  <conditionalFormatting sqref="P19">
    <cfRule type="expression" dxfId="1" priority="290">
      <formula>AND(NOT(ISBLANK(P19)),OR(O19="NonStk",P19&gt;O19))</formula>
    </cfRule>
  </conditionalFormatting>
  <conditionalFormatting sqref="P20">
    <cfRule type="expression" dxfId="1" priority="294">
      <formula>AND(NOT(ISBLANK(P20)),OR(O20="NonStk",P20&gt;O20))</formula>
    </cfRule>
  </conditionalFormatting>
  <conditionalFormatting sqref="P21">
    <cfRule type="expression" dxfId="1" priority="298">
      <formula>AND(NOT(ISBLANK(P21)),OR(O21="NonStk",P21&gt;O21))</formula>
    </cfRule>
  </conditionalFormatting>
  <conditionalFormatting sqref="P22">
    <cfRule type="expression" dxfId="1" priority="302">
      <formula>AND(NOT(ISBLANK(P22)),OR(O22="NonStk",P22&gt;O22))</formula>
    </cfRule>
  </conditionalFormatting>
  <conditionalFormatting sqref="P23">
    <cfRule type="expression" dxfId="1" priority="306">
      <formula>AND(NOT(ISBLANK(P23)),OR(O23="NonStk",P23&gt;O23))</formula>
    </cfRule>
  </conditionalFormatting>
  <conditionalFormatting sqref="P24">
    <cfRule type="expression" dxfId="1" priority="310">
      <formula>AND(NOT(ISBLANK(P24)),OR(O24="NonStk",P24&gt;O24))</formula>
    </cfRule>
  </conditionalFormatting>
  <conditionalFormatting sqref="P25">
    <cfRule type="expression" dxfId="1" priority="314">
      <formula>AND(NOT(ISBLANK(P25)),OR(O25="NonStk",P25&gt;O25))</formula>
    </cfRule>
  </conditionalFormatting>
  <conditionalFormatting sqref="P26">
    <cfRule type="expression" dxfId="1" priority="318">
      <formula>AND(NOT(ISBLANK(P26)),OR(O26="NonStk",P26&gt;O26))</formula>
    </cfRule>
  </conditionalFormatting>
  <conditionalFormatting sqref="P27">
    <cfRule type="expression" dxfId="1" priority="322">
      <formula>AND(NOT(ISBLANK(P27)),OR(O27="NonStk",P27&gt;O27))</formula>
    </cfRule>
  </conditionalFormatting>
  <conditionalFormatting sqref="P28">
    <cfRule type="expression" dxfId="1" priority="326">
      <formula>AND(NOT(ISBLANK(P28)),OR(O28="NonStk",P28&gt;O28))</formula>
    </cfRule>
  </conditionalFormatting>
  <conditionalFormatting sqref="P29">
    <cfRule type="expression" dxfId="1" priority="330">
      <formula>AND(NOT(ISBLANK(P29)),OR(O29="NonStk",P29&gt;O29))</formula>
    </cfRule>
  </conditionalFormatting>
  <conditionalFormatting sqref="P30">
    <cfRule type="expression" dxfId="1" priority="334">
      <formula>AND(NOT(ISBLANK(P30)),OR(O30="NonStk",P30&gt;O30))</formula>
    </cfRule>
  </conditionalFormatting>
  <conditionalFormatting sqref="P31">
    <cfRule type="expression" dxfId="1" priority="338">
      <formula>AND(NOT(ISBLANK(P31)),OR(O31="NonStk",P31&gt;O31))</formula>
    </cfRule>
  </conditionalFormatting>
  <conditionalFormatting sqref="P32">
    <cfRule type="expression" dxfId="1" priority="342">
      <formula>AND(NOT(ISBLANK(P32)),OR(O32="NonStk",P32&gt;O32))</formula>
    </cfRule>
  </conditionalFormatting>
  <conditionalFormatting sqref="P33">
    <cfRule type="expression" dxfId="1" priority="346">
      <formula>AND(NOT(ISBLANK(P33)),OR(O33="NonStk",P33&gt;O33))</formula>
    </cfRule>
  </conditionalFormatting>
  <conditionalFormatting sqref="P34">
    <cfRule type="expression" dxfId="1" priority="350">
      <formula>AND(NOT(ISBLANK(P34)),OR(O34="NonStk",P34&gt;O34))</formula>
    </cfRule>
  </conditionalFormatting>
  <conditionalFormatting sqref="P35">
    <cfRule type="expression" dxfId="1" priority="354">
      <formula>AND(NOT(ISBLANK(P35)),OR(O35="NonStk",P35&gt;O35))</formula>
    </cfRule>
  </conditionalFormatting>
  <conditionalFormatting sqref="P36">
    <cfRule type="expression" dxfId="1" priority="358">
      <formula>AND(NOT(ISBLANK(P36)),OR(O36="NonStk",P36&gt;O36))</formula>
    </cfRule>
  </conditionalFormatting>
  <conditionalFormatting sqref="P37">
    <cfRule type="expression" dxfId="1" priority="362">
      <formula>AND(NOT(ISBLANK(P37)),OR(O37="NonStk",P37&gt;O37))</formula>
    </cfRule>
  </conditionalFormatting>
  <conditionalFormatting sqref="P38">
    <cfRule type="expression" dxfId="1" priority="366">
      <formula>AND(NOT(ISBLANK(P38)),OR(O38="NonStk",P38&gt;O38))</formula>
    </cfRule>
  </conditionalFormatting>
  <conditionalFormatting sqref="P39">
    <cfRule type="expression" dxfId="1" priority="370">
      <formula>AND(NOT(ISBLANK(P39)),OR(O39="NonStk",P39&gt;O39))</formula>
    </cfRule>
  </conditionalFormatting>
  <conditionalFormatting sqref="P40">
    <cfRule type="expression" dxfId="1" priority="374">
      <formula>AND(NOT(ISBLANK(P40)),OR(O40="NonStk",P40&gt;O40))</formula>
    </cfRule>
  </conditionalFormatting>
  <conditionalFormatting sqref="P41">
    <cfRule type="expression" dxfId="1" priority="378">
      <formula>AND(NOT(ISBLANK(P41)),OR(O41="NonStk",P41&gt;O41))</formula>
    </cfRule>
  </conditionalFormatting>
  <conditionalFormatting sqref="P42">
    <cfRule type="expression" dxfId="1" priority="382">
      <formula>AND(NOT(ISBLANK(P42)),OR(O42="NonStk",P42&gt;O42))</formula>
    </cfRule>
  </conditionalFormatting>
  <conditionalFormatting sqref="P43">
    <cfRule type="expression" dxfId="1" priority="386">
      <formula>AND(NOT(ISBLANK(P43)),OR(O43="NonStk",P43&gt;O43))</formula>
    </cfRule>
  </conditionalFormatting>
  <conditionalFormatting sqref="P44">
    <cfRule type="expression" dxfId="1" priority="390">
      <formula>AND(NOT(ISBLANK(P44)),OR(O44="NonStk",P44&gt;O44))</formula>
    </cfRule>
  </conditionalFormatting>
  <conditionalFormatting sqref="P45">
    <cfRule type="expression" dxfId="1" priority="394">
      <formula>AND(NOT(ISBLANK(P45)),OR(O45="NonStk",P45&gt;O45))</formula>
    </cfRule>
  </conditionalFormatting>
  <conditionalFormatting sqref="P46">
    <cfRule type="expression" dxfId="1" priority="398">
      <formula>AND(NOT(ISBLANK(P46)),OR(O46="NonStk",P46&gt;O46))</formula>
    </cfRule>
  </conditionalFormatting>
  <conditionalFormatting sqref="P50">
    <cfRule type="expression" dxfId="1" priority="402">
      <formula>AND(NOT(ISBLANK(P50)),OR(O50="NonStk",P50&gt;O50))</formula>
    </cfRule>
  </conditionalFormatting>
  <conditionalFormatting sqref="P51">
    <cfRule type="expression" dxfId="1" priority="406">
      <formula>AND(NOT(ISBLANK(P51)),OR(O51="NonStk",P51&gt;O51))</formula>
    </cfRule>
  </conditionalFormatting>
  <conditionalFormatting sqref="P52">
    <cfRule type="expression" dxfId="1" priority="410">
      <formula>AND(NOT(ISBLANK(P52)),OR(O52="NonStk",P52&gt;O52))</formula>
    </cfRule>
  </conditionalFormatting>
  <conditionalFormatting sqref="P53">
    <cfRule type="expression" dxfId="1" priority="414">
      <formula>AND(NOT(ISBLANK(P53)),OR(O53="NonStk",P53&gt;O53))</formula>
    </cfRule>
  </conditionalFormatting>
  <conditionalFormatting sqref="P54">
    <cfRule type="expression" dxfId="1" priority="418">
      <formula>AND(NOT(ISBLANK(P54)),OR(O54="NonStk",P54&gt;O54))</formula>
    </cfRule>
  </conditionalFormatting>
  <conditionalFormatting sqref="P55">
    <cfRule type="expression" dxfId="1" priority="422">
      <formula>AND(NOT(ISBLANK(P55)),OR(O55="NonStk",P55&gt;O55))</formula>
    </cfRule>
  </conditionalFormatting>
  <conditionalFormatting sqref="P56">
    <cfRule type="expression" dxfId="1" priority="426">
      <formula>AND(NOT(ISBLANK(P56)),OR(O56="NonStk",P56&gt;O56))</formula>
    </cfRule>
  </conditionalFormatting>
  <conditionalFormatting sqref="P57">
    <cfRule type="expression" dxfId="1" priority="430">
      <formula>AND(NOT(ISBLANK(P57)),OR(O57="NonStk",P57&gt;O57))</formula>
    </cfRule>
  </conditionalFormatting>
  <conditionalFormatting sqref="P58">
    <cfRule type="expression" dxfId="1" priority="434">
      <formula>AND(NOT(ISBLANK(P58)),OR(O58="NonStk",P58&gt;O58))</formula>
    </cfRule>
  </conditionalFormatting>
  <conditionalFormatting sqref="P59">
    <cfRule type="expression" dxfId="1" priority="438">
      <formula>AND(NOT(ISBLANK(P59)),OR(O59="NonStk",P59&gt;O59))</formula>
    </cfRule>
  </conditionalFormatting>
  <conditionalFormatting sqref="P60">
    <cfRule type="expression" dxfId="1" priority="442">
      <formula>AND(NOT(ISBLANK(P60)),OR(O60="NonStk",P60&gt;O60))</formula>
    </cfRule>
  </conditionalFormatting>
  <conditionalFormatting sqref="P61">
    <cfRule type="expression" dxfId="1" priority="446">
      <formula>AND(NOT(ISBLANK(P61)),OR(O61="NonStk",P61&gt;O61))</formula>
    </cfRule>
  </conditionalFormatting>
  <conditionalFormatting sqref="P62">
    <cfRule type="expression" dxfId="1" priority="450">
      <formula>AND(NOT(ISBLANK(P62)),OR(O62="NonStk",P62&gt;O62))</formula>
    </cfRule>
  </conditionalFormatting>
  <conditionalFormatting sqref="P63">
    <cfRule type="expression" dxfId="1" priority="454">
      <formula>AND(NOT(ISBLANK(P63)),OR(O63="NonStk",P63&gt;O63))</formula>
    </cfRule>
  </conditionalFormatting>
  <conditionalFormatting sqref="P64">
    <cfRule type="expression" dxfId="1" priority="458">
      <formula>AND(NOT(ISBLANK(P64)),OR(O64="NonStk",P64&gt;O64))</formula>
    </cfRule>
  </conditionalFormatting>
  <conditionalFormatting sqref="P65">
    <cfRule type="expression" dxfId="1" priority="462">
      <formula>AND(NOT(ISBLANK(P65)),OR(O65="NonStk",P65&gt;O65))</formula>
    </cfRule>
  </conditionalFormatting>
  <conditionalFormatting sqref="P66">
    <cfRule type="expression" dxfId="1" priority="466">
      <formula>AND(NOT(ISBLANK(P66)),OR(O66="NonStk",P66&gt;O66))</formula>
    </cfRule>
  </conditionalFormatting>
  <conditionalFormatting sqref="P67">
    <cfRule type="expression" dxfId="1" priority="470">
      <formula>AND(NOT(ISBLANK(P67)),OR(O67="NonStk",P67&gt;O67))</formula>
    </cfRule>
  </conditionalFormatting>
  <conditionalFormatting sqref="P68">
    <cfRule type="expression" dxfId="1" priority="474">
      <formula>AND(NOT(ISBLANK(P68)),OR(O68="NonStk",P68&gt;O68))</formula>
    </cfRule>
  </conditionalFormatting>
  <conditionalFormatting sqref="P69">
    <cfRule type="expression" dxfId="1" priority="478">
      <formula>AND(NOT(ISBLANK(P69)),OR(O69="NonStk",P69&gt;O69))</formula>
    </cfRule>
  </conditionalFormatting>
  <conditionalFormatting sqref="P70">
    <cfRule type="expression" dxfId="1" priority="482">
      <formula>AND(NOT(ISBLANK(P70)),OR(O70="NonStk",P70&gt;O70))</formula>
    </cfRule>
  </conditionalFormatting>
  <conditionalFormatting sqref="P71">
    <cfRule type="expression" dxfId="1" priority="486">
      <formula>AND(NOT(ISBLANK(P71)),OR(O71="NonStk",P71&gt;O71))</formula>
    </cfRule>
  </conditionalFormatting>
  <conditionalFormatting sqref="P72">
    <cfRule type="expression" dxfId="1" priority="490">
      <formula>AND(NOT(ISBLANK(P72)),OR(O72="NonStk",P72&gt;O72))</formula>
    </cfRule>
  </conditionalFormatting>
  <conditionalFormatting sqref="P73">
    <cfRule type="expression" dxfId="1" priority="494">
      <formula>AND(NOT(ISBLANK(P73)),OR(O73="NonStk",P73&gt;O73))</formula>
    </cfRule>
  </conditionalFormatting>
  <conditionalFormatting sqref="P74">
    <cfRule type="expression" dxfId="1" priority="498">
      <formula>AND(NOT(ISBLANK(P74)),OR(O74="NonStk",P74&gt;O74))</formula>
    </cfRule>
  </conditionalFormatting>
  <conditionalFormatting sqref="P75">
    <cfRule type="expression" dxfId="1" priority="502">
      <formula>AND(NOT(ISBLANK(P75)),OR(O75="NonStk",P75&gt;O75))</formula>
    </cfRule>
  </conditionalFormatting>
  <conditionalFormatting sqref="P76">
    <cfRule type="expression" dxfId="1" priority="506">
      <formula>AND(NOT(ISBLANK(P76)),OR(O76="NonStk",P76&gt;O76))</formula>
    </cfRule>
  </conditionalFormatting>
  <conditionalFormatting sqref="P77">
    <cfRule type="expression" dxfId="1" priority="510">
      <formula>AND(NOT(ISBLANK(P77)),OR(O77="NonStk",P77&gt;O77))</formula>
    </cfRule>
  </conditionalFormatting>
  <conditionalFormatting sqref="P78">
    <cfRule type="expression" dxfId="1" priority="514">
      <formula>AND(NOT(ISBLANK(P78)),OR(O78="NonStk",P78&gt;O78))</formula>
    </cfRule>
  </conditionalFormatting>
  <conditionalFormatting sqref="P79">
    <cfRule type="expression" dxfId="1" priority="518">
      <formula>AND(NOT(ISBLANK(P79)),OR(O79="NonStk",P79&gt;O79))</formula>
    </cfRule>
  </conditionalFormatting>
  <conditionalFormatting sqref="P80">
    <cfRule type="expression" dxfId="1" priority="522">
      <formula>AND(NOT(ISBLANK(P80)),OR(O80="NonStk",P80&gt;O80))</formula>
    </cfRule>
  </conditionalFormatting>
  <conditionalFormatting sqref="Q10">
    <cfRule type="cellIs" dxfId="2" priority="256" operator="lessThanOrEqual">
      <formula>G10</formula>
    </cfRule>
  </conditionalFormatting>
  <conditionalFormatting sqref="Q11">
    <cfRule type="cellIs" dxfId="2" priority="260" operator="lessThanOrEqual">
      <formula>G11</formula>
    </cfRule>
  </conditionalFormatting>
  <conditionalFormatting sqref="Q12">
    <cfRule type="cellIs" dxfId="2" priority="264" operator="lessThanOrEqual">
      <formula>G12</formula>
    </cfRule>
  </conditionalFormatting>
  <conditionalFormatting sqref="Q13">
    <cfRule type="cellIs" dxfId="2" priority="268" operator="lessThanOrEqual">
      <formula>G13</formula>
    </cfRule>
  </conditionalFormatting>
  <conditionalFormatting sqref="Q14">
    <cfRule type="cellIs" dxfId="2" priority="272" operator="lessThanOrEqual">
      <formula>G14</formula>
    </cfRule>
  </conditionalFormatting>
  <conditionalFormatting sqref="Q15">
    <cfRule type="cellIs" dxfId="2" priority="276" operator="lessThanOrEqual">
      <formula>G15</formula>
    </cfRule>
  </conditionalFormatting>
  <conditionalFormatting sqref="Q16">
    <cfRule type="cellIs" dxfId="2" priority="280" operator="lessThanOrEqual">
      <formula>G16</formula>
    </cfRule>
  </conditionalFormatting>
  <conditionalFormatting sqref="Q17">
    <cfRule type="cellIs" dxfId="2" priority="284" operator="lessThanOrEqual">
      <formula>G17</formula>
    </cfRule>
  </conditionalFormatting>
  <conditionalFormatting sqref="Q18">
    <cfRule type="cellIs" dxfId="2" priority="288" operator="lessThanOrEqual">
      <formula>G18</formula>
    </cfRule>
  </conditionalFormatting>
  <conditionalFormatting sqref="Q19">
    <cfRule type="cellIs" dxfId="2" priority="292" operator="lessThanOrEqual">
      <formula>G19</formula>
    </cfRule>
  </conditionalFormatting>
  <conditionalFormatting sqref="Q20">
    <cfRule type="cellIs" dxfId="2" priority="296" operator="lessThanOrEqual">
      <formula>G20</formula>
    </cfRule>
  </conditionalFormatting>
  <conditionalFormatting sqref="Q21">
    <cfRule type="cellIs" dxfId="2" priority="300" operator="lessThanOrEqual">
      <formula>G21</formula>
    </cfRule>
  </conditionalFormatting>
  <conditionalFormatting sqref="Q22">
    <cfRule type="cellIs" dxfId="2" priority="304" operator="lessThanOrEqual">
      <formula>G22</formula>
    </cfRule>
  </conditionalFormatting>
  <conditionalFormatting sqref="Q23">
    <cfRule type="cellIs" dxfId="2" priority="308" operator="lessThanOrEqual">
      <formula>G23</formula>
    </cfRule>
  </conditionalFormatting>
  <conditionalFormatting sqref="Q24">
    <cfRule type="cellIs" dxfId="2" priority="312" operator="lessThanOrEqual">
      <formula>G24</formula>
    </cfRule>
  </conditionalFormatting>
  <conditionalFormatting sqref="Q25">
    <cfRule type="cellIs" dxfId="2" priority="316" operator="lessThanOrEqual">
      <formula>G25</formula>
    </cfRule>
  </conditionalFormatting>
  <conditionalFormatting sqref="Q26">
    <cfRule type="cellIs" dxfId="2" priority="320" operator="lessThanOrEqual">
      <formula>G26</formula>
    </cfRule>
  </conditionalFormatting>
  <conditionalFormatting sqref="Q27">
    <cfRule type="cellIs" dxfId="2" priority="324" operator="lessThanOrEqual">
      <formula>G27</formula>
    </cfRule>
  </conditionalFormatting>
  <conditionalFormatting sqref="Q28">
    <cfRule type="cellIs" dxfId="2" priority="328" operator="lessThanOrEqual">
      <formula>G28</formula>
    </cfRule>
  </conditionalFormatting>
  <conditionalFormatting sqref="Q29">
    <cfRule type="cellIs" dxfId="2" priority="332" operator="lessThanOrEqual">
      <formula>G29</formula>
    </cfRule>
  </conditionalFormatting>
  <conditionalFormatting sqref="Q30">
    <cfRule type="cellIs" dxfId="2" priority="336" operator="lessThanOrEqual">
      <formula>G30</formula>
    </cfRule>
  </conditionalFormatting>
  <conditionalFormatting sqref="Q31">
    <cfRule type="cellIs" dxfId="2" priority="340" operator="lessThanOrEqual">
      <formula>G31</formula>
    </cfRule>
  </conditionalFormatting>
  <conditionalFormatting sqref="Q32">
    <cfRule type="cellIs" dxfId="2" priority="344" operator="lessThanOrEqual">
      <formula>G32</formula>
    </cfRule>
  </conditionalFormatting>
  <conditionalFormatting sqref="Q33">
    <cfRule type="cellIs" dxfId="2" priority="348" operator="lessThanOrEqual">
      <formula>G33</formula>
    </cfRule>
  </conditionalFormatting>
  <conditionalFormatting sqref="Q34">
    <cfRule type="cellIs" dxfId="2" priority="352" operator="lessThanOrEqual">
      <formula>G34</formula>
    </cfRule>
  </conditionalFormatting>
  <conditionalFormatting sqref="Q35">
    <cfRule type="cellIs" dxfId="2" priority="356" operator="lessThanOrEqual">
      <formula>G35</formula>
    </cfRule>
  </conditionalFormatting>
  <conditionalFormatting sqref="Q36">
    <cfRule type="cellIs" dxfId="2" priority="360" operator="lessThanOrEqual">
      <formula>G36</formula>
    </cfRule>
  </conditionalFormatting>
  <conditionalFormatting sqref="Q37">
    <cfRule type="cellIs" dxfId="2" priority="364" operator="lessThanOrEqual">
      <formula>G37</formula>
    </cfRule>
  </conditionalFormatting>
  <conditionalFormatting sqref="Q38">
    <cfRule type="cellIs" dxfId="2" priority="368" operator="lessThanOrEqual">
      <formula>G38</formula>
    </cfRule>
  </conditionalFormatting>
  <conditionalFormatting sqref="Q39">
    <cfRule type="cellIs" dxfId="2" priority="372" operator="lessThanOrEqual">
      <formula>G39</formula>
    </cfRule>
  </conditionalFormatting>
  <conditionalFormatting sqref="Q40">
    <cfRule type="cellIs" dxfId="2" priority="376" operator="lessThanOrEqual">
      <formula>G40</formula>
    </cfRule>
  </conditionalFormatting>
  <conditionalFormatting sqref="Q41">
    <cfRule type="cellIs" dxfId="2" priority="380" operator="lessThanOrEqual">
      <formula>G41</formula>
    </cfRule>
  </conditionalFormatting>
  <conditionalFormatting sqref="Q42">
    <cfRule type="cellIs" dxfId="2" priority="384" operator="lessThanOrEqual">
      <formula>G42</formula>
    </cfRule>
  </conditionalFormatting>
  <conditionalFormatting sqref="Q43">
    <cfRule type="cellIs" dxfId="2" priority="388" operator="lessThanOrEqual">
      <formula>G43</formula>
    </cfRule>
  </conditionalFormatting>
  <conditionalFormatting sqref="Q44">
    <cfRule type="cellIs" dxfId="2" priority="392" operator="lessThanOrEqual">
      <formula>G44</formula>
    </cfRule>
  </conditionalFormatting>
  <conditionalFormatting sqref="Q45">
    <cfRule type="cellIs" dxfId="2" priority="396" operator="lessThanOrEqual">
      <formula>G45</formula>
    </cfRule>
  </conditionalFormatting>
  <conditionalFormatting sqref="Q46">
    <cfRule type="cellIs" dxfId="2" priority="400" operator="lessThanOrEqual">
      <formula>G46</formula>
    </cfRule>
  </conditionalFormatting>
  <conditionalFormatting sqref="Q50">
    <cfRule type="cellIs" dxfId="2" priority="404" operator="lessThanOrEqual">
      <formula>G50</formula>
    </cfRule>
  </conditionalFormatting>
  <conditionalFormatting sqref="Q51">
    <cfRule type="cellIs" dxfId="2" priority="408" operator="lessThanOrEqual">
      <formula>G51</formula>
    </cfRule>
  </conditionalFormatting>
  <conditionalFormatting sqref="Q52">
    <cfRule type="cellIs" dxfId="2" priority="412" operator="lessThanOrEqual">
      <formula>G52</formula>
    </cfRule>
  </conditionalFormatting>
  <conditionalFormatting sqref="Q53">
    <cfRule type="cellIs" dxfId="2" priority="416" operator="lessThanOrEqual">
      <formula>G53</formula>
    </cfRule>
  </conditionalFormatting>
  <conditionalFormatting sqref="Q54">
    <cfRule type="cellIs" dxfId="2" priority="420" operator="lessThanOrEqual">
      <formula>G54</formula>
    </cfRule>
  </conditionalFormatting>
  <conditionalFormatting sqref="Q55">
    <cfRule type="cellIs" dxfId="2" priority="424" operator="lessThanOrEqual">
      <formula>G55</formula>
    </cfRule>
  </conditionalFormatting>
  <conditionalFormatting sqref="Q56">
    <cfRule type="cellIs" dxfId="2" priority="428" operator="lessThanOrEqual">
      <formula>G56</formula>
    </cfRule>
  </conditionalFormatting>
  <conditionalFormatting sqref="Q57">
    <cfRule type="cellIs" dxfId="2" priority="432" operator="lessThanOrEqual">
      <formula>G57</formula>
    </cfRule>
  </conditionalFormatting>
  <conditionalFormatting sqref="Q58">
    <cfRule type="cellIs" dxfId="2" priority="436" operator="lessThanOrEqual">
      <formula>G58</formula>
    </cfRule>
  </conditionalFormatting>
  <conditionalFormatting sqref="Q59">
    <cfRule type="cellIs" dxfId="2" priority="440" operator="lessThanOrEqual">
      <formula>G59</formula>
    </cfRule>
  </conditionalFormatting>
  <conditionalFormatting sqref="Q60">
    <cfRule type="cellIs" dxfId="2" priority="444" operator="lessThanOrEqual">
      <formula>G60</formula>
    </cfRule>
  </conditionalFormatting>
  <conditionalFormatting sqref="Q61">
    <cfRule type="cellIs" dxfId="2" priority="448" operator="lessThanOrEqual">
      <formula>G61</formula>
    </cfRule>
  </conditionalFormatting>
  <conditionalFormatting sqref="Q62">
    <cfRule type="cellIs" dxfId="2" priority="452" operator="lessThanOrEqual">
      <formula>G62</formula>
    </cfRule>
  </conditionalFormatting>
  <conditionalFormatting sqref="Q63">
    <cfRule type="cellIs" dxfId="2" priority="456" operator="lessThanOrEqual">
      <formula>G63</formula>
    </cfRule>
  </conditionalFormatting>
  <conditionalFormatting sqref="Q64">
    <cfRule type="cellIs" dxfId="2" priority="460" operator="lessThanOrEqual">
      <formula>G64</formula>
    </cfRule>
  </conditionalFormatting>
  <conditionalFormatting sqref="Q65">
    <cfRule type="cellIs" dxfId="2" priority="464" operator="lessThanOrEqual">
      <formula>G65</formula>
    </cfRule>
  </conditionalFormatting>
  <conditionalFormatting sqref="Q66">
    <cfRule type="cellIs" dxfId="2" priority="468" operator="lessThanOrEqual">
      <formula>G66</formula>
    </cfRule>
  </conditionalFormatting>
  <conditionalFormatting sqref="Q67">
    <cfRule type="cellIs" dxfId="2" priority="472" operator="lessThanOrEqual">
      <formula>G67</formula>
    </cfRule>
  </conditionalFormatting>
  <conditionalFormatting sqref="Q68">
    <cfRule type="cellIs" dxfId="2" priority="476" operator="lessThanOrEqual">
      <formula>G68</formula>
    </cfRule>
  </conditionalFormatting>
  <conditionalFormatting sqref="Q69">
    <cfRule type="cellIs" dxfId="2" priority="480" operator="lessThanOrEqual">
      <formula>G69</formula>
    </cfRule>
  </conditionalFormatting>
  <conditionalFormatting sqref="Q70">
    <cfRule type="cellIs" dxfId="2" priority="484" operator="lessThanOrEqual">
      <formula>G70</formula>
    </cfRule>
  </conditionalFormatting>
  <conditionalFormatting sqref="Q71">
    <cfRule type="cellIs" dxfId="2" priority="488" operator="lessThanOrEqual">
      <formula>G71</formula>
    </cfRule>
  </conditionalFormatting>
  <conditionalFormatting sqref="Q72">
    <cfRule type="cellIs" dxfId="2" priority="492" operator="lessThanOrEqual">
      <formula>G72</formula>
    </cfRule>
  </conditionalFormatting>
  <conditionalFormatting sqref="Q73">
    <cfRule type="cellIs" dxfId="2" priority="496" operator="lessThanOrEqual">
      <formula>G73</formula>
    </cfRule>
  </conditionalFormatting>
  <conditionalFormatting sqref="Q74">
    <cfRule type="cellIs" dxfId="2" priority="500" operator="lessThanOrEqual">
      <formula>G74</formula>
    </cfRule>
  </conditionalFormatting>
  <conditionalFormatting sqref="Q75">
    <cfRule type="cellIs" dxfId="2" priority="504" operator="lessThanOrEqual">
      <formula>G75</formula>
    </cfRule>
  </conditionalFormatting>
  <conditionalFormatting sqref="Q76">
    <cfRule type="cellIs" dxfId="2" priority="508" operator="lessThanOrEqual">
      <formula>G76</formula>
    </cfRule>
  </conditionalFormatting>
  <conditionalFormatting sqref="Q77">
    <cfRule type="cellIs" dxfId="2" priority="512" operator="lessThanOrEqual">
      <formula>G77</formula>
    </cfRule>
  </conditionalFormatting>
  <conditionalFormatting sqref="Q78">
    <cfRule type="cellIs" dxfId="2" priority="516" operator="lessThanOrEqual">
      <formula>G78</formula>
    </cfRule>
  </conditionalFormatting>
  <conditionalFormatting sqref="Q79">
    <cfRule type="cellIs" dxfId="2" priority="520" operator="lessThanOrEqual">
      <formula>G79</formula>
    </cfRule>
  </conditionalFormatting>
  <conditionalFormatting sqref="Q80">
    <cfRule type="cellIs" dxfId="2" priority="524" operator="lessThanOrEqual">
      <formula>G80</formula>
    </cfRule>
  </conditionalFormatting>
  <conditionalFormatting sqref="S10">
    <cfRule type="cellIs" dxfId="2" priority="255" operator="lessThanOrEqual">
      <formula>H10</formula>
    </cfRule>
  </conditionalFormatting>
  <conditionalFormatting sqref="S11">
    <cfRule type="cellIs" dxfId="2" priority="259" operator="lessThanOrEqual">
      <formula>H11</formula>
    </cfRule>
  </conditionalFormatting>
  <conditionalFormatting sqref="S12">
    <cfRule type="cellIs" dxfId="2" priority="263" operator="lessThanOrEqual">
      <formula>H12</formula>
    </cfRule>
  </conditionalFormatting>
  <conditionalFormatting sqref="S13">
    <cfRule type="cellIs" dxfId="2" priority="267" operator="lessThanOrEqual">
      <formula>H13</formula>
    </cfRule>
  </conditionalFormatting>
  <conditionalFormatting sqref="S14">
    <cfRule type="cellIs" dxfId="2" priority="271" operator="lessThanOrEqual">
      <formula>H14</formula>
    </cfRule>
  </conditionalFormatting>
  <conditionalFormatting sqref="S15">
    <cfRule type="cellIs" dxfId="2" priority="275" operator="lessThanOrEqual">
      <formula>H15</formula>
    </cfRule>
  </conditionalFormatting>
  <conditionalFormatting sqref="S16">
    <cfRule type="cellIs" dxfId="2" priority="279" operator="lessThanOrEqual">
      <formula>H16</formula>
    </cfRule>
  </conditionalFormatting>
  <conditionalFormatting sqref="S17">
    <cfRule type="cellIs" dxfId="2" priority="283" operator="lessThanOrEqual">
      <formula>H17</formula>
    </cfRule>
  </conditionalFormatting>
  <conditionalFormatting sqref="S18">
    <cfRule type="cellIs" dxfId="2" priority="287" operator="lessThanOrEqual">
      <formula>H18</formula>
    </cfRule>
  </conditionalFormatting>
  <conditionalFormatting sqref="S19">
    <cfRule type="cellIs" dxfId="2" priority="291" operator="lessThanOrEqual">
      <formula>H19</formula>
    </cfRule>
  </conditionalFormatting>
  <conditionalFormatting sqref="S20">
    <cfRule type="cellIs" dxfId="2" priority="295" operator="lessThanOrEqual">
      <formula>H20</formula>
    </cfRule>
  </conditionalFormatting>
  <conditionalFormatting sqref="S21">
    <cfRule type="cellIs" dxfId="2" priority="299" operator="lessThanOrEqual">
      <formula>H21</formula>
    </cfRule>
  </conditionalFormatting>
  <conditionalFormatting sqref="S22">
    <cfRule type="cellIs" dxfId="2" priority="303" operator="lessThanOrEqual">
      <formula>H22</formula>
    </cfRule>
  </conditionalFormatting>
  <conditionalFormatting sqref="S23">
    <cfRule type="cellIs" dxfId="2" priority="307" operator="lessThanOrEqual">
      <formula>H23</formula>
    </cfRule>
  </conditionalFormatting>
  <conditionalFormatting sqref="S24">
    <cfRule type="cellIs" dxfId="2" priority="311" operator="lessThanOrEqual">
      <formula>H24</formula>
    </cfRule>
  </conditionalFormatting>
  <conditionalFormatting sqref="S25">
    <cfRule type="cellIs" dxfId="2" priority="315" operator="lessThanOrEqual">
      <formula>H25</formula>
    </cfRule>
  </conditionalFormatting>
  <conditionalFormatting sqref="S26">
    <cfRule type="cellIs" dxfId="2" priority="319" operator="lessThanOrEqual">
      <formula>H26</formula>
    </cfRule>
  </conditionalFormatting>
  <conditionalFormatting sqref="S27">
    <cfRule type="cellIs" dxfId="2" priority="323" operator="lessThanOrEqual">
      <formula>H27</formula>
    </cfRule>
  </conditionalFormatting>
  <conditionalFormatting sqref="S28">
    <cfRule type="cellIs" dxfId="2" priority="327" operator="lessThanOrEqual">
      <formula>H28</formula>
    </cfRule>
  </conditionalFormatting>
  <conditionalFormatting sqref="S29">
    <cfRule type="cellIs" dxfId="2" priority="331" operator="lessThanOrEqual">
      <formula>H29</formula>
    </cfRule>
  </conditionalFormatting>
  <conditionalFormatting sqref="S30">
    <cfRule type="cellIs" dxfId="2" priority="335" operator="lessThanOrEqual">
      <formula>H30</formula>
    </cfRule>
  </conditionalFormatting>
  <conditionalFormatting sqref="S31">
    <cfRule type="cellIs" dxfId="2" priority="339" operator="lessThanOrEqual">
      <formula>H31</formula>
    </cfRule>
  </conditionalFormatting>
  <conditionalFormatting sqref="S32">
    <cfRule type="cellIs" dxfId="2" priority="343" operator="lessThanOrEqual">
      <formula>H32</formula>
    </cfRule>
  </conditionalFormatting>
  <conditionalFormatting sqref="S33">
    <cfRule type="cellIs" dxfId="2" priority="347" operator="lessThanOrEqual">
      <formula>H33</formula>
    </cfRule>
  </conditionalFormatting>
  <conditionalFormatting sqref="S34">
    <cfRule type="cellIs" dxfId="2" priority="351" operator="lessThanOrEqual">
      <formula>H34</formula>
    </cfRule>
  </conditionalFormatting>
  <conditionalFormatting sqref="S35">
    <cfRule type="cellIs" dxfId="2" priority="355" operator="lessThanOrEqual">
      <formula>H35</formula>
    </cfRule>
  </conditionalFormatting>
  <conditionalFormatting sqref="S36">
    <cfRule type="cellIs" dxfId="2" priority="359" operator="lessThanOrEqual">
      <formula>H36</formula>
    </cfRule>
  </conditionalFormatting>
  <conditionalFormatting sqref="S37">
    <cfRule type="cellIs" dxfId="2" priority="363" operator="lessThanOrEqual">
      <formula>H37</formula>
    </cfRule>
  </conditionalFormatting>
  <conditionalFormatting sqref="S38">
    <cfRule type="cellIs" dxfId="2" priority="367" operator="lessThanOrEqual">
      <formula>H38</formula>
    </cfRule>
  </conditionalFormatting>
  <conditionalFormatting sqref="S39">
    <cfRule type="cellIs" dxfId="2" priority="371" operator="lessThanOrEqual">
      <formula>H39</formula>
    </cfRule>
  </conditionalFormatting>
  <conditionalFormatting sqref="S40">
    <cfRule type="cellIs" dxfId="2" priority="375" operator="lessThanOrEqual">
      <formula>H40</formula>
    </cfRule>
  </conditionalFormatting>
  <conditionalFormatting sqref="S41">
    <cfRule type="cellIs" dxfId="2" priority="379" operator="lessThanOrEqual">
      <formula>H41</formula>
    </cfRule>
  </conditionalFormatting>
  <conditionalFormatting sqref="S42">
    <cfRule type="cellIs" dxfId="2" priority="383" operator="lessThanOrEqual">
      <formula>H42</formula>
    </cfRule>
  </conditionalFormatting>
  <conditionalFormatting sqref="S43">
    <cfRule type="cellIs" dxfId="2" priority="387" operator="lessThanOrEqual">
      <formula>H43</formula>
    </cfRule>
  </conditionalFormatting>
  <conditionalFormatting sqref="S44">
    <cfRule type="cellIs" dxfId="2" priority="391" operator="lessThanOrEqual">
      <formula>H44</formula>
    </cfRule>
  </conditionalFormatting>
  <conditionalFormatting sqref="S45">
    <cfRule type="cellIs" dxfId="2" priority="395" operator="lessThanOrEqual">
      <formula>H45</formula>
    </cfRule>
  </conditionalFormatting>
  <conditionalFormatting sqref="S46">
    <cfRule type="cellIs" dxfId="2" priority="399" operator="lessThanOrEqual">
      <formula>H46</formula>
    </cfRule>
  </conditionalFormatting>
  <conditionalFormatting sqref="S50">
    <cfRule type="cellIs" dxfId="2" priority="403" operator="lessThanOrEqual">
      <formula>H50</formula>
    </cfRule>
  </conditionalFormatting>
  <conditionalFormatting sqref="S51">
    <cfRule type="cellIs" dxfId="2" priority="407" operator="lessThanOrEqual">
      <formula>H51</formula>
    </cfRule>
  </conditionalFormatting>
  <conditionalFormatting sqref="S52">
    <cfRule type="cellIs" dxfId="2" priority="411" operator="lessThanOrEqual">
      <formula>H52</formula>
    </cfRule>
  </conditionalFormatting>
  <conditionalFormatting sqref="S53">
    <cfRule type="cellIs" dxfId="2" priority="415" operator="lessThanOrEqual">
      <formula>H53</formula>
    </cfRule>
  </conditionalFormatting>
  <conditionalFormatting sqref="S54">
    <cfRule type="cellIs" dxfId="2" priority="419" operator="lessThanOrEqual">
      <formula>H54</formula>
    </cfRule>
  </conditionalFormatting>
  <conditionalFormatting sqref="S55">
    <cfRule type="cellIs" dxfId="2" priority="423" operator="lessThanOrEqual">
      <formula>H55</formula>
    </cfRule>
  </conditionalFormatting>
  <conditionalFormatting sqref="S56">
    <cfRule type="cellIs" dxfId="2" priority="427" operator="lessThanOrEqual">
      <formula>H56</formula>
    </cfRule>
  </conditionalFormatting>
  <conditionalFormatting sqref="S57">
    <cfRule type="cellIs" dxfId="2" priority="431" operator="lessThanOrEqual">
      <formula>H57</formula>
    </cfRule>
  </conditionalFormatting>
  <conditionalFormatting sqref="S58">
    <cfRule type="cellIs" dxfId="2" priority="435" operator="lessThanOrEqual">
      <formula>H58</formula>
    </cfRule>
  </conditionalFormatting>
  <conditionalFormatting sqref="S59">
    <cfRule type="cellIs" dxfId="2" priority="439" operator="lessThanOrEqual">
      <formula>H59</formula>
    </cfRule>
  </conditionalFormatting>
  <conditionalFormatting sqref="S60">
    <cfRule type="cellIs" dxfId="2" priority="443" operator="lessThanOrEqual">
      <formula>H60</formula>
    </cfRule>
  </conditionalFormatting>
  <conditionalFormatting sqref="S61">
    <cfRule type="cellIs" dxfId="2" priority="447" operator="lessThanOrEqual">
      <formula>H61</formula>
    </cfRule>
  </conditionalFormatting>
  <conditionalFormatting sqref="S62">
    <cfRule type="cellIs" dxfId="2" priority="451" operator="lessThanOrEqual">
      <formula>H62</formula>
    </cfRule>
  </conditionalFormatting>
  <conditionalFormatting sqref="S63">
    <cfRule type="cellIs" dxfId="2" priority="455" operator="lessThanOrEqual">
      <formula>H63</formula>
    </cfRule>
  </conditionalFormatting>
  <conditionalFormatting sqref="S64">
    <cfRule type="cellIs" dxfId="2" priority="459" operator="lessThanOrEqual">
      <formula>H64</formula>
    </cfRule>
  </conditionalFormatting>
  <conditionalFormatting sqref="S65">
    <cfRule type="cellIs" dxfId="2" priority="463" operator="lessThanOrEqual">
      <formula>H65</formula>
    </cfRule>
  </conditionalFormatting>
  <conditionalFormatting sqref="S66">
    <cfRule type="cellIs" dxfId="2" priority="467" operator="lessThanOrEqual">
      <formula>H66</formula>
    </cfRule>
  </conditionalFormatting>
  <conditionalFormatting sqref="S67">
    <cfRule type="cellIs" dxfId="2" priority="471" operator="lessThanOrEqual">
      <formula>H67</formula>
    </cfRule>
  </conditionalFormatting>
  <conditionalFormatting sqref="S68">
    <cfRule type="cellIs" dxfId="2" priority="475" operator="lessThanOrEqual">
      <formula>H68</formula>
    </cfRule>
  </conditionalFormatting>
  <conditionalFormatting sqref="S69">
    <cfRule type="cellIs" dxfId="2" priority="479" operator="lessThanOrEqual">
      <formula>H69</formula>
    </cfRule>
  </conditionalFormatting>
  <conditionalFormatting sqref="S70">
    <cfRule type="cellIs" dxfId="2" priority="483" operator="lessThanOrEqual">
      <formula>H70</formula>
    </cfRule>
  </conditionalFormatting>
  <conditionalFormatting sqref="S71">
    <cfRule type="cellIs" dxfId="2" priority="487" operator="lessThanOrEqual">
      <formula>H71</formula>
    </cfRule>
  </conditionalFormatting>
  <conditionalFormatting sqref="S72">
    <cfRule type="cellIs" dxfId="2" priority="491" operator="lessThanOrEqual">
      <formula>H72</formula>
    </cfRule>
  </conditionalFormatting>
  <conditionalFormatting sqref="S73">
    <cfRule type="cellIs" dxfId="2" priority="495" operator="lessThanOrEqual">
      <formula>H73</formula>
    </cfRule>
  </conditionalFormatting>
  <conditionalFormatting sqref="S74">
    <cfRule type="cellIs" dxfId="2" priority="499" operator="lessThanOrEqual">
      <formula>H74</formula>
    </cfRule>
  </conditionalFormatting>
  <conditionalFormatting sqref="S75">
    <cfRule type="cellIs" dxfId="2" priority="503" operator="lessThanOrEqual">
      <formula>H75</formula>
    </cfRule>
  </conditionalFormatting>
  <conditionalFormatting sqref="S76">
    <cfRule type="cellIs" dxfId="2" priority="507" operator="lessThanOrEqual">
      <formula>H76</formula>
    </cfRule>
  </conditionalFormatting>
  <conditionalFormatting sqref="S77">
    <cfRule type="cellIs" dxfId="2" priority="511" operator="lessThanOrEqual">
      <formula>H77</formula>
    </cfRule>
  </conditionalFormatting>
  <conditionalFormatting sqref="S78">
    <cfRule type="cellIs" dxfId="2" priority="515" operator="lessThanOrEqual">
      <formula>H78</formula>
    </cfRule>
  </conditionalFormatting>
  <conditionalFormatting sqref="S79">
    <cfRule type="cellIs" dxfId="2" priority="519" operator="lessThanOrEqual">
      <formula>H79</formula>
    </cfRule>
  </conditionalFormatting>
  <conditionalFormatting sqref="S80">
    <cfRule type="cellIs" dxfId="2" priority="523" operator="lessThanOrEqual">
      <formula>H80</formula>
    </cfRule>
  </conditionalFormatting>
  <conditionalFormatting sqref="U12">
    <cfRule type="cellIs" dxfId="0" priority="525" operator="lessThan">
      <formula>F12</formula>
    </cfRule>
  </conditionalFormatting>
  <conditionalFormatting sqref="U14">
    <cfRule type="cellIs" dxfId="0" priority="529" operator="lessThan">
      <formula>F14</formula>
    </cfRule>
  </conditionalFormatting>
  <conditionalFormatting sqref="U15">
    <cfRule type="cellIs" dxfId="0" priority="533" operator="lessThan">
      <formula>F15</formula>
    </cfRule>
  </conditionalFormatting>
  <conditionalFormatting sqref="U17">
    <cfRule type="cellIs" dxfId="0" priority="541" operator="lessThan">
      <formula>F17</formula>
    </cfRule>
  </conditionalFormatting>
  <conditionalFormatting sqref="U18">
    <cfRule type="cellIs" dxfId="0" priority="545" operator="lessThan">
      <formula>F18</formula>
    </cfRule>
  </conditionalFormatting>
  <conditionalFormatting sqref="U20">
    <cfRule type="cellIs" dxfId="0" priority="549" operator="lessThan">
      <formula>F20</formula>
    </cfRule>
  </conditionalFormatting>
  <conditionalFormatting sqref="U22">
    <cfRule type="cellIs" dxfId="0" priority="557" operator="lessThan">
      <formula>F22</formula>
    </cfRule>
  </conditionalFormatting>
  <conditionalFormatting sqref="U24">
    <cfRule type="cellIs" dxfId="0" priority="561" operator="lessThan">
      <formula>F24</formula>
    </cfRule>
  </conditionalFormatting>
  <conditionalFormatting sqref="U25">
    <cfRule type="cellIs" dxfId="0" priority="565" operator="lessThan">
      <formula>F25</formula>
    </cfRule>
  </conditionalFormatting>
  <conditionalFormatting sqref="U26">
    <cfRule type="cellIs" dxfId="0" priority="569" operator="lessThan">
      <formula>F26</formula>
    </cfRule>
  </conditionalFormatting>
  <conditionalFormatting sqref="U28">
    <cfRule type="cellIs" dxfId="0" priority="573" operator="lessThan">
      <formula>F28</formula>
    </cfRule>
  </conditionalFormatting>
  <conditionalFormatting sqref="U29">
    <cfRule type="cellIs" dxfId="0" priority="577" operator="lessThan">
      <formula>F29</formula>
    </cfRule>
  </conditionalFormatting>
  <conditionalFormatting sqref="U30">
    <cfRule type="cellIs" dxfId="0" priority="585" operator="lessThan">
      <formula>F30</formula>
    </cfRule>
  </conditionalFormatting>
  <conditionalFormatting sqref="U31">
    <cfRule type="cellIs" dxfId="0" priority="589" operator="lessThan">
      <formula>F31</formula>
    </cfRule>
  </conditionalFormatting>
  <conditionalFormatting sqref="U32">
    <cfRule type="cellIs" dxfId="0" priority="593" operator="lessThan">
      <formula>F32</formula>
    </cfRule>
  </conditionalFormatting>
  <conditionalFormatting sqref="U33">
    <cfRule type="cellIs" dxfId="0" priority="597" operator="lessThan">
      <formula>F33</formula>
    </cfRule>
  </conditionalFormatting>
  <conditionalFormatting sqref="U38">
    <cfRule type="cellIs" dxfId="0" priority="601" operator="lessThan">
      <formula>F38</formula>
    </cfRule>
  </conditionalFormatting>
  <conditionalFormatting sqref="U42">
    <cfRule type="cellIs" dxfId="0" priority="605" operator="lessThan">
      <formula>F42</formula>
    </cfRule>
  </conditionalFormatting>
  <conditionalFormatting sqref="U43">
    <cfRule type="cellIs" dxfId="0" priority="613" operator="lessThan">
      <formula>F43</formula>
    </cfRule>
  </conditionalFormatting>
  <conditionalFormatting sqref="U44">
    <cfRule type="cellIs" dxfId="0" priority="621" operator="lessThan">
      <formula>F44</formula>
    </cfRule>
  </conditionalFormatting>
  <conditionalFormatting sqref="U46">
    <cfRule type="cellIs" dxfId="0" priority="625" operator="lessThan">
      <formula>F46</formula>
    </cfRule>
  </conditionalFormatting>
  <conditionalFormatting sqref="U47">
    <cfRule type="cellIs" dxfId="0" priority="629" operator="lessThan">
      <formula>F47</formula>
    </cfRule>
  </conditionalFormatting>
  <conditionalFormatting sqref="U48">
    <cfRule type="cellIs" dxfId="0" priority="633" operator="lessThan">
      <formula>F48</formula>
    </cfRule>
  </conditionalFormatting>
  <conditionalFormatting sqref="U51">
    <cfRule type="cellIs" dxfId="0" priority="637" operator="lessThan">
      <formula>F51</formula>
    </cfRule>
  </conditionalFormatting>
  <conditionalFormatting sqref="U54">
    <cfRule type="cellIs" dxfId="0" priority="641" operator="lessThan">
      <formula>F54</formula>
    </cfRule>
  </conditionalFormatting>
  <conditionalFormatting sqref="U55">
    <cfRule type="cellIs" dxfId="0" priority="645" operator="lessThan">
      <formula>F55</formula>
    </cfRule>
  </conditionalFormatting>
  <conditionalFormatting sqref="U58">
    <cfRule type="cellIs" dxfId="0" priority="653" operator="lessThan">
      <formula>F58</formula>
    </cfRule>
  </conditionalFormatting>
  <conditionalFormatting sqref="U59">
    <cfRule type="cellIs" dxfId="0" priority="661" operator="lessThan">
      <formula>F59</formula>
    </cfRule>
  </conditionalFormatting>
  <conditionalFormatting sqref="U63">
    <cfRule type="cellIs" dxfId="0" priority="665" operator="lessThan">
      <formula>F63</formula>
    </cfRule>
  </conditionalFormatting>
  <conditionalFormatting sqref="U66">
    <cfRule type="cellIs" dxfId="0" priority="669" operator="lessThan">
      <formula>F66</formula>
    </cfRule>
  </conditionalFormatting>
  <conditionalFormatting sqref="U69">
    <cfRule type="cellIs" dxfId="0" priority="673" operator="lessThan">
      <formula>F69</formula>
    </cfRule>
  </conditionalFormatting>
  <conditionalFormatting sqref="U72">
    <cfRule type="cellIs" dxfId="0" priority="677" operator="lessThan">
      <formula>F72</formula>
    </cfRule>
  </conditionalFormatting>
  <conditionalFormatting sqref="U74">
    <cfRule type="cellIs" dxfId="0" priority="681" operator="lessThan">
      <formula>F74</formula>
    </cfRule>
  </conditionalFormatting>
  <conditionalFormatting sqref="U75">
    <cfRule type="cellIs" dxfId="0" priority="685" operator="lessThan">
      <formula>F75</formula>
    </cfRule>
  </conditionalFormatting>
  <conditionalFormatting sqref="U76">
    <cfRule type="cellIs" dxfId="0" priority="693" operator="lessThan">
      <formula>F76</formula>
    </cfRule>
  </conditionalFormatting>
  <conditionalFormatting sqref="U78">
    <cfRule type="cellIs" dxfId="0" priority="697" operator="lessThan">
      <formula>F78</formula>
    </cfRule>
  </conditionalFormatting>
  <conditionalFormatting sqref="U80">
    <cfRule type="cellIs" dxfId="0" priority="701" operator="lessThan">
      <formula>F80</formula>
    </cfRule>
  </conditionalFormatting>
  <conditionalFormatting sqref="V12">
    <cfRule type="expression" dxfId="1" priority="526">
      <formula>AND(NOT(ISBLANK(V12)),OR(U12="NonStk",V12&gt;U12))</formula>
    </cfRule>
  </conditionalFormatting>
  <conditionalFormatting sqref="V14">
    <cfRule type="expression" dxfId="1" priority="530">
      <formula>AND(NOT(ISBLANK(V14)),OR(U14="NonStk",V14&gt;U14))</formula>
    </cfRule>
  </conditionalFormatting>
  <conditionalFormatting sqref="V15">
    <cfRule type="expression" dxfId="3" priority="534">
      <formula>AND(V15&gt;0,MOD(V15,X15)&lt;&gt;0)</formula>
    </cfRule>
    <cfRule type="expression" dxfId="1" priority="535">
      <formula>AND(NOT(ISBLANK(V15)),OR(U15="NonStk",V15&gt;U15))</formula>
    </cfRule>
  </conditionalFormatting>
  <conditionalFormatting sqref="V17">
    <cfRule type="expression" dxfId="1" priority="542">
      <formula>AND(NOT(ISBLANK(V17)),OR(U17="NonStk",V17&gt;U17))</formula>
    </cfRule>
  </conditionalFormatting>
  <conditionalFormatting sqref="V18">
    <cfRule type="expression" dxfId="1" priority="546">
      <formula>AND(NOT(ISBLANK(V18)),OR(U18="NonStk",V18&gt;U18))</formula>
    </cfRule>
  </conditionalFormatting>
  <conditionalFormatting sqref="V20">
    <cfRule type="expression" dxfId="3" priority="550">
      <formula>AND(V20&gt;0,MOD(V20,X20)&lt;&gt;0)</formula>
    </cfRule>
    <cfRule type="expression" dxfId="1" priority="551">
      <formula>AND(NOT(ISBLANK(V20)),OR(U20="NonStk",V20&gt;U20))</formula>
    </cfRule>
  </conditionalFormatting>
  <conditionalFormatting sqref="V22">
    <cfRule type="expression" dxfId="1" priority="558">
      <formula>AND(NOT(ISBLANK(V22)),OR(U22="NonStk",V22&gt;U22))</formula>
    </cfRule>
  </conditionalFormatting>
  <conditionalFormatting sqref="V24">
    <cfRule type="expression" dxfId="1" priority="562">
      <formula>AND(NOT(ISBLANK(V24)),OR(U24="NonStk",V24&gt;U24))</formula>
    </cfRule>
  </conditionalFormatting>
  <conditionalFormatting sqref="V25">
    <cfRule type="expression" dxfId="1" priority="566">
      <formula>AND(NOT(ISBLANK(V25)),OR(U25="NonStk",V25&gt;U25))</formula>
    </cfRule>
  </conditionalFormatting>
  <conditionalFormatting sqref="V26">
    <cfRule type="expression" dxfId="1" priority="570">
      <formula>AND(NOT(ISBLANK(V26)),OR(U26="NonStk",V26&gt;U26))</formula>
    </cfRule>
  </conditionalFormatting>
  <conditionalFormatting sqref="V28">
    <cfRule type="expression" dxfId="1" priority="574">
      <formula>AND(NOT(ISBLANK(V28)),OR(U28="NonStk",V28&gt;U28))</formula>
    </cfRule>
  </conditionalFormatting>
  <conditionalFormatting sqref="V29">
    <cfRule type="expression" dxfId="3" priority="578">
      <formula>AND(V29&gt;0,MOD(V29,X29)&lt;&gt;0)</formula>
    </cfRule>
    <cfRule type="expression" dxfId="1" priority="579">
      <formula>AND(NOT(ISBLANK(V29)),OR(U29="NonStk",V29&gt;U29))</formula>
    </cfRule>
  </conditionalFormatting>
  <conditionalFormatting sqref="V30">
    <cfRule type="expression" dxfId="1" priority="586">
      <formula>AND(NOT(ISBLANK(V30)),OR(U30="NonStk",V30&gt;U30))</formula>
    </cfRule>
  </conditionalFormatting>
  <conditionalFormatting sqref="V31">
    <cfRule type="expression" dxfId="1" priority="590">
      <formula>AND(NOT(ISBLANK(V31)),OR(U31="NonStk",V31&gt;U31))</formula>
    </cfRule>
  </conditionalFormatting>
  <conditionalFormatting sqref="V32">
    <cfRule type="expression" dxfId="1" priority="594">
      <formula>AND(NOT(ISBLANK(V32)),OR(U32="NonStk",V32&gt;U32))</formula>
    </cfRule>
  </conditionalFormatting>
  <conditionalFormatting sqref="V33">
    <cfRule type="expression" dxfId="1" priority="598">
      <formula>AND(NOT(ISBLANK(V33)),OR(U33="NonStk",V33&gt;U33))</formula>
    </cfRule>
  </conditionalFormatting>
  <conditionalFormatting sqref="V38">
    <cfRule type="expression" dxfId="1" priority="602">
      <formula>AND(NOT(ISBLANK(V38)),OR(U38="NonStk",V38&gt;U38))</formula>
    </cfRule>
  </conditionalFormatting>
  <conditionalFormatting sqref="V42">
    <cfRule type="expression" dxfId="3" priority="606">
      <formula>AND(V42&gt;0,MOD(V42,X42)&lt;&gt;0)</formula>
    </cfRule>
    <cfRule type="expression" dxfId="1" priority="607">
      <formula>AND(NOT(ISBLANK(V42)),OR(U42="NonStk",V42&gt;U42))</formula>
    </cfRule>
  </conditionalFormatting>
  <conditionalFormatting sqref="V43">
    <cfRule type="expression" dxfId="3" priority="614">
      <formula>AND(V43&gt;0,MOD(V43,X43)&lt;&gt;0)</formula>
    </cfRule>
    <cfRule type="expression" dxfId="1" priority="615">
      <formula>AND(NOT(ISBLANK(V43)),OR(U43="NonStk",V43&gt;U43))</formula>
    </cfRule>
  </conditionalFormatting>
  <conditionalFormatting sqref="V44">
    <cfRule type="expression" dxfId="1" priority="622">
      <formula>AND(NOT(ISBLANK(V44)),OR(U44="NonStk",V44&gt;U44))</formula>
    </cfRule>
  </conditionalFormatting>
  <conditionalFormatting sqref="V46">
    <cfRule type="expression" dxfId="1" priority="626">
      <formula>AND(NOT(ISBLANK(V46)),OR(U46="NonStk",V46&gt;U46))</formula>
    </cfRule>
  </conditionalFormatting>
  <conditionalFormatting sqref="V47">
    <cfRule type="expression" dxfId="1" priority="630">
      <formula>AND(NOT(ISBLANK(V47)),OR(U47="NonStk",V47&gt;U47))</formula>
    </cfRule>
  </conditionalFormatting>
  <conditionalFormatting sqref="V48">
    <cfRule type="expression" dxfId="1" priority="634">
      <formula>AND(NOT(ISBLANK(V48)),OR(U48="NonStk",V48&gt;U48))</formula>
    </cfRule>
  </conditionalFormatting>
  <conditionalFormatting sqref="V51">
    <cfRule type="expression" dxfId="1" priority="638">
      <formula>AND(NOT(ISBLANK(V51)),OR(U51="NonStk",V51&gt;U51))</formula>
    </cfRule>
  </conditionalFormatting>
  <conditionalFormatting sqref="V54">
    <cfRule type="expression" dxfId="1" priority="642">
      <formula>AND(NOT(ISBLANK(V54)),OR(U54="NonStk",V54&gt;U54))</formula>
    </cfRule>
  </conditionalFormatting>
  <conditionalFormatting sqref="V55">
    <cfRule type="expression" dxfId="3" priority="646">
      <formula>AND(V55&gt;0,MOD(V55,X55)&lt;&gt;0)</formula>
    </cfRule>
    <cfRule type="expression" dxfId="1" priority="647">
      <formula>AND(NOT(ISBLANK(V55)),OR(U55="NonStk",V55&gt;U55))</formula>
    </cfRule>
  </conditionalFormatting>
  <conditionalFormatting sqref="V58">
    <cfRule type="expression" dxfId="3" priority="654">
      <formula>AND(V58&gt;0,MOD(V58,X58)&lt;&gt;0)</formula>
    </cfRule>
    <cfRule type="expression" dxfId="1" priority="655">
      <formula>AND(NOT(ISBLANK(V58)),OR(U58="NonStk",V58&gt;U58))</formula>
    </cfRule>
  </conditionalFormatting>
  <conditionalFormatting sqref="V59">
    <cfRule type="expression" dxfId="1" priority="662">
      <formula>AND(NOT(ISBLANK(V59)),OR(U59="NonStk",V59&gt;U59))</formula>
    </cfRule>
  </conditionalFormatting>
  <conditionalFormatting sqref="V63">
    <cfRule type="expression" dxfId="1" priority="666">
      <formula>AND(NOT(ISBLANK(V63)),OR(U63="NonStk",V63&gt;U63))</formula>
    </cfRule>
  </conditionalFormatting>
  <conditionalFormatting sqref="V66">
    <cfRule type="expression" dxfId="1" priority="670">
      <formula>AND(NOT(ISBLANK(V66)),OR(U66="NonStk",V66&gt;U66))</formula>
    </cfRule>
  </conditionalFormatting>
  <conditionalFormatting sqref="V69">
    <cfRule type="expression" dxfId="1" priority="674">
      <formula>AND(NOT(ISBLANK(V69)),OR(U69="NonStk",V69&gt;U69))</formula>
    </cfRule>
  </conditionalFormatting>
  <conditionalFormatting sqref="V72">
    <cfRule type="expression" dxfId="1" priority="678">
      <formula>AND(NOT(ISBLANK(V72)),OR(U72="NonStk",V72&gt;U72))</formula>
    </cfRule>
  </conditionalFormatting>
  <conditionalFormatting sqref="V74">
    <cfRule type="expression" dxfId="1" priority="682">
      <formula>AND(NOT(ISBLANK(V74)),OR(U74="NonStk",V74&gt;U74))</formula>
    </cfRule>
  </conditionalFormatting>
  <conditionalFormatting sqref="V75">
    <cfRule type="expression" dxfId="3" priority="686">
      <formula>AND(V75&gt;0,MOD(V75,X75)&lt;&gt;0)</formula>
    </cfRule>
    <cfRule type="expression" dxfId="1" priority="687">
      <formula>AND(NOT(ISBLANK(V75)),OR(U75="NonStk",V75&gt;U75))</formula>
    </cfRule>
  </conditionalFormatting>
  <conditionalFormatting sqref="V76">
    <cfRule type="expression" dxfId="1" priority="694">
      <formula>AND(NOT(ISBLANK(V76)),OR(U76="NonStk",V76&gt;U76))</formula>
    </cfRule>
  </conditionalFormatting>
  <conditionalFormatting sqref="V78">
    <cfRule type="expression" dxfId="1" priority="698">
      <formula>AND(NOT(ISBLANK(V78)),OR(U78="NonStk",V78&gt;U78))</formula>
    </cfRule>
  </conditionalFormatting>
  <conditionalFormatting sqref="V80">
    <cfRule type="expression" dxfId="1" priority="702">
      <formula>AND(NOT(ISBLANK(V80)),OR(U80="NonStk",V80&gt;U80))</formula>
    </cfRule>
  </conditionalFormatting>
  <conditionalFormatting sqref="W12">
    <cfRule type="cellIs" dxfId="2" priority="528" operator="lessThanOrEqual">
      <formula>G12</formula>
    </cfRule>
  </conditionalFormatting>
  <conditionalFormatting sqref="W14">
    <cfRule type="cellIs" dxfId="2" priority="532" operator="lessThanOrEqual">
      <formula>G14</formula>
    </cfRule>
  </conditionalFormatting>
  <conditionalFormatting sqref="W15">
    <cfRule type="cellIs" dxfId="2" priority="537" operator="lessThanOrEqual">
      <formula>G15</formula>
    </cfRule>
    <cfRule type="expression" dxfId="3" priority="538">
      <formula>AND(F15&lt;50000,V15&lt;50000)</formula>
    </cfRule>
  </conditionalFormatting>
  <conditionalFormatting sqref="W17">
    <cfRule type="cellIs" dxfId="2" priority="544" operator="lessThanOrEqual">
      <formula>G17</formula>
    </cfRule>
  </conditionalFormatting>
  <conditionalFormatting sqref="W18">
    <cfRule type="cellIs" dxfId="2" priority="548" operator="lessThanOrEqual">
      <formula>G18</formula>
    </cfRule>
  </conditionalFormatting>
  <conditionalFormatting sqref="W20">
    <cfRule type="cellIs" dxfId="2" priority="553" operator="lessThanOrEqual">
      <formula>G20</formula>
    </cfRule>
    <cfRule type="expression" dxfId="3" priority="554">
      <formula>AND(F20&lt;40000,V20&lt;40000)</formula>
    </cfRule>
  </conditionalFormatting>
  <conditionalFormatting sqref="W22">
    <cfRule type="cellIs" dxfId="2" priority="560" operator="lessThanOrEqual">
      <formula>G22</formula>
    </cfRule>
  </conditionalFormatting>
  <conditionalFormatting sqref="W24">
    <cfRule type="cellIs" dxfId="2" priority="564" operator="lessThanOrEqual">
      <formula>G24</formula>
    </cfRule>
  </conditionalFormatting>
  <conditionalFormatting sqref="W25">
    <cfRule type="cellIs" dxfId="2" priority="568" operator="lessThanOrEqual">
      <formula>G25</formula>
    </cfRule>
  </conditionalFormatting>
  <conditionalFormatting sqref="W26">
    <cfRule type="cellIs" dxfId="2" priority="572" operator="lessThanOrEqual">
      <formula>G26</formula>
    </cfRule>
  </conditionalFormatting>
  <conditionalFormatting sqref="W28">
    <cfRule type="cellIs" dxfId="2" priority="576" operator="lessThanOrEqual">
      <formula>G28</formula>
    </cfRule>
  </conditionalFormatting>
  <conditionalFormatting sqref="W29">
    <cfRule type="cellIs" dxfId="2" priority="581" operator="lessThanOrEqual">
      <formula>G29</formula>
    </cfRule>
    <cfRule type="expression" dxfId="3" priority="582">
      <formula>AND(F29&lt;1000,V29&lt;1000)</formula>
    </cfRule>
  </conditionalFormatting>
  <conditionalFormatting sqref="W30">
    <cfRule type="cellIs" dxfId="2" priority="588" operator="lessThanOrEqual">
      <formula>G30</formula>
    </cfRule>
  </conditionalFormatting>
  <conditionalFormatting sqref="W31">
    <cfRule type="cellIs" dxfId="2" priority="592" operator="lessThanOrEqual">
      <formula>G31</formula>
    </cfRule>
  </conditionalFormatting>
  <conditionalFormatting sqref="W32">
    <cfRule type="cellIs" dxfId="2" priority="596" operator="lessThanOrEqual">
      <formula>G32</formula>
    </cfRule>
  </conditionalFormatting>
  <conditionalFormatting sqref="W33">
    <cfRule type="cellIs" dxfId="2" priority="600" operator="lessThanOrEqual">
      <formula>G33</formula>
    </cfRule>
  </conditionalFormatting>
  <conditionalFormatting sqref="W38">
    <cfRule type="cellIs" dxfId="2" priority="604" operator="lessThanOrEqual">
      <formula>G38</formula>
    </cfRule>
  </conditionalFormatting>
  <conditionalFormatting sqref="W42">
    <cfRule type="cellIs" dxfId="2" priority="609" operator="lessThanOrEqual">
      <formula>G42</formula>
    </cfRule>
    <cfRule type="expression" dxfId="3" priority="610">
      <formula>AND(F42&lt;5,V42&lt;5)</formula>
    </cfRule>
  </conditionalFormatting>
  <conditionalFormatting sqref="W43">
    <cfRule type="cellIs" dxfId="2" priority="617" operator="lessThanOrEqual">
      <formula>G43</formula>
    </cfRule>
    <cfRule type="expression" dxfId="3" priority="618">
      <formula>AND(F43&lt;2,V43&lt;2)</formula>
    </cfRule>
  </conditionalFormatting>
  <conditionalFormatting sqref="W44">
    <cfRule type="cellIs" dxfId="2" priority="624" operator="lessThanOrEqual">
      <formula>G44</formula>
    </cfRule>
  </conditionalFormatting>
  <conditionalFormatting sqref="W46">
    <cfRule type="cellIs" dxfId="2" priority="628" operator="lessThanOrEqual">
      <formula>G46</formula>
    </cfRule>
  </conditionalFormatting>
  <conditionalFormatting sqref="W47">
    <cfRule type="cellIs" dxfId="2" priority="632" operator="lessThanOrEqual">
      <formula>G47</formula>
    </cfRule>
  </conditionalFormatting>
  <conditionalFormatting sqref="W48">
    <cfRule type="cellIs" dxfId="2" priority="636" operator="lessThanOrEqual">
      <formula>G48</formula>
    </cfRule>
  </conditionalFormatting>
  <conditionalFormatting sqref="W51">
    <cfRule type="cellIs" dxfId="2" priority="640" operator="lessThanOrEqual">
      <formula>G51</formula>
    </cfRule>
  </conditionalFormatting>
  <conditionalFormatting sqref="W54">
    <cfRule type="cellIs" dxfId="2" priority="644" operator="lessThanOrEqual">
      <formula>G54</formula>
    </cfRule>
  </conditionalFormatting>
  <conditionalFormatting sqref="W55">
    <cfRule type="cellIs" dxfId="2" priority="649" operator="lessThanOrEqual">
      <formula>G55</formula>
    </cfRule>
    <cfRule type="expression" dxfId="3" priority="650">
      <formula>AND(F55&lt;10,V55&lt;10)</formula>
    </cfRule>
  </conditionalFormatting>
  <conditionalFormatting sqref="W58">
    <cfRule type="cellIs" dxfId="2" priority="657" operator="lessThanOrEqual">
      <formula>G58</formula>
    </cfRule>
    <cfRule type="expression" dxfId="3" priority="658">
      <formula>AND(F58&lt;5000,V58&lt;5000)</formula>
    </cfRule>
  </conditionalFormatting>
  <conditionalFormatting sqref="W59">
    <cfRule type="cellIs" dxfId="2" priority="664" operator="lessThanOrEqual">
      <formula>G59</formula>
    </cfRule>
  </conditionalFormatting>
  <conditionalFormatting sqref="W63">
    <cfRule type="cellIs" dxfId="2" priority="668" operator="lessThanOrEqual">
      <formula>G63</formula>
    </cfRule>
  </conditionalFormatting>
  <conditionalFormatting sqref="W66">
    <cfRule type="cellIs" dxfId="2" priority="672" operator="lessThanOrEqual">
      <formula>G66</formula>
    </cfRule>
  </conditionalFormatting>
  <conditionalFormatting sqref="W69">
    <cfRule type="cellIs" dxfId="2" priority="676" operator="lessThanOrEqual">
      <formula>G69</formula>
    </cfRule>
  </conditionalFormatting>
  <conditionalFormatting sqref="W72">
    <cfRule type="cellIs" dxfId="2" priority="680" operator="lessThanOrEqual">
      <formula>G72</formula>
    </cfRule>
  </conditionalFormatting>
  <conditionalFormatting sqref="W74">
    <cfRule type="cellIs" dxfId="2" priority="684" operator="lessThanOrEqual">
      <formula>G74</formula>
    </cfRule>
  </conditionalFormatting>
  <conditionalFormatting sqref="W75">
    <cfRule type="cellIs" dxfId="2" priority="689" operator="lessThanOrEqual">
      <formula>G75</formula>
    </cfRule>
    <cfRule type="expression" dxfId="3" priority="690">
      <formula>AND(F75&lt;3000,V75&lt;3000)</formula>
    </cfRule>
  </conditionalFormatting>
  <conditionalFormatting sqref="W76">
    <cfRule type="cellIs" dxfId="2" priority="696" operator="lessThanOrEqual">
      <formula>G76</formula>
    </cfRule>
  </conditionalFormatting>
  <conditionalFormatting sqref="W78">
    <cfRule type="cellIs" dxfId="2" priority="700" operator="lessThanOrEqual">
      <formula>G78</formula>
    </cfRule>
  </conditionalFormatting>
  <conditionalFormatting sqref="W80">
    <cfRule type="cellIs" dxfId="2" priority="704" operator="lessThanOrEqual">
      <formula>G80</formula>
    </cfRule>
  </conditionalFormatting>
  <conditionalFormatting sqref="X15">
    <cfRule type="expression" dxfId="3" priority="539">
      <formula>AND(F15&lt;50000,V15&lt;50000)</formula>
    </cfRule>
  </conditionalFormatting>
  <conditionalFormatting sqref="X20">
    <cfRule type="expression" dxfId="3" priority="555">
      <formula>AND(F20&lt;40000,V20&lt;40000)</formula>
    </cfRule>
  </conditionalFormatting>
  <conditionalFormatting sqref="X29">
    <cfRule type="expression" dxfId="3" priority="583">
      <formula>AND(F29&lt;1000,V29&lt;1000)</formula>
    </cfRule>
  </conditionalFormatting>
  <conditionalFormatting sqref="X42">
    <cfRule type="expression" dxfId="3" priority="611">
      <formula>AND(F42&lt;5,V42&lt;5)</formula>
    </cfRule>
  </conditionalFormatting>
  <conditionalFormatting sqref="X43">
    <cfRule type="expression" dxfId="3" priority="619">
      <formula>AND(F43&lt;2,V43&lt;2)</formula>
    </cfRule>
  </conditionalFormatting>
  <conditionalFormatting sqref="X55">
    <cfRule type="expression" dxfId="3" priority="651">
      <formula>AND(F55&lt;10,V55&lt;10)</formula>
    </cfRule>
  </conditionalFormatting>
  <conditionalFormatting sqref="X58">
    <cfRule type="expression" dxfId="3" priority="659">
      <formula>AND(F58&lt;5000,V58&lt;5000)</formula>
    </cfRule>
  </conditionalFormatting>
  <conditionalFormatting sqref="X75">
    <cfRule type="expression" dxfId="3" priority="691">
      <formula>AND(F75&lt;3000,V75&lt;3000)</formula>
    </cfRule>
  </conditionalFormatting>
  <conditionalFormatting sqref="Y12">
    <cfRule type="cellIs" dxfId="2" priority="527" operator="lessThanOrEqual">
      <formula>H12</formula>
    </cfRule>
  </conditionalFormatting>
  <conditionalFormatting sqref="Y14">
    <cfRule type="cellIs" dxfId="2" priority="531" operator="lessThanOrEqual">
      <formula>H14</formula>
    </cfRule>
  </conditionalFormatting>
  <conditionalFormatting sqref="Y15">
    <cfRule type="cellIs" dxfId="2" priority="536" operator="lessThanOrEqual">
      <formula>H15</formula>
    </cfRule>
    <cfRule type="expression" dxfId="3" priority="540">
      <formula>AND(F15&lt;50000,V15&lt;50000)</formula>
    </cfRule>
  </conditionalFormatting>
  <conditionalFormatting sqref="Y17">
    <cfRule type="cellIs" dxfId="2" priority="543" operator="lessThanOrEqual">
      <formula>H17</formula>
    </cfRule>
  </conditionalFormatting>
  <conditionalFormatting sqref="Y18">
    <cfRule type="cellIs" dxfId="2" priority="547" operator="lessThanOrEqual">
      <formula>H18</formula>
    </cfRule>
  </conditionalFormatting>
  <conditionalFormatting sqref="Y20">
    <cfRule type="cellIs" dxfId="2" priority="552" operator="lessThanOrEqual">
      <formula>H20</formula>
    </cfRule>
    <cfRule type="expression" dxfId="3" priority="556">
      <formula>AND(F20&lt;40000,V20&lt;40000)</formula>
    </cfRule>
  </conditionalFormatting>
  <conditionalFormatting sqref="Y22">
    <cfRule type="cellIs" dxfId="2" priority="559" operator="lessThanOrEqual">
      <formula>H22</formula>
    </cfRule>
  </conditionalFormatting>
  <conditionalFormatting sqref="Y24">
    <cfRule type="cellIs" dxfId="2" priority="563" operator="lessThanOrEqual">
      <formula>H24</formula>
    </cfRule>
  </conditionalFormatting>
  <conditionalFormatting sqref="Y25">
    <cfRule type="cellIs" dxfId="2" priority="567" operator="lessThanOrEqual">
      <formula>H25</formula>
    </cfRule>
  </conditionalFormatting>
  <conditionalFormatting sqref="Y26">
    <cfRule type="cellIs" dxfId="2" priority="571" operator="lessThanOrEqual">
      <formula>H26</formula>
    </cfRule>
  </conditionalFormatting>
  <conditionalFormatting sqref="Y28">
    <cfRule type="cellIs" dxfId="2" priority="575" operator="lessThanOrEqual">
      <formula>H28</formula>
    </cfRule>
  </conditionalFormatting>
  <conditionalFormatting sqref="Y29">
    <cfRule type="cellIs" dxfId="2" priority="580" operator="lessThanOrEqual">
      <formula>H29</formula>
    </cfRule>
    <cfRule type="expression" dxfId="3" priority="584">
      <formula>AND(F29&lt;1000,V29&lt;1000)</formula>
    </cfRule>
  </conditionalFormatting>
  <conditionalFormatting sqref="Y30">
    <cfRule type="cellIs" dxfId="2" priority="587" operator="lessThanOrEqual">
      <formula>H30</formula>
    </cfRule>
  </conditionalFormatting>
  <conditionalFormatting sqref="Y31">
    <cfRule type="cellIs" dxfId="2" priority="591" operator="lessThanOrEqual">
      <formula>H31</formula>
    </cfRule>
  </conditionalFormatting>
  <conditionalFormatting sqref="Y32">
    <cfRule type="cellIs" dxfId="2" priority="595" operator="lessThanOrEqual">
      <formula>H32</formula>
    </cfRule>
  </conditionalFormatting>
  <conditionalFormatting sqref="Y33">
    <cfRule type="cellIs" dxfId="2" priority="599" operator="lessThanOrEqual">
      <formula>H33</formula>
    </cfRule>
  </conditionalFormatting>
  <conditionalFormatting sqref="Y38">
    <cfRule type="cellIs" dxfId="2" priority="603" operator="lessThanOrEqual">
      <formula>H38</formula>
    </cfRule>
  </conditionalFormatting>
  <conditionalFormatting sqref="Y42">
    <cfRule type="cellIs" dxfId="2" priority="608" operator="lessThanOrEqual">
      <formula>H42</formula>
    </cfRule>
    <cfRule type="expression" dxfId="3" priority="612">
      <formula>AND(F42&lt;5,V42&lt;5)</formula>
    </cfRule>
  </conditionalFormatting>
  <conditionalFormatting sqref="Y43">
    <cfRule type="cellIs" dxfId="2" priority="616" operator="lessThanOrEqual">
      <formula>H43</formula>
    </cfRule>
    <cfRule type="expression" dxfId="3" priority="620">
      <formula>AND(F43&lt;2,V43&lt;2)</formula>
    </cfRule>
  </conditionalFormatting>
  <conditionalFormatting sqref="Y44">
    <cfRule type="cellIs" dxfId="2" priority="623" operator="lessThanOrEqual">
      <formula>H44</formula>
    </cfRule>
  </conditionalFormatting>
  <conditionalFormatting sqref="Y46">
    <cfRule type="cellIs" dxfId="2" priority="627" operator="lessThanOrEqual">
      <formula>H46</formula>
    </cfRule>
  </conditionalFormatting>
  <conditionalFormatting sqref="Y47">
    <cfRule type="cellIs" dxfId="2" priority="631" operator="lessThanOrEqual">
      <formula>H47</formula>
    </cfRule>
  </conditionalFormatting>
  <conditionalFormatting sqref="Y48">
    <cfRule type="cellIs" dxfId="2" priority="635" operator="lessThanOrEqual">
      <formula>H48</formula>
    </cfRule>
  </conditionalFormatting>
  <conditionalFormatting sqref="Y51">
    <cfRule type="cellIs" dxfId="2" priority="639" operator="lessThanOrEqual">
      <formula>H51</formula>
    </cfRule>
  </conditionalFormatting>
  <conditionalFormatting sqref="Y54">
    <cfRule type="cellIs" dxfId="2" priority="643" operator="lessThanOrEqual">
      <formula>H54</formula>
    </cfRule>
  </conditionalFormatting>
  <conditionalFormatting sqref="Y55">
    <cfRule type="cellIs" dxfId="2" priority="648" operator="lessThanOrEqual">
      <formula>H55</formula>
    </cfRule>
    <cfRule type="expression" dxfId="3" priority="652">
      <formula>AND(F55&lt;10,V55&lt;10)</formula>
    </cfRule>
  </conditionalFormatting>
  <conditionalFormatting sqref="Y58">
    <cfRule type="cellIs" dxfId="2" priority="656" operator="lessThanOrEqual">
      <formula>H58</formula>
    </cfRule>
    <cfRule type="expression" dxfId="3" priority="660">
      <formula>AND(F58&lt;5000,V58&lt;5000)</formula>
    </cfRule>
  </conditionalFormatting>
  <conditionalFormatting sqref="Y59">
    <cfRule type="cellIs" dxfId="2" priority="663" operator="lessThanOrEqual">
      <formula>H59</formula>
    </cfRule>
  </conditionalFormatting>
  <conditionalFormatting sqref="Y63">
    <cfRule type="cellIs" dxfId="2" priority="667" operator="lessThanOrEqual">
      <formula>H63</formula>
    </cfRule>
  </conditionalFormatting>
  <conditionalFormatting sqref="Y66">
    <cfRule type="cellIs" dxfId="2" priority="671" operator="lessThanOrEqual">
      <formula>H66</formula>
    </cfRule>
  </conditionalFormatting>
  <conditionalFormatting sqref="Y69">
    <cfRule type="cellIs" dxfId="2" priority="675" operator="lessThanOrEqual">
      <formula>H69</formula>
    </cfRule>
  </conditionalFormatting>
  <conditionalFormatting sqref="Y72">
    <cfRule type="cellIs" dxfId="2" priority="679" operator="lessThanOrEqual">
      <formula>H72</formula>
    </cfRule>
  </conditionalFormatting>
  <conditionalFormatting sqref="Y74">
    <cfRule type="cellIs" dxfId="2" priority="683" operator="lessThanOrEqual">
      <formula>H74</formula>
    </cfRule>
  </conditionalFormatting>
  <conditionalFormatting sqref="Y75">
    <cfRule type="cellIs" dxfId="2" priority="688" operator="lessThanOrEqual">
      <formula>H75</formula>
    </cfRule>
    <cfRule type="expression" dxfId="3" priority="692">
      <formula>AND(F75&lt;3000,V75&lt;3000)</formula>
    </cfRule>
  </conditionalFormatting>
  <conditionalFormatting sqref="Y76">
    <cfRule type="cellIs" dxfId="2" priority="695" operator="lessThanOrEqual">
      <formula>H76</formula>
    </cfRule>
  </conditionalFormatting>
  <conditionalFormatting sqref="Y78">
    <cfRule type="cellIs" dxfId="2" priority="699" operator="lessThanOrEqual">
      <formula>H78</formula>
    </cfRule>
  </conditionalFormatting>
  <conditionalFormatting sqref="Y80">
    <cfRule type="cellIs" dxfId="2" priority="703" operator="lessThanOrEqual">
      <formula>H80</formula>
    </cfRule>
  </conditionalFormatting>
  <hyperlinks>
    <hyperlink ref="E10" r:id="rId1"/>
    <hyperlink ref="N10" r:id="rId2"/>
    <hyperlink ref="T10" r:id="rId3"/>
    <hyperlink ref="E11" r:id="rId4"/>
    <hyperlink ref="N11" r:id="rId5"/>
    <hyperlink ref="T11" r:id="rId6"/>
    <hyperlink ref="E12" r:id="rId7"/>
    <hyperlink ref="N12" r:id="rId8"/>
    <hyperlink ref="T12" r:id="rId9"/>
    <hyperlink ref="Z12" r:id="rId10"/>
    <hyperlink ref="E13" r:id="rId11"/>
    <hyperlink ref="N13" r:id="rId12"/>
    <hyperlink ref="T13" r:id="rId13"/>
    <hyperlink ref="E14" r:id="rId14"/>
    <hyperlink ref="N14" r:id="rId15"/>
    <hyperlink ref="T14" r:id="rId16"/>
    <hyperlink ref="Z14" r:id="rId17"/>
    <hyperlink ref="E15" r:id="rId18"/>
    <hyperlink ref="N15" r:id="rId19"/>
    <hyperlink ref="T15" r:id="rId20"/>
    <hyperlink ref="Z15" r:id="rId21"/>
    <hyperlink ref="E16" r:id="rId22"/>
    <hyperlink ref="N16" r:id="rId23"/>
    <hyperlink ref="T16" r:id="rId24"/>
    <hyperlink ref="E17" r:id="rId25"/>
    <hyperlink ref="N17" r:id="rId26"/>
    <hyperlink ref="T17" r:id="rId27"/>
    <hyperlink ref="Z17" r:id="rId28"/>
    <hyperlink ref="E18" r:id="rId29"/>
    <hyperlink ref="N18" r:id="rId30"/>
    <hyperlink ref="T18" r:id="rId31"/>
    <hyperlink ref="Z18" r:id="rId32"/>
    <hyperlink ref="E19" r:id="rId33"/>
    <hyperlink ref="N19" r:id="rId34"/>
    <hyperlink ref="T19" r:id="rId35"/>
    <hyperlink ref="E20" r:id="rId36"/>
    <hyperlink ref="N20" r:id="rId37"/>
    <hyperlink ref="T20" r:id="rId38"/>
    <hyperlink ref="Z20" r:id="rId39"/>
    <hyperlink ref="E21" r:id="rId40"/>
    <hyperlink ref="N21" r:id="rId41"/>
    <hyperlink ref="T21" r:id="rId42"/>
    <hyperlink ref="E22" r:id="rId43"/>
    <hyperlink ref="N22" r:id="rId44"/>
    <hyperlink ref="T22" r:id="rId45"/>
    <hyperlink ref="Z22" r:id="rId46"/>
    <hyperlink ref="E23" r:id="rId47"/>
    <hyperlink ref="N23" r:id="rId48"/>
    <hyperlink ref="T23" r:id="rId49"/>
    <hyperlink ref="E24" r:id="rId50"/>
    <hyperlink ref="N24" r:id="rId51"/>
    <hyperlink ref="T24" r:id="rId52"/>
    <hyperlink ref="Z24" r:id="rId53"/>
    <hyperlink ref="E25" r:id="rId54"/>
    <hyperlink ref="N25" r:id="rId55"/>
    <hyperlink ref="T25" r:id="rId56"/>
    <hyperlink ref="Z25" r:id="rId57"/>
    <hyperlink ref="E26" r:id="rId58"/>
    <hyperlink ref="N26" r:id="rId59"/>
    <hyperlink ref="T26" r:id="rId60"/>
    <hyperlink ref="Z26" r:id="rId61"/>
    <hyperlink ref="E27" r:id="rId62"/>
    <hyperlink ref="N27" r:id="rId63"/>
    <hyperlink ref="T27" r:id="rId64"/>
    <hyperlink ref="E28" r:id="rId65"/>
    <hyperlink ref="N28" r:id="rId66"/>
    <hyperlink ref="T28" r:id="rId67"/>
    <hyperlink ref="Z28" r:id="rId68"/>
    <hyperlink ref="E29" r:id="rId69"/>
    <hyperlink ref="N29" r:id="rId70"/>
    <hyperlink ref="T29" r:id="rId71"/>
    <hyperlink ref="Z29" r:id="rId72"/>
    <hyperlink ref="E30" r:id="rId73"/>
    <hyperlink ref="N30" r:id="rId74"/>
    <hyperlink ref="T30" r:id="rId75"/>
    <hyperlink ref="Z30" r:id="rId76"/>
    <hyperlink ref="E31" r:id="rId77"/>
    <hyperlink ref="N31" r:id="rId78"/>
    <hyperlink ref="T31" r:id="rId79"/>
    <hyperlink ref="Z31" r:id="rId80"/>
    <hyperlink ref="E32" r:id="rId81"/>
    <hyperlink ref="N32" r:id="rId82"/>
    <hyperlink ref="T32" r:id="rId83"/>
    <hyperlink ref="Z32" r:id="rId84"/>
    <hyperlink ref="E33" r:id="rId85"/>
    <hyperlink ref="N33" r:id="rId86"/>
    <hyperlink ref="T33" r:id="rId87"/>
    <hyperlink ref="Z33" r:id="rId88"/>
    <hyperlink ref="E34" r:id="rId89"/>
    <hyperlink ref="N34" r:id="rId90"/>
    <hyperlink ref="T34" r:id="rId91"/>
    <hyperlink ref="E35" r:id="rId92"/>
    <hyperlink ref="N35" r:id="rId93"/>
    <hyperlink ref="T35" r:id="rId94"/>
    <hyperlink ref="E36" r:id="rId95"/>
    <hyperlink ref="N36" r:id="rId96"/>
    <hyperlink ref="T36" r:id="rId97"/>
    <hyperlink ref="E37" r:id="rId98"/>
    <hyperlink ref="N37" r:id="rId99"/>
    <hyperlink ref="T37" r:id="rId100"/>
    <hyperlink ref="E38" r:id="rId101"/>
    <hyperlink ref="N38" r:id="rId102"/>
    <hyperlink ref="T38" r:id="rId103"/>
    <hyperlink ref="Z38" r:id="rId104"/>
    <hyperlink ref="E39" r:id="rId105"/>
    <hyperlink ref="N39" r:id="rId106"/>
    <hyperlink ref="T39" r:id="rId107"/>
    <hyperlink ref="Z39" r:id="rId108"/>
    <hyperlink ref="E40" r:id="rId109"/>
    <hyperlink ref="N40" r:id="rId110"/>
    <hyperlink ref="T40" r:id="rId111"/>
    <hyperlink ref="E41" r:id="rId112"/>
    <hyperlink ref="N41" r:id="rId113"/>
    <hyperlink ref="T41" r:id="rId114"/>
    <hyperlink ref="E42" r:id="rId115"/>
    <hyperlink ref="N42" r:id="rId116"/>
    <hyperlink ref="T42" r:id="rId117"/>
    <hyperlink ref="Z42" r:id="rId118"/>
    <hyperlink ref="E43" r:id="rId119"/>
    <hyperlink ref="N43" r:id="rId120"/>
    <hyperlink ref="T43" r:id="rId121"/>
    <hyperlink ref="Z43" r:id="rId122"/>
    <hyperlink ref="E44" r:id="rId123"/>
    <hyperlink ref="N44" r:id="rId124"/>
    <hyperlink ref="T44" r:id="rId125"/>
    <hyperlink ref="Z44" r:id="rId126"/>
    <hyperlink ref="E45" r:id="rId127"/>
    <hyperlink ref="N45" r:id="rId128"/>
    <hyperlink ref="T45" r:id="rId129"/>
    <hyperlink ref="E46" r:id="rId130"/>
    <hyperlink ref="N46" r:id="rId131"/>
    <hyperlink ref="T46" r:id="rId132"/>
    <hyperlink ref="Z46" r:id="rId133"/>
    <hyperlink ref="E47" r:id="rId134"/>
    <hyperlink ref="Z47" r:id="rId135"/>
    <hyperlink ref="E48" r:id="rId136"/>
    <hyperlink ref="Z48" r:id="rId137"/>
    <hyperlink ref="E49" r:id="rId138"/>
    <hyperlink ref="N49" r:id="rId139"/>
    <hyperlink ref="E50" r:id="rId140"/>
    <hyperlink ref="N50" r:id="rId141"/>
    <hyperlink ref="T50" r:id="rId142"/>
    <hyperlink ref="E51" r:id="rId143"/>
    <hyperlink ref="N51" r:id="rId144"/>
    <hyperlink ref="T51" r:id="rId145"/>
    <hyperlink ref="Z51" r:id="rId146"/>
    <hyperlink ref="E52" r:id="rId147"/>
    <hyperlink ref="N52" r:id="rId148"/>
    <hyperlink ref="T52" r:id="rId149"/>
    <hyperlink ref="Z52" r:id="rId150"/>
    <hyperlink ref="E53" r:id="rId151"/>
    <hyperlink ref="N53" r:id="rId152"/>
    <hyperlink ref="T53" r:id="rId153"/>
    <hyperlink ref="E54" r:id="rId154"/>
    <hyperlink ref="N54" r:id="rId155"/>
    <hyperlink ref="T54" r:id="rId156"/>
    <hyperlink ref="Z54" r:id="rId157"/>
    <hyperlink ref="E55" r:id="rId158"/>
    <hyperlink ref="N55" r:id="rId159"/>
    <hyperlink ref="T55" r:id="rId160"/>
    <hyperlink ref="Z55" r:id="rId161"/>
    <hyperlink ref="E56" r:id="rId162"/>
    <hyperlink ref="N56" r:id="rId163"/>
    <hyperlink ref="T56" r:id="rId164"/>
    <hyperlink ref="E57" r:id="rId165"/>
    <hyperlink ref="N57" r:id="rId166"/>
    <hyperlink ref="T57" r:id="rId167"/>
    <hyperlink ref="E58" r:id="rId168"/>
    <hyperlink ref="N58" r:id="rId169"/>
    <hyperlink ref="T58" r:id="rId170"/>
    <hyperlink ref="Z58" r:id="rId171"/>
    <hyperlink ref="E59" r:id="rId172"/>
    <hyperlink ref="N59" r:id="rId173"/>
    <hyperlink ref="T59" r:id="rId174"/>
    <hyperlink ref="Z59" r:id="rId175"/>
    <hyperlink ref="E60" r:id="rId176"/>
    <hyperlink ref="N60" r:id="rId177"/>
    <hyperlink ref="T60" r:id="rId178"/>
    <hyperlink ref="E61" r:id="rId179"/>
    <hyperlink ref="N61" r:id="rId180"/>
    <hyperlink ref="T61" r:id="rId181"/>
    <hyperlink ref="E62" r:id="rId182"/>
    <hyperlink ref="N62" r:id="rId183"/>
    <hyperlink ref="T62" r:id="rId184"/>
    <hyperlink ref="E63" r:id="rId185"/>
    <hyperlink ref="N63" r:id="rId186"/>
    <hyperlink ref="T63" r:id="rId187"/>
    <hyperlink ref="Z63" r:id="rId188"/>
    <hyperlink ref="E64" r:id="rId189"/>
    <hyperlink ref="N64" r:id="rId190"/>
    <hyperlink ref="T64" r:id="rId191"/>
    <hyperlink ref="E65" r:id="rId192"/>
    <hyperlink ref="N65" r:id="rId193"/>
    <hyperlink ref="T65" r:id="rId194"/>
    <hyperlink ref="E66" r:id="rId195"/>
    <hyperlink ref="N66" r:id="rId196"/>
    <hyperlink ref="T66" r:id="rId197"/>
    <hyperlink ref="Z66" r:id="rId198"/>
    <hyperlink ref="E67" r:id="rId199"/>
    <hyperlink ref="N67" r:id="rId200"/>
    <hyperlink ref="T67" r:id="rId201"/>
    <hyperlink ref="E68" r:id="rId202"/>
    <hyperlink ref="N68" r:id="rId203"/>
    <hyperlink ref="T68" r:id="rId204"/>
    <hyperlink ref="E69" r:id="rId205"/>
    <hyperlink ref="N69" r:id="rId206"/>
    <hyperlink ref="T69" r:id="rId207"/>
    <hyperlink ref="Z69" r:id="rId208"/>
    <hyperlink ref="E70" r:id="rId209"/>
    <hyperlink ref="N70" r:id="rId210"/>
    <hyperlink ref="T70" r:id="rId211"/>
    <hyperlink ref="E71" r:id="rId212"/>
    <hyperlink ref="N71" r:id="rId213"/>
    <hyperlink ref="T71" r:id="rId214"/>
    <hyperlink ref="E72" r:id="rId215"/>
    <hyperlink ref="N72" r:id="rId216"/>
    <hyperlink ref="T72" r:id="rId217"/>
    <hyperlink ref="Z72" r:id="rId218"/>
    <hyperlink ref="E73" r:id="rId219"/>
    <hyperlink ref="N73" r:id="rId220"/>
    <hyperlink ref="T73" r:id="rId221"/>
    <hyperlink ref="E74" r:id="rId222"/>
    <hyperlink ref="N74" r:id="rId223"/>
    <hyperlink ref="T74" r:id="rId224"/>
    <hyperlink ref="Z74" r:id="rId225"/>
    <hyperlink ref="E75" r:id="rId226"/>
    <hyperlink ref="N75" r:id="rId227"/>
    <hyperlink ref="T75" r:id="rId228"/>
    <hyperlink ref="Z75" r:id="rId229"/>
    <hyperlink ref="E76" r:id="rId230"/>
    <hyperlink ref="N76" r:id="rId231"/>
    <hyperlink ref="T76" r:id="rId232"/>
    <hyperlink ref="Z76" r:id="rId233"/>
    <hyperlink ref="E77" r:id="rId234"/>
    <hyperlink ref="N77" r:id="rId235"/>
    <hyperlink ref="T77" r:id="rId236"/>
    <hyperlink ref="Z77" r:id="rId237"/>
    <hyperlink ref="E78" r:id="rId238"/>
    <hyperlink ref="N78" r:id="rId239"/>
    <hyperlink ref="T78" r:id="rId240"/>
    <hyperlink ref="Z78" r:id="rId241"/>
    <hyperlink ref="E79" r:id="rId242"/>
    <hyperlink ref="N79" r:id="rId243"/>
    <hyperlink ref="T79" r:id="rId244"/>
    <hyperlink ref="E80" r:id="rId245"/>
    <hyperlink ref="N80" r:id="rId246"/>
    <hyperlink ref="T80" r:id="rId247"/>
    <hyperlink ref="Z80" r:id="rId248"/>
    <hyperlink ref="I82" r:id="rId249"/>
    <hyperlink ref="O82" r:id="rId250"/>
    <hyperlink ref="U82" r:id="rId251"/>
  </hyperlinks>
  <pageMargins left="0.7" right="0.7" top="0.75" bottom="0.75" header="0.3" footer="0.3"/>
  <legacyDrawing r:id="rId252"/>
</worksheet>
</file>

<file path=xl/worksheets/sheet3.xml><?xml version="1.0" encoding="utf-8"?>
<worksheet xmlns="http://schemas.openxmlformats.org/spreadsheetml/2006/main" xmlns:r="http://schemas.openxmlformats.org/officeDocument/2006/relationships">
  <dimension ref="A1:JU72"/>
  <sheetViews>
    <sheetView workbookViewId="0"/>
  </sheetViews>
  <sheetFormatPr defaultRowHeight="15"/>
  <cols>
    <col min="1" max="1" width="60.7109375" customWidth="1"/>
    <col min="2" max="2" width="13.7109375" customWidth="1"/>
    <col min="3" max="3" width="30.7109375" customWidth="1"/>
    <col min="4" max="4" width="31.7109375" customWidth="1"/>
    <col min="5" max="5" width="29.7109375" customWidth="1"/>
    <col min="6" max="6" width="54.7109375" customWidth="1"/>
    <col min="7" max="7" width="37.7109375" customWidth="1"/>
    <col min="8" max="8" width="19.7109375" customWidth="1"/>
    <col min="9" max="9" width="9.7109375" customWidth="1"/>
    <col min="10" max="10" width="21.7109375" customWidth="1"/>
    <col min="11" max="11" width="31.7109375" customWidth="1"/>
    <col min="12" max="12" width="8.7109375" customWidth="1"/>
    <col min="13" max="13" width="23.7109375" customWidth="1"/>
    <col min="14" max="14" width="12.7109375" customWidth="1"/>
    <col min="15" max="15" width="8.7109375" customWidth="1"/>
    <col min="16" max="16" width="23.7109375" customWidth="1"/>
    <col min="17" max="17" width="30.7109375" customWidth="1"/>
    <col min="18" max="18" width="44.7109375" customWidth="1"/>
    <col min="19" max="19" width="14.7109375" customWidth="1"/>
    <col min="20" max="20" width="12.7109375" customWidth="1"/>
    <col min="21" max="21" width="10.7109375" customWidth="1"/>
    <col min="22" max="23" width="15.7109375" customWidth="1"/>
    <col min="24" max="24" width="11.7109375" customWidth="1"/>
    <col min="25" max="25" width="9.7109375" customWidth="1"/>
    <col min="26" max="26" width="14.7109375" customWidth="1"/>
    <col min="27" max="27" width="13.7109375" customWidth="1"/>
    <col min="28" max="28" width="22.7109375" customWidth="1"/>
    <col min="29" max="29" width="17.7109375" customWidth="1"/>
    <col min="30" max="30" width="13.7109375" customWidth="1"/>
    <col min="31" max="31" width="10.7109375" customWidth="1"/>
    <col min="32" max="33" width="17.7109375" customWidth="1"/>
    <col min="34" max="34" width="8.7109375" customWidth="1"/>
    <col min="35" max="35" width="17.7109375" customWidth="1"/>
    <col min="36" max="36" width="15.7109375" customWidth="1"/>
    <col min="37" max="37" width="21.7109375" customWidth="1"/>
    <col min="38" max="38" width="6.7109375" customWidth="1"/>
    <col min="39" max="39" width="11.7109375" customWidth="1"/>
    <col min="40" max="40" width="16.7109375" customWidth="1"/>
    <col min="41" max="41" width="26.7109375" customWidth="1"/>
    <col min="42" max="42" width="9.7109375" customWidth="1"/>
    <col min="43" max="43" width="14.7109375" customWidth="1"/>
    <col min="44" max="44" width="16.7109375" customWidth="1"/>
    <col min="45" max="45" width="23.7109375" customWidth="1"/>
    <col min="46" max="46" width="21.7109375" customWidth="1"/>
    <col min="47" max="47" width="33.7109375" customWidth="1"/>
    <col min="48" max="48" width="23.7109375" customWidth="1"/>
    <col min="49" max="49" width="21.7109375" customWidth="1"/>
    <col min="50" max="50" width="13.7109375" customWidth="1"/>
    <col min="51" max="51" width="20.7109375" customWidth="1"/>
    <col min="52" max="52" width="14.7109375" customWidth="1"/>
    <col min="53" max="53" width="19.7109375" customWidth="1"/>
    <col min="54" max="54" width="14.7109375" customWidth="1"/>
    <col min="55" max="55" width="10.7109375" customWidth="1"/>
    <col min="56" max="56" width="18.7109375" customWidth="1"/>
    <col min="57" max="57" width="16.7109375" customWidth="1"/>
    <col min="58" max="58" width="17.7109375" customWidth="1"/>
    <col min="59" max="59" width="28.7109375" customWidth="1"/>
    <col min="60" max="60" width="17.7109375" customWidth="1"/>
    <col min="61" max="61" width="28.7109375" customWidth="1"/>
    <col min="62" max="62" width="19.7109375" customWidth="1"/>
    <col min="63" max="63" width="26.7109375" customWidth="1"/>
    <col min="64" max="64" width="14.7109375" customWidth="1"/>
    <col min="65" max="65" width="18.7109375" customWidth="1"/>
    <col min="66" max="66" width="14.7109375" customWidth="1"/>
    <col min="67" max="67" width="22.7109375" customWidth="1"/>
    <col min="68" max="68" width="15.7109375" customWidth="1"/>
    <col min="69" max="70" width="13.7109375" customWidth="1"/>
    <col min="71" max="71" width="20.7109375" customWidth="1"/>
    <col min="72" max="72" width="17.7109375" customWidth="1"/>
    <col min="73" max="74" width="19.7109375" customWidth="1"/>
    <col min="75" max="75" width="20.7109375" customWidth="1"/>
    <col min="76" max="76" width="11.7109375" customWidth="1"/>
    <col min="77" max="77" width="17.7109375" customWidth="1"/>
    <col min="78" max="78" width="16.7109375" customWidth="1"/>
    <col min="79" max="79" width="22.7109375" customWidth="1"/>
    <col min="80" max="80" width="14.7109375" customWidth="1"/>
    <col min="81" max="81" width="23.7109375" customWidth="1"/>
    <col min="82" max="82" width="19.7109375" customWidth="1"/>
    <col min="83" max="83" width="16.7109375" customWidth="1"/>
    <col min="84" max="84" width="32.7109375" customWidth="1"/>
    <col min="85" max="85" width="26.7109375" customWidth="1"/>
    <col min="86" max="86" width="22.7109375" customWidth="1"/>
    <col min="87" max="87" width="28.7109375" customWidth="1"/>
    <col min="88" max="88" width="11.7109375" customWidth="1"/>
    <col min="89" max="89" width="14.7109375" customWidth="1"/>
    <col min="90" max="90" width="18.7109375" customWidth="1"/>
    <col min="91" max="91" width="21.7109375" customWidth="1"/>
    <col min="92" max="92" width="25.7109375" customWidth="1"/>
    <col min="93" max="93" width="30.7109375" customWidth="1"/>
    <col min="94" max="94" width="32.7109375" customWidth="1"/>
    <col min="95" max="95" width="14.7109375" customWidth="1"/>
    <col min="96" max="96" width="20.7109375" customWidth="1"/>
    <col min="97" max="97" width="46.7109375" customWidth="1"/>
    <col min="98" max="98" width="13.7109375" customWidth="1"/>
    <col min="99" max="99" width="14.7109375" customWidth="1"/>
    <col min="100" max="100" width="48.7109375" customWidth="1"/>
    <col min="101" max="101" width="19.7109375" customWidth="1"/>
    <col min="102" max="102" width="21.7109375" customWidth="1"/>
    <col min="103" max="103" width="22.7109375" customWidth="1"/>
    <col min="104" max="104" width="28.7109375" customWidth="1"/>
    <col min="105" max="105" width="29.7109375" customWidth="1"/>
    <col min="106" max="107" width="22.7109375" customWidth="1"/>
    <col min="108" max="108" width="21.7109375" customWidth="1"/>
    <col min="109" max="109" width="15.7109375" customWidth="1"/>
    <col min="110" max="110" width="13.7109375" customWidth="1"/>
    <col min="111" max="111" width="28.7109375" customWidth="1"/>
    <col min="112" max="112" width="22.7109375" customWidth="1"/>
    <col min="113" max="113" width="21.7109375" customWidth="1"/>
    <col min="114" max="114" width="17.7109375" customWidth="1"/>
    <col min="115" max="115" width="23.7109375" customWidth="1"/>
    <col min="116" max="116" width="14.7109375" customWidth="1"/>
    <col min="117" max="117" width="21.7109375" customWidth="1"/>
    <col min="118" max="118" width="17.7109375" customWidth="1"/>
    <col min="119" max="119" width="10.7109375" customWidth="1"/>
    <col min="120" max="120" width="21.7109375" customWidth="1"/>
    <col min="121" max="121" width="19.7109375" customWidth="1"/>
    <col min="122" max="122" width="13.7109375" customWidth="1"/>
    <col min="123" max="123" width="17.7109375" customWidth="1"/>
    <col min="124" max="125" width="6.7109375" customWidth="1"/>
    <col min="126" max="126" width="13.7109375" customWidth="1"/>
    <col min="127" max="127" width="16.7109375" customWidth="1"/>
    <col min="128" max="128" width="15.7109375" customWidth="1"/>
    <col min="129" max="129" width="38.7109375" customWidth="1"/>
    <col min="130" max="130" width="14.7109375" customWidth="1"/>
    <col min="131" max="131" width="9.7109375" customWidth="1"/>
    <col min="132" max="132" width="13.7109375" customWidth="1"/>
    <col min="133" max="133" width="30.7109375" customWidth="1"/>
    <col min="134" max="134" width="20.7109375" customWidth="1"/>
    <col min="135" max="135" width="38.7109375" customWidth="1"/>
    <col min="136" max="136" width="6.7109375" customWidth="1"/>
    <col min="137" max="137" width="11.7109375" customWidth="1"/>
    <col min="138" max="138" width="9.7109375" customWidth="1"/>
    <col min="139" max="139" width="33.7109375" customWidth="1"/>
    <col min="140" max="140" width="19.7109375" customWidth="1"/>
    <col min="141" max="141" width="28.7109375" customWidth="1"/>
    <col min="142" max="142" width="36.7109375" customWidth="1"/>
    <col min="143" max="143" width="27.7109375" customWidth="1"/>
    <col min="144" max="144" width="15.7109375" customWidth="1"/>
    <col min="145" max="146" width="10.7109375" customWidth="1"/>
    <col min="147" max="147" width="19.7109375" customWidth="1"/>
    <col min="148" max="148" width="17.7109375" customWidth="1"/>
    <col min="149" max="149" width="21.7109375" customWidth="1"/>
    <col min="150" max="151" width="19.7109375" customWidth="1"/>
    <col min="152" max="152" width="27.7109375" customWidth="1"/>
    <col min="153" max="153" width="19.7109375" customWidth="1"/>
    <col min="154" max="154" width="31.7109375" customWidth="1"/>
    <col min="155" max="155" width="28.7109375" customWidth="1"/>
    <col min="156" max="156" width="12.7109375" customWidth="1"/>
    <col min="157" max="157" width="23.7109375" customWidth="1"/>
    <col min="158" max="158" width="12.7109375" customWidth="1"/>
    <col min="159" max="159" width="20.7109375" customWidth="1"/>
    <col min="160" max="160" width="22.7109375" customWidth="1"/>
    <col min="161" max="161" width="19.7109375" customWidth="1"/>
    <col min="162" max="162" width="20.7109375" customWidth="1"/>
    <col min="163" max="163" width="37.7109375" customWidth="1"/>
    <col min="164" max="164" width="18.7109375" customWidth="1"/>
    <col min="165" max="165" width="23.7109375" customWidth="1"/>
    <col min="166" max="166" width="7.7109375" customWidth="1"/>
    <col min="167" max="167" width="9.7109375" customWidth="1"/>
    <col min="168" max="168" width="18.7109375" customWidth="1"/>
    <col min="169" max="169" width="28.7109375" customWidth="1"/>
    <col min="170" max="170" width="21.7109375" customWidth="1"/>
    <col min="171" max="172" width="17.7109375" customWidth="1"/>
    <col min="173" max="173" width="6.7109375" customWidth="1"/>
    <col min="174" max="174" width="7.7109375" customWidth="1"/>
    <col min="175" max="177" width="6.7109375" customWidth="1"/>
    <col min="178" max="178" width="15.7109375" customWidth="1"/>
    <col min="179" max="179" width="19.7109375" customWidth="1"/>
    <col min="180" max="180" width="12.7109375" customWidth="1"/>
    <col min="181" max="181" width="7.7109375" customWidth="1"/>
    <col min="182" max="182" width="15.7109375" customWidth="1"/>
    <col min="183" max="183" width="48.7109375" customWidth="1"/>
    <col min="184" max="184" width="14.7109375" customWidth="1"/>
    <col min="185" max="186" width="16.7109375" customWidth="1"/>
    <col min="187" max="187" width="18.7109375" customWidth="1"/>
    <col min="188" max="188" width="32.7109375" customWidth="1"/>
    <col min="189" max="189" width="36.7109375" customWidth="1"/>
    <col min="190" max="190" width="24.7109375" customWidth="1"/>
    <col min="191" max="191" width="30.7109375" customWidth="1"/>
    <col min="192" max="192" width="27.7109375" customWidth="1"/>
    <col min="193" max="193" width="22.7109375" customWidth="1"/>
    <col min="194" max="194" width="20.7109375" customWidth="1"/>
    <col min="195" max="195" width="19.7109375" customWidth="1"/>
    <col min="196" max="196" width="25.7109375" customWidth="1"/>
    <col min="197" max="197" width="21.7109375" customWidth="1"/>
    <col min="198" max="198" width="18.7109375" customWidth="1"/>
    <col min="199" max="199" width="6.7109375" customWidth="1"/>
    <col min="200" max="200" width="10.7109375" customWidth="1"/>
    <col min="201" max="201" width="20.7109375" customWidth="1"/>
    <col min="202" max="202" width="11.7109375" customWidth="1"/>
    <col min="203" max="203" width="12.7109375" customWidth="1"/>
    <col min="204" max="204" width="7.7109375" customWidth="1"/>
    <col min="205" max="205" width="11.7109375" customWidth="1"/>
    <col min="206" max="206" width="13.7109375" customWidth="1"/>
    <col min="207" max="207" width="9.7109375" customWidth="1"/>
    <col min="208" max="208" width="25.7109375" customWidth="1"/>
    <col min="209" max="209" width="6.7109375" customWidth="1"/>
    <col min="210" max="210" width="22.7109375" customWidth="1"/>
    <col min="211" max="211" width="11.7109375" customWidth="1"/>
    <col min="212" max="212" width="19.7109375" customWidth="1"/>
    <col min="213" max="213" width="21.7109375" customWidth="1"/>
    <col min="214" max="214" width="17.7109375" customWidth="1"/>
    <col min="215" max="215" width="10.7109375" customWidth="1"/>
    <col min="216" max="216" width="27.7109375" customWidth="1"/>
    <col min="217" max="217" width="24.7109375" customWidth="1"/>
    <col min="218" max="218" width="20.7109375" customWidth="1"/>
    <col min="219" max="219" width="14.7109375" customWidth="1"/>
    <col min="220" max="220" width="16.7109375" customWidth="1"/>
    <col min="221" max="221" width="25.7109375" customWidth="1"/>
    <col min="222" max="222" width="10.7109375" customWidth="1"/>
    <col min="223" max="224" width="11.7109375" customWidth="1"/>
    <col min="225" max="225" width="15.7109375" customWidth="1"/>
    <col min="226" max="226" width="18.7109375" customWidth="1"/>
    <col min="227" max="227" width="12.7109375" customWidth="1"/>
    <col min="228" max="228" width="9.7109375" customWidth="1"/>
    <col min="229" max="229" width="12.7109375" customWidth="1"/>
    <col min="230" max="230" width="24.7109375" customWidth="1"/>
    <col min="231" max="231" width="10.7109375" customWidth="1"/>
    <col min="232" max="232" width="19.7109375" customWidth="1"/>
    <col min="233" max="233" width="15.7109375" customWidth="1"/>
    <col min="234" max="234" width="19.7109375" customWidth="1"/>
    <col min="235" max="235" width="20.7109375" customWidth="1"/>
    <col min="236" max="236" width="11.7109375" customWidth="1"/>
    <col min="237" max="237" width="19.7109375" customWidth="1"/>
    <col min="238" max="238" width="20.7109375" customWidth="1"/>
    <col min="239" max="240" width="30.7109375" customWidth="1"/>
    <col min="241" max="242" width="22.7109375" customWidth="1"/>
    <col min="243" max="243" width="17.7109375" customWidth="1"/>
    <col min="244" max="244" width="13.7109375" customWidth="1"/>
    <col min="245" max="245" width="15.7109375" customWidth="1"/>
    <col min="246" max="246" width="20.7109375" customWidth="1"/>
    <col min="247" max="247" width="24.7109375" customWidth="1"/>
    <col min="248" max="248" width="19.7109375" customWidth="1"/>
    <col min="249" max="249" width="22.7109375" customWidth="1"/>
    <col min="250" max="250" width="32.7109375" customWidth="1"/>
    <col min="251" max="251" width="11.7109375" customWidth="1"/>
    <col min="252" max="252" width="15.7109375" customWidth="1"/>
    <col min="253" max="253" width="8.7109375" customWidth="1"/>
    <col min="254" max="254" width="13.7109375" customWidth="1"/>
    <col min="255" max="255" width="11.7109375" customWidth="1"/>
    <col min="256" max="256" width="47.7109375" customWidth="1"/>
    <col min="257" max="257" width="11.7109375" customWidth="1"/>
    <col min="258" max="258" width="17.7109375" customWidth="1"/>
    <col min="259" max="260" width="19.7109375" customWidth="1"/>
    <col min="261" max="261" width="45.7109375" customWidth="1"/>
    <col min="262" max="262" width="15.7109375" customWidth="1"/>
    <col min="263" max="263" width="21.7109375" customWidth="1"/>
    <col min="264" max="265" width="8.7109375" customWidth="1"/>
    <col min="266" max="266" width="25.7109375" customWidth="1"/>
    <col min="267" max="267" width="22.7109375" customWidth="1"/>
    <col min="268" max="268" width="39.7109375" customWidth="1"/>
    <col min="269" max="269" width="28.7109375" customWidth="1"/>
    <col min="270" max="270" width="9.7109375" customWidth="1"/>
    <col min="271" max="271" width="15.7109375" customWidth="1"/>
    <col min="272" max="272" width="14.7109375" customWidth="1"/>
    <col min="273" max="273" width="13.7109375" customWidth="1"/>
    <col min="274" max="274" width="28.7109375" customWidth="1"/>
    <col min="275" max="275" width="31.7109375" customWidth="1"/>
    <col min="276" max="276" width="33.7109375" customWidth="1"/>
    <col min="277" max="277" width="14.7109375" customWidth="1"/>
    <col min="278" max="278" width="26.7109375" customWidth="1"/>
    <col min="279" max="279" width="21.7109375" customWidth="1"/>
    <col min="280" max="280" width="12.7109375" customWidth="1"/>
    <col min="281" max="281" width="10.7109375" customWidth="1"/>
  </cols>
  <sheetData>
    <row r="1" spans="1:281">
      <c r="A1" s="4" t="s">
        <v>3</v>
      </c>
      <c r="B1" s="4" t="s">
        <v>668</v>
      </c>
      <c r="C1" s="4" t="s">
        <v>669</v>
      </c>
      <c r="D1" s="4" t="s">
        <v>670</v>
      </c>
      <c r="E1" s="4" t="s">
        <v>671</v>
      </c>
      <c r="F1" s="4" t="s">
        <v>672</v>
      </c>
      <c r="G1" s="4" t="s">
        <v>673</v>
      </c>
      <c r="H1" s="4" t="s">
        <v>674</v>
      </c>
      <c r="I1" s="4" t="s">
        <v>675</v>
      </c>
      <c r="J1" s="4" t="s">
        <v>676</v>
      </c>
      <c r="K1" s="4" t="s">
        <v>677</v>
      </c>
      <c r="L1" s="4" t="s">
        <v>678</v>
      </c>
      <c r="M1" s="4" t="s">
        <v>679</v>
      </c>
      <c r="N1" s="4" t="s">
        <v>680</v>
      </c>
      <c r="O1" s="4" t="s">
        <v>681</v>
      </c>
      <c r="P1" s="4" t="s">
        <v>682</v>
      </c>
      <c r="Q1" s="4" t="s">
        <v>683</v>
      </c>
      <c r="R1" s="4" t="s">
        <v>684</v>
      </c>
      <c r="S1" s="4" t="s">
        <v>685</v>
      </c>
      <c r="T1" s="4" t="s">
        <v>686</v>
      </c>
      <c r="U1" s="4" t="s">
        <v>687</v>
      </c>
      <c r="V1" s="4" t="s">
        <v>688</v>
      </c>
      <c r="W1" s="4" t="s">
        <v>689</v>
      </c>
      <c r="X1" s="4" t="s">
        <v>690</v>
      </c>
      <c r="Y1" s="4" t="s">
        <v>691</v>
      </c>
      <c r="Z1" s="4" t="s">
        <v>692</v>
      </c>
      <c r="AA1" s="4" t="s">
        <v>693</v>
      </c>
      <c r="AB1" s="4" t="s">
        <v>694</v>
      </c>
      <c r="AC1" s="4" t="s">
        <v>695</v>
      </c>
      <c r="AD1" s="4" t="s">
        <v>696</v>
      </c>
      <c r="AE1" s="4" t="s">
        <v>697</v>
      </c>
      <c r="AF1" s="4" t="s">
        <v>698</v>
      </c>
      <c r="AG1" s="4" t="s">
        <v>699</v>
      </c>
      <c r="AH1" s="4" t="s">
        <v>700</v>
      </c>
      <c r="AI1" s="4" t="s">
        <v>701</v>
      </c>
      <c r="AJ1" s="4" t="s">
        <v>702</v>
      </c>
      <c r="AK1" s="4" t="s">
        <v>703</v>
      </c>
      <c r="AL1" s="4" t="s">
        <v>704</v>
      </c>
      <c r="AM1" s="4" t="s">
        <v>705</v>
      </c>
      <c r="AN1" s="4" t="s">
        <v>706</v>
      </c>
      <c r="AO1" s="4" t="s">
        <v>707</v>
      </c>
      <c r="AP1" s="4" t="s">
        <v>708</v>
      </c>
      <c r="AQ1" s="4" t="s">
        <v>709</v>
      </c>
      <c r="AR1" s="4" t="s">
        <v>710</v>
      </c>
      <c r="AS1" s="4" t="s">
        <v>711</v>
      </c>
      <c r="AT1" s="4" t="s">
        <v>712</v>
      </c>
      <c r="AU1" s="4" t="s">
        <v>713</v>
      </c>
      <c r="AV1" s="4" t="s">
        <v>714</v>
      </c>
      <c r="AW1" s="4" t="s">
        <v>715</v>
      </c>
      <c r="AX1" s="4" t="s">
        <v>716</v>
      </c>
      <c r="AY1" s="4" t="s">
        <v>717</v>
      </c>
      <c r="AZ1" s="4" t="s">
        <v>718</v>
      </c>
      <c r="BA1" s="4" t="s">
        <v>719</v>
      </c>
      <c r="BB1" s="4" t="s">
        <v>720</v>
      </c>
      <c r="BC1" s="4" t="s">
        <v>721</v>
      </c>
      <c r="BD1" s="4" t="s">
        <v>722</v>
      </c>
      <c r="BE1" s="4" t="s">
        <v>723</v>
      </c>
      <c r="BF1" s="4" t="s">
        <v>724</v>
      </c>
      <c r="BG1" s="4" t="s">
        <v>725</v>
      </c>
      <c r="BH1" s="4" t="s">
        <v>726</v>
      </c>
      <c r="BI1" s="4" t="s">
        <v>727</v>
      </c>
      <c r="BJ1" s="4" t="s">
        <v>728</v>
      </c>
      <c r="BK1" s="4" t="s">
        <v>729</v>
      </c>
      <c r="BL1" s="4" t="s">
        <v>730</v>
      </c>
      <c r="BM1" s="4" t="s">
        <v>731</v>
      </c>
      <c r="BN1" s="4" t="s">
        <v>732</v>
      </c>
      <c r="BO1" s="4" t="s">
        <v>733</v>
      </c>
      <c r="BP1" s="4" t="s">
        <v>734</v>
      </c>
      <c r="BQ1" s="4" t="s">
        <v>735</v>
      </c>
      <c r="BR1" s="4" t="s">
        <v>736</v>
      </c>
      <c r="BS1" s="4" t="s">
        <v>737</v>
      </c>
      <c r="BT1" s="4" t="s">
        <v>738</v>
      </c>
      <c r="BU1" s="4" t="s">
        <v>739</v>
      </c>
      <c r="BV1" s="4" t="s">
        <v>740</v>
      </c>
      <c r="BW1" s="4" t="s">
        <v>741</v>
      </c>
      <c r="BX1" s="4" t="s">
        <v>742</v>
      </c>
      <c r="BY1" s="4" t="s">
        <v>743</v>
      </c>
      <c r="BZ1" s="4" t="s">
        <v>744</v>
      </c>
      <c r="CA1" s="4" t="s">
        <v>745</v>
      </c>
      <c r="CB1" s="4" t="s">
        <v>746</v>
      </c>
      <c r="CC1" s="4" t="s">
        <v>747</v>
      </c>
      <c r="CD1" s="4" t="s">
        <v>748</v>
      </c>
      <c r="CE1" s="4" t="s">
        <v>749</v>
      </c>
      <c r="CF1" s="4" t="s">
        <v>750</v>
      </c>
      <c r="CG1" s="4" t="s">
        <v>751</v>
      </c>
      <c r="CH1" s="4" t="s">
        <v>752</v>
      </c>
      <c r="CI1" s="4" t="s">
        <v>753</v>
      </c>
      <c r="CJ1" s="4" t="s">
        <v>754</v>
      </c>
      <c r="CK1" s="4" t="s">
        <v>755</v>
      </c>
      <c r="CL1" s="4" t="s">
        <v>756</v>
      </c>
      <c r="CM1" s="4" t="s">
        <v>757</v>
      </c>
      <c r="CN1" s="4" t="s">
        <v>758</v>
      </c>
      <c r="CO1" s="4" t="s">
        <v>759</v>
      </c>
      <c r="CP1" s="4" t="s">
        <v>760</v>
      </c>
      <c r="CQ1" s="4" t="s">
        <v>761</v>
      </c>
      <c r="CR1" s="4" t="s">
        <v>762</v>
      </c>
      <c r="CS1" s="4" t="s">
        <v>763</v>
      </c>
      <c r="CT1" s="4" t="s">
        <v>764</v>
      </c>
      <c r="CU1" s="4" t="s">
        <v>765</v>
      </c>
      <c r="CV1" s="4" t="s">
        <v>766</v>
      </c>
      <c r="CW1" s="4" t="s">
        <v>767</v>
      </c>
      <c r="CX1" s="4" t="s">
        <v>768</v>
      </c>
      <c r="CY1" s="4" t="s">
        <v>769</v>
      </c>
      <c r="CZ1" s="4" t="s">
        <v>770</v>
      </c>
      <c r="DA1" s="4" t="s">
        <v>771</v>
      </c>
      <c r="DB1" s="4" t="s">
        <v>772</v>
      </c>
      <c r="DC1" s="4" t="s">
        <v>773</v>
      </c>
      <c r="DD1" s="4" t="s">
        <v>774</v>
      </c>
      <c r="DE1" s="4" t="s">
        <v>775</v>
      </c>
      <c r="DF1" s="4" t="s">
        <v>776</v>
      </c>
      <c r="DG1" s="4" t="s">
        <v>777</v>
      </c>
      <c r="DH1" s="4" t="s">
        <v>778</v>
      </c>
      <c r="DI1" s="4" t="s">
        <v>779</v>
      </c>
      <c r="DJ1" s="4" t="s">
        <v>780</v>
      </c>
      <c r="DK1" s="4" t="s">
        <v>781</v>
      </c>
      <c r="DL1" s="4" t="s">
        <v>782</v>
      </c>
      <c r="DM1" s="4" t="s">
        <v>783</v>
      </c>
      <c r="DN1" s="4" t="s">
        <v>784</v>
      </c>
      <c r="DO1" s="4" t="s">
        <v>785</v>
      </c>
      <c r="DP1" s="4" t="s">
        <v>786</v>
      </c>
      <c r="DQ1" s="4" t="s">
        <v>787</v>
      </c>
      <c r="DR1" s="4" t="s">
        <v>788</v>
      </c>
      <c r="DS1" s="4" t="s">
        <v>789</v>
      </c>
      <c r="DT1" s="4" t="s">
        <v>790</v>
      </c>
      <c r="DU1" s="4" t="s">
        <v>791</v>
      </c>
      <c r="DV1" s="4" t="s">
        <v>792</v>
      </c>
      <c r="DW1" s="4" t="s">
        <v>793</v>
      </c>
      <c r="DX1" s="4" t="s">
        <v>794</v>
      </c>
      <c r="DY1" s="4" t="s">
        <v>795</v>
      </c>
      <c r="DZ1" s="4" t="s">
        <v>796</v>
      </c>
      <c r="EA1" s="4" t="s">
        <v>797</v>
      </c>
      <c r="EB1" s="4" t="s">
        <v>798</v>
      </c>
      <c r="EC1" s="4" t="s">
        <v>799</v>
      </c>
      <c r="ED1" s="4" t="s">
        <v>800</v>
      </c>
      <c r="EE1" s="4" t="s">
        <v>801</v>
      </c>
      <c r="EF1" s="4" t="s">
        <v>802</v>
      </c>
      <c r="EG1" s="4" t="s">
        <v>803</v>
      </c>
      <c r="EH1" s="4" t="s">
        <v>804</v>
      </c>
      <c r="EI1" s="4" t="s">
        <v>805</v>
      </c>
      <c r="EJ1" s="4" t="s">
        <v>806</v>
      </c>
      <c r="EK1" s="4" t="s">
        <v>807</v>
      </c>
      <c r="EL1" s="4" t="s">
        <v>808</v>
      </c>
      <c r="EM1" s="4" t="s">
        <v>809</v>
      </c>
      <c r="EN1" s="4" t="s">
        <v>810</v>
      </c>
      <c r="EO1" s="4" t="s">
        <v>811</v>
      </c>
      <c r="EP1" s="4" t="s">
        <v>812</v>
      </c>
      <c r="EQ1" s="4" t="s">
        <v>813</v>
      </c>
      <c r="ER1" s="4" t="s">
        <v>814</v>
      </c>
      <c r="ES1" s="4" t="s">
        <v>815</v>
      </c>
      <c r="ET1" s="4" t="s">
        <v>816</v>
      </c>
      <c r="EU1" s="4" t="s">
        <v>817</v>
      </c>
      <c r="EV1" s="4" t="s">
        <v>818</v>
      </c>
      <c r="EW1" s="4" t="s">
        <v>819</v>
      </c>
      <c r="EX1" s="4" t="s">
        <v>820</v>
      </c>
      <c r="EY1" s="4" t="s">
        <v>821</v>
      </c>
      <c r="EZ1" s="4" t="s">
        <v>822</v>
      </c>
      <c r="FA1" s="4" t="s">
        <v>823</v>
      </c>
      <c r="FB1" s="4" t="s">
        <v>824</v>
      </c>
      <c r="FC1" s="4" t="s">
        <v>825</v>
      </c>
      <c r="FD1" s="4" t="s">
        <v>826</v>
      </c>
      <c r="FE1" s="4" t="s">
        <v>827</v>
      </c>
      <c r="FF1" s="4" t="s">
        <v>828</v>
      </c>
      <c r="FG1" s="4" t="s">
        <v>829</v>
      </c>
      <c r="FH1" s="4" t="s">
        <v>830</v>
      </c>
      <c r="FI1" s="4" t="s">
        <v>831</v>
      </c>
      <c r="FJ1" s="4" t="s">
        <v>832</v>
      </c>
      <c r="FK1" s="4" t="s">
        <v>833</v>
      </c>
      <c r="FL1" s="4" t="s">
        <v>834</v>
      </c>
      <c r="FM1" s="4" t="s">
        <v>835</v>
      </c>
      <c r="FN1" s="4" t="s">
        <v>836</v>
      </c>
      <c r="FO1" s="4" t="s">
        <v>837</v>
      </c>
      <c r="FP1" s="4" t="s">
        <v>838</v>
      </c>
      <c r="FQ1" s="4" t="s">
        <v>839</v>
      </c>
      <c r="FR1" s="4" t="s">
        <v>840</v>
      </c>
      <c r="FS1" s="4" t="s">
        <v>841</v>
      </c>
      <c r="FT1" s="4" t="s">
        <v>842</v>
      </c>
      <c r="FU1" s="4" t="s">
        <v>843</v>
      </c>
      <c r="FV1" s="4" t="s">
        <v>844</v>
      </c>
      <c r="FW1" s="4" t="s">
        <v>845</v>
      </c>
      <c r="FX1" s="4" t="s">
        <v>846</v>
      </c>
      <c r="FY1" s="4" t="s">
        <v>847</v>
      </c>
      <c r="FZ1" s="4" t="s">
        <v>848</v>
      </c>
      <c r="GA1" s="4" t="s">
        <v>849</v>
      </c>
      <c r="GB1" s="4" t="s">
        <v>850</v>
      </c>
      <c r="GC1" s="4" t="s">
        <v>851</v>
      </c>
      <c r="GD1" s="4" t="s">
        <v>852</v>
      </c>
      <c r="GE1" s="4" t="s">
        <v>853</v>
      </c>
      <c r="GF1" s="4" t="s">
        <v>854</v>
      </c>
      <c r="GG1" s="4" t="s">
        <v>855</v>
      </c>
      <c r="GH1" s="4" t="s">
        <v>856</v>
      </c>
      <c r="GI1" s="4" t="s">
        <v>857</v>
      </c>
      <c r="GJ1" s="4" t="s">
        <v>858</v>
      </c>
      <c r="GK1" s="4" t="s">
        <v>859</v>
      </c>
      <c r="GL1" s="4" t="s">
        <v>860</v>
      </c>
      <c r="GM1" s="4" t="s">
        <v>861</v>
      </c>
      <c r="GN1" s="4" t="s">
        <v>862</v>
      </c>
      <c r="GO1" s="4" t="s">
        <v>863</v>
      </c>
      <c r="GP1" s="4" t="s">
        <v>864</v>
      </c>
      <c r="GQ1" s="4" t="s">
        <v>865</v>
      </c>
      <c r="GR1" s="4" t="s">
        <v>866</v>
      </c>
      <c r="GS1" s="4" t="s">
        <v>867</v>
      </c>
      <c r="GT1" s="4" t="s">
        <v>868</v>
      </c>
      <c r="GU1" s="4" t="s">
        <v>869</v>
      </c>
      <c r="GV1" s="4" t="s">
        <v>870</v>
      </c>
      <c r="GW1" s="4" t="s">
        <v>871</v>
      </c>
      <c r="GX1" s="4" t="s">
        <v>872</v>
      </c>
      <c r="GY1" s="4" t="s">
        <v>873</v>
      </c>
      <c r="GZ1" s="4" t="s">
        <v>874</v>
      </c>
      <c r="HA1" s="4" t="s">
        <v>875</v>
      </c>
      <c r="HB1" s="4" t="s">
        <v>876</v>
      </c>
      <c r="HC1" s="4" t="s">
        <v>877</v>
      </c>
      <c r="HD1" s="4" t="s">
        <v>878</v>
      </c>
      <c r="HE1" s="4" t="s">
        <v>879</v>
      </c>
      <c r="HF1" s="4" t="s">
        <v>880</v>
      </c>
      <c r="HG1" s="4" t="s">
        <v>881</v>
      </c>
      <c r="HH1" s="4" t="s">
        <v>882</v>
      </c>
      <c r="HI1" s="4" t="s">
        <v>883</v>
      </c>
      <c r="HJ1" s="4" t="s">
        <v>884</v>
      </c>
      <c r="HK1" s="4" t="s">
        <v>885</v>
      </c>
      <c r="HL1" s="4" t="s">
        <v>886</v>
      </c>
      <c r="HM1" s="4" t="s">
        <v>887</v>
      </c>
      <c r="HN1" s="4" t="s">
        <v>888</v>
      </c>
      <c r="HO1" s="4" t="s">
        <v>889</v>
      </c>
      <c r="HP1" s="4" t="s">
        <v>890</v>
      </c>
      <c r="HQ1" s="4" t="s">
        <v>891</v>
      </c>
      <c r="HR1" s="4" t="s">
        <v>892</v>
      </c>
      <c r="HS1" s="4" t="s">
        <v>893</v>
      </c>
      <c r="HT1" s="4" t="s">
        <v>894</v>
      </c>
      <c r="HU1" s="4" t="s">
        <v>895</v>
      </c>
      <c r="HV1" s="4" t="s">
        <v>896</v>
      </c>
      <c r="HW1" s="4" t="s">
        <v>897</v>
      </c>
      <c r="HX1" s="4" t="s">
        <v>898</v>
      </c>
      <c r="HY1" s="4" t="s">
        <v>899</v>
      </c>
      <c r="HZ1" s="4" t="s">
        <v>900</v>
      </c>
      <c r="IA1" s="4" t="s">
        <v>901</v>
      </c>
      <c r="IB1" s="4" t="s">
        <v>902</v>
      </c>
      <c r="IC1" s="4" t="s">
        <v>903</v>
      </c>
      <c r="ID1" s="4" t="s">
        <v>904</v>
      </c>
      <c r="IE1" s="4" t="s">
        <v>905</v>
      </c>
      <c r="IF1" s="4" t="s">
        <v>906</v>
      </c>
      <c r="IG1" s="4" t="s">
        <v>907</v>
      </c>
      <c r="IH1" s="4" t="s">
        <v>908</v>
      </c>
      <c r="II1" s="4" t="s">
        <v>909</v>
      </c>
      <c r="IJ1" s="4" t="s">
        <v>910</v>
      </c>
      <c r="IK1" s="4" t="s">
        <v>911</v>
      </c>
      <c r="IL1" s="4" t="s">
        <v>912</v>
      </c>
      <c r="IM1" s="4" t="s">
        <v>913</v>
      </c>
      <c r="IN1" s="4" t="s">
        <v>914</v>
      </c>
      <c r="IO1" s="4" t="s">
        <v>915</v>
      </c>
      <c r="IP1" s="4" t="s">
        <v>916</v>
      </c>
      <c r="IQ1" s="4" t="s">
        <v>917</v>
      </c>
      <c r="IR1" s="4" t="s">
        <v>918</v>
      </c>
      <c r="IS1" s="4" t="s">
        <v>919</v>
      </c>
      <c r="IT1" s="4" t="s">
        <v>920</v>
      </c>
      <c r="IU1" s="4" t="s">
        <v>921</v>
      </c>
      <c r="IV1" s="4" t="s">
        <v>922</v>
      </c>
      <c r="IW1" s="4" t="s">
        <v>923</v>
      </c>
      <c r="IX1" s="4" t="s">
        <v>924</v>
      </c>
      <c r="IY1" s="4" t="s">
        <v>925</v>
      </c>
      <c r="IZ1" s="4" t="s">
        <v>926</v>
      </c>
      <c r="JA1" s="4" t="s">
        <v>927</v>
      </c>
      <c r="JB1" s="4" t="s">
        <v>928</v>
      </c>
      <c r="JC1" s="4" t="s">
        <v>929</v>
      </c>
      <c r="JD1" s="4" t="s">
        <v>930</v>
      </c>
      <c r="JE1" s="4" t="s">
        <v>931</v>
      </c>
      <c r="JF1" s="4" t="s">
        <v>932</v>
      </c>
      <c r="JG1" s="4" t="s">
        <v>933</v>
      </c>
      <c r="JH1" s="4" t="s">
        <v>934</v>
      </c>
      <c r="JI1" s="4" t="s">
        <v>935</v>
      </c>
      <c r="JJ1" s="4" t="s">
        <v>936</v>
      </c>
      <c r="JK1" s="4" t="s">
        <v>937</v>
      </c>
      <c r="JL1" s="4" t="s">
        <v>938</v>
      </c>
      <c r="JM1" s="4" t="s">
        <v>939</v>
      </c>
      <c r="JN1" s="4" t="s">
        <v>940</v>
      </c>
      <c r="JO1" s="4" t="s">
        <v>941</v>
      </c>
      <c r="JP1" s="4" t="s">
        <v>942</v>
      </c>
      <c r="JQ1" s="4" t="s">
        <v>943</v>
      </c>
      <c r="JR1" s="4" t="s">
        <v>944</v>
      </c>
      <c r="JS1" s="4" t="s">
        <v>945</v>
      </c>
      <c r="JT1" s="4" t="s">
        <v>946</v>
      </c>
      <c r="JU1" s="4" t="s">
        <v>947</v>
      </c>
    </row>
    <row r="2" spans="1:281">
      <c r="A2" s="5" t="s">
        <v>17</v>
      </c>
      <c r="B2" s="6" t="s">
        <v>948</v>
      </c>
      <c r="C2" s="6" t="s">
        <v>949</v>
      </c>
      <c r="D2" s="6" t="s">
        <v>950</v>
      </c>
      <c r="E2" s="6" t="s">
        <v>951</v>
      </c>
      <c r="F2" s="6" t="s">
        <v>952</v>
      </c>
      <c r="G2" s="6" t="s">
        <v>953</v>
      </c>
      <c r="I2" s="6" t="s">
        <v>954</v>
      </c>
      <c r="J2" s="6" t="s">
        <v>952</v>
      </c>
      <c r="K2" s="6" t="s">
        <v>955</v>
      </c>
      <c r="L2" s="6" t="s">
        <v>956</v>
      </c>
      <c r="N2" s="6" t="s">
        <v>952</v>
      </c>
      <c r="P2" s="6" t="s">
        <v>957</v>
      </c>
      <c r="Q2" s="6" t="s">
        <v>958</v>
      </c>
      <c r="S2" s="6" t="s">
        <v>959</v>
      </c>
      <c r="T2" s="6" t="s">
        <v>952</v>
      </c>
      <c r="U2" s="6" t="s">
        <v>952</v>
      </c>
      <c r="V2" s="6" t="s">
        <v>960</v>
      </c>
      <c r="W2" s="6" t="s">
        <v>961</v>
      </c>
      <c r="EX2" s="6" t="s">
        <v>955</v>
      </c>
    </row>
    <row r="3" spans="1:281">
      <c r="A3" s="9" t="s">
        <v>30</v>
      </c>
      <c r="B3" s="10" t="s">
        <v>948</v>
      </c>
      <c r="C3" s="10" t="s">
        <v>949</v>
      </c>
      <c r="D3" s="10" t="s">
        <v>950</v>
      </c>
      <c r="E3" s="10" t="s">
        <v>951</v>
      </c>
      <c r="F3" s="10" t="s">
        <v>952</v>
      </c>
      <c r="G3" s="10" t="s">
        <v>953</v>
      </c>
      <c r="I3" s="10" t="s">
        <v>954</v>
      </c>
      <c r="J3" s="10" t="s">
        <v>952</v>
      </c>
      <c r="K3" s="10" t="s">
        <v>955</v>
      </c>
      <c r="L3" s="10" t="s">
        <v>952</v>
      </c>
      <c r="P3" s="10" t="s">
        <v>957</v>
      </c>
      <c r="Q3" s="10" t="s">
        <v>962</v>
      </c>
      <c r="S3" s="10" t="s">
        <v>963</v>
      </c>
      <c r="T3" s="10" t="s">
        <v>952</v>
      </c>
      <c r="U3" s="10" t="s">
        <v>952</v>
      </c>
      <c r="V3" s="10" t="s">
        <v>960</v>
      </c>
      <c r="W3" s="10" t="s">
        <v>964</v>
      </c>
      <c r="EX3" s="10" t="s">
        <v>955</v>
      </c>
    </row>
    <row r="4" spans="1:281">
      <c r="A4" s="5" t="s">
        <v>39</v>
      </c>
      <c r="B4" s="6" t="s">
        <v>948</v>
      </c>
      <c r="C4" s="6" t="s">
        <v>949</v>
      </c>
      <c r="D4" s="6" t="s">
        <v>950</v>
      </c>
      <c r="E4" s="6" t="s">
        <v>951</v>
      </c>
      <c r="F4" s="6" t="s">
        <v>952</v>
      </c>
      <c r="G4" s="6" t="s">
        <v>953</v>
      </c>
      <c r="H4" s="6" t="s">
        <v>965</v>
      </c>
      <c r="I4" s="6" t="s">
        <v>954</v>
      </c>
      <c r="J4" s="6" t="s">
        <v>952</v>
      </c>
      <c r="K4" s="6" t="s">
        <v>966</v>
      </c>
      <c r="L4" s="6" t="s">
        <v>956</v>
      </c>
      <c r="N4" s="6" t="s">
        <v>952</v>
      </c>
      <c r="O4" s="6" t="s">
        <v>967</v>
      </c>
      <c r="P4" s="6" t="s">
        <v>957</v>
      </c>
      <c r="Q4" s="6" t="s">
        <v>958</v>
      </c>
      <c r="S4" s="6" t="s">
        <v>968</v>
      </c>
      <c r="T4" s="6" t="s">
        <v>952</v>
      </c>
      <c r="U4" s="6" t="s">
        <v>952</v>
      </c>
      <c r="V4" s="6" t="s">
        <v>960</v>
      </c>
      <c r="W4" s="6" t="s">
        <v>964</v>
      </c>
      <c r="X4" s="6" t="s">
        <v>969</v>
      </c>
      <c r="Y4" s="6" t="s">
        <v>970</v>
      </c>
      <c r="AC4" s="6" t="s">
        <v>964</v>
      </c>
      <c r="AE4" s="6" t="s">
        <v>957</v>
      </c>
      <c r="AF4" s="6" t="s">
        <v>971</v>
      </c>
      <c r="AG4" s="6" t="s">
        <v>972</v>
      </c>
      <c r="AI4" s="6" t="s">
        <v>973</v>
      </c>
      <c r="EX4" s="6" t="s">
        <v>966</v>
      </c>
    </row>
    <row r="5" spans="1:281">
      <c r="A5" s="9" t="s">
        <v>46</v>
      </c>
      <c r="B5" s="10" t="s">
        <v>948</v>
      </c>
      <c r="C5" s="10" t="s">
        <v>949</v>
      </c>
      <c r="D5" s="10" t="s">
        <v>950</v>
      </c>
      <c r="E5" s="10" t="s">
        <v>951</v>
      </c>
      <c r="F5" s="10" t="s">
        <v>952</v>
      </c>
      <c r="G5" s="10" t="s">
        <v>953</v>
      </c>
      <c r="I5" s="10" t="s">
        <v>954</v>
      </c>
      <c r="J5" s="10" t="s">
        <v>952</v>
      </c>
      <c r="K5" s="10" t="s">
        <v>955</v>
      </c>
      <c r="L5" s="10" t="s">
        <v>956</v>
      </c>
      <c r="N5" s="10" t="s">
        <v>952</v>
      </c>
      <c r="P5" s="10" t="s">
        <v>957</v>
      </c>
      <c r="Q5" s="10" t="s">
        <v>958</v>
      </c>
      <c r="S5" s="10" t="s">
        <v>974</v>
      </c>
      <c r="T5" s="10" t="s">
        <v>952</v>
      </c>
      <c r="U5" s="10" t="s">
        <v>952</v>
      </c>
      <c r="V5" s="10" t="s">
        <v>960</v>
      </c>
      <c r="W5" s="10" t="s">
        <v>964</v>
      </c>
      <c r="EX5" s="10" t="s">
        <v>955</v>
      </c>
    </row>
    <row r="6" spans="1:281">
      <c r="A6" s="5" t="s">
        <v>54</v>
      </c>
      <c r="B6" s="6" t="s">
        <v>948</v>
      </c>
      <c r="C6" s="6" t="s">
        <v>949</v>
      </c>
      <c r="D6" s="6" t="s">
        <v>975</v>
      </c>
      <c r="E6" s="6" t="s">
        <v>951</v>
      </c>
      <c r="F6" s="6" t="s">
        <v>952</v>
      </c>
      <c r="G6" s="6" t="s">
        <v>976</v>
      </c>
      <c r="H6" s="6" t="s">
        <v>59</v>
      </c>
      <c r="I6" s="6" t="s">
        <v>954</v>
      </c>
      <c r="J6" s="6" t="s">
        <v>952</v>
      </c>
      <c r="K6" s="6" t="s">
        <v>966</v>
      </c>
      <c r="L6" s="6" t="s">
        <v>956</v>
      </c>
      <c r="N6" s="6" t="s">
        <v>952</v>
      </c>
      <c r="O6" s="6" t="s">
        <v>967</v>
      </c>
      <c r="P6" s="6" t="s">
        <v>957</v>
      </c>
      <c r="Q6" s="6" t="s">
        <v>977</v>
      </c>
      <c r="S6" s="6" t="s">
        <v>978</v>
      </c>
      <c r="T6" s="6" t="s">
        <v>952</v>
      </c>
      <c r="U6" s="6" t="s">
        <v>952</v>
      </c>
      <c r="V6" s="6" t="s">
        <v>979</v>
      </c>
      <c r="W6" s="6" t="s">
        <v>964</v>
      </c>
      <c r="X6" s="6" t="s">
        <v>980</v>
      </c>
      <c r="Y6" s="6" t="s">
        <v>981</v>
      </c>
      <c r="AC6" s="6" t="s">
        <v>964</v>
      </c>
      <c r="AE6" s="6" t="s">
        <v>957</v>
      </c>
      <c r="AF6" s="6" t="s">
        <v>971</v>
      </c>
      <c r="AG6" s="6" t="s">
        <v>972</v>
      </c>
      <c r="CD6" s="6" t="s">
        <v>982</v>
      </c>
      <c r="DC6" s="6" t="s">
        <v>983</v>
      </c>
      <c r="EX6" s="6" t="s">
        <v>966</v>
      </c>
    </row>
    <row r="7" spans="1:281" ht="30" customHeight="1">
      <c r="A7" s="9" t="s">
        <v>62</v>
      </c>
      <c r="B7" s="10" t="s">
        <v>948</v>
      </c>
      <c r="C7" s="10" t="s">
        <v>949</v>
      </c>
      <c r="D7" s="10" t="s">
        <v>950</v>
      </c>
      <c r="E7" s="10" t="s">
        <v>951</v>
      </c>
      <c r="F7" s="10" t="s">
        <v>952</v>
      </c>
      <c r="G7" s="10" t="s">
        <v>953</v>
      </c>
      <c r="H7" s="10" t="s">
        <v>965</v>
      </c>
      <c r="I7" s="10" t="s">
        <v>954</v>
      </c>
      <c r="J7" s="10" t="s">
        <v>952</v>
      </c>
      <c r="K7" s="10" t="s">
        <v>966</v>
      </c>
      <c r="L7" s="10" t="s">
        <v>956</v>
      </c>
      <c r="N7" s="10" t="s">
        <v>952</v>
      </c>
      <c r="O7" s="10" t="s">
        <v>967</v>
      </c>
      <c r="P7" s="10" t="s">
        <v>957</v>
      </c>
      <c r="Q7" s="10" t="s">
        <v>958</v>
      </c>
      <c r="S7" s="10" t="s">
        <v>984</v>
      </c>
      <c r="T7" s="10" t="s">
        <v>952</v>
      </c>
      <c r="U7" s="10" t="s">
        <v>952</v>
      </c>
      <c r="V7" s="10" t="s">
        <v>960</v>
      </c>
      <c r="W7" s="10" t="s">
        <v>985</v>
      </c>
      <c r="X7" s="10" t="s">
        <v>969</v>
      </c>
      <c r="Y7" s="10" t="s">
        <v>970</v>
      </c>
      <c r="AC7" s="10" t="s">
        <v>985</v>
      </c>
      <c r="AE7" s="10" t="s">
        <v>957</v>
      </c>
      <c r="AF7" s="10" t="s">
        <v>971</v>
      </c>
      <c r="AG7" s="10" t="s">
        <v>972</v>
      </c>
      <c r="AI7" s="10" t="s">
        <v>973</v>
      </c>
      <c r="EX7" s="10" t="s">
        <v>966</v>
      </c>
    </row>
    <row r="8" spans="1:281">
      <c r="A8" s="5" t="s">
        <v>71</v>
      </c>
      <c r="B8" s="6" t="s">
        <v>948</v>
      </c>
      <c r="C8" s="6" t="s">
        <v>949</v>
      </c>
      <c r="D8" s="6" t="s">
        <v>975</v>
      </c>
      <c r="E8" s="6" t="s">
        <v>951</v>
      </c>
      <c r="F8" s="6" t="s">
        <v>986</v>
      </c>
      <c r="G8" s="6" t="s">
        <v>976</v>
      </c>
      <c r="I8" s="6" t="s">
        <v>954</v>
      </c>
      <c r="J8" s="6" t="s">
        <v>952</v>
      </c>
      <c r="K8" s="6" t="s">
        <v>955</v>
      </c>
      <c r="L8" s="6" t="s">
        <v>956</v>
      </c>
      <c r="P8" s="6" t="s">
        <v>957</v>
      </c>
      <c r="Q8" s="6" t="s">
        <v>958</v>
      </c>
      <c r="S8" s="6" t="s">
        <v>987</v>
      </c>
      <c r="T8" s="6" t="s">
        <v>952</v>
      </c>
      <c r="U8" s="6" t="s">
        <v>952</v>
      </c>
      <c r="V8" s="6" t="s">
        <v>988</v>
      </c>
      <c r="W8" s="6" t="s">
        <v>964</v>
      </c>
      <c r="EX8" s="6" t="s">
        <v>955</v>
      </c>
    </row>
    <row r="9" spans="1:281">
      <c r="A9" s="9" t="s">
        <v>78</v>
      </c>
      <c r="B9" s="10" t="s">
        <v>948</v>
      </c>
      <c r="C9" s="10" t="s">
        <v>949</v>
      </c>
      <c r="D9" s="10" t="s">
        <v>950</v>
      </c>
      <c r="E9" s="10" t="s">
        <v>951</v>
      </c>
      <c r="F9" s="10" t="s">
        <v>952</v>
      </c>
      <c r="G9" s="10" t="s">
        <v>953</v>
      </c>
      <c r="H9" s="10" t="s">
        <v>965</v>
      </c>
      <c r="I9" s="10" t="s">
        <v>954</v>
      </c>
      <c r="J9" s="10" t="s">
        <v>952</v>
      </c>
      <c r="K9" s="10" t="s">
        <v>966</v>
      </c>
      <c r="L9" s="10" t="s">
        <v>956</v>
      </c>
      <c r="N9" s="10" t="s">
        <v>952</v>
      </c>
      <c r="O9" s="10" t="s">
        <v>967</v>
      </c>
      <c r="P9" s="10" t="s">
        <v>957</v>
      </c>
      <c r="Q9" s="10" t="s">
        <v>958</v>
      </c>
      <c r="S9" s="10" t="s">
        <v>984</v>
      </c>
      <c r="T9" s="10" t="s">
        <v>952</v>
      </c>
      <c r="U9" s="10" t="s">
        <v>952</v>
      </c>
      <c r="V9" s="10" t="s">
        <v>960</v>
      </c>
      <c r="W9" s="10" t="s">
        <v>989</v>
      </c>
      <c r="X9" s="10" t="s">
        <v>969</v>
      </c>
      <c r="Y9" s="10" t="s">
        <v>970</v>
      </c>
      <c r="AC9" s="10" t="s">
        <v>989</v>
      </c>
      <c r="AE9" s="10" t="s">
        <v>957</v>
      </c>
      <c r="AF9" s="10" t="s">
        <v>971</v>
      </c>
      <c r="AG9" s="10" t="s">
        <v>972</v>
      </c>
      <c r="AI9" s="10" t="s">
        <v>973</v>
      </c>
      <c r="DC9" s="10" t="s">
        <v>983</v>
      </c>
      <c r="EX9" s="10" t="s">
        <v>966</v>
      </c>
    </row>
    <row r="10" spans="1:281">
      <c r="A10" s="5" t="s">
        <v>85</v>
      </c>
      <c r="B10" s="6" t="s">
        <v>948</v>
      </c>
      <c r="C10" s="6" t="s">
        <v>949</v>
      </c>
      <c r="D10" s="6" t="s">
        <v>990</v>
      </c>
      <c r="E10" s="6" t="s">
        <v>951</v>
      </c>
      <c r="F10" s="6" t="s">
        <v>952</v>
      </c>
      <c r="G10" s="6" t="s">
        <v>991</v>
      </c>
      <c r="H10" s="6" t="s">
        <v>59</v>
      </c>
      <c r="I10" s="6" t="s">
        <v>954</v>
      </c>
      <c r="J10" s="6" t="s">
        <v>952</v>
      </c>
      <c r="K10" s="6" t="s">
        <v>966</v>
      </c>
      <c r="L10" s="6" t="s">
        <v>956</v>
      </c>
      <c r="N10" s="6" t="s">
        <v>952</v>
      </c>
      <c r="O10" s="6" t="s">
        <v>967</v>
      </c>
      <c r="P10" s="6" t="s">
        <v>957</v>
      </c>
      <c r="Q10" s="6" t="s">
        <v>992</v>
      </c>
      <c r="S10" s="6" t="s">
        <v>984</v>
      </c>
      <c r="T10" s="6" t="s">
        <v>952</v>
      </c>
      <c r="U10" s="6" t="s">
        <v>952</v>
      </c>
      <c r="V10" s="6" t="s">
        <v>993</v>
      </c>
      <c r="W10" s="6" t="s">
        <v>964</v>
      </c>
      <c r="X10" s="6" t="s">
        <v>994</v>
      </c>
      <c r="Y10" s="6" t="s">
        <v>995</v>
      </c>
      <c r="AC10" s="6" t="s">
        <v>964</v>
      </c>
      <c r="AE10" s="6" t="s">
        <v>957</v>
      </c>
      <c r="AF10" s="6" t="s">
        <v>971</v>
      </c>
      <c r="AG10" s="6" t="s">
        <v>972</v>
      </c>
      <c r="CD10" s="6" t="s">
        <v>982</v>
      </c>
      <c r="DC10" s="6" t="s">
        <v>983</v>
      </c>
      <c r="EX10" s="6" t="s">
        <v>966</v>
      </c>
    </row>
    <row r="11" spans="1:281">
      <c r="A11" s="9" t="s">
        <v>92</v>
      </c>
      <c r="B11" s="10" t="s">
        <v>948</v>
      </c>
      <c r="C11" s="10" t="s">
        <v>949</v>
      </c>
      <c r="D11" s="10" t="s">
        <v>975</v>
      </c>
      <c r="E11" s="10" t="s">
        <v>951</v>
      </c>
      <c r="F11" s="10" t="s">
        <v>952</v>
      </c>
      <c r="G11" s="10" t="s">
        <v>976</v>
      </c>
      <c r="I11" s="10" t="s">
        <v>954</v>
      </c>
      <c r="J11" s="10" t="s">
        <v>952</v>
      </c>
      <c r="K11" s="10" t="s">
        <v>955</v>
      </c>
      <c r="L11" s="10" t="s">
        <v>956</v>
      </c>
      <c r="N11" s="10" t="s">
        <v>952</v>
      </c>
      <c r="P11" s="10" t="s">
        <v>996</v>
      </c>
      <c r="Q11" s="10" t="s">
        <v>997</v>
      </c>
      <c r="S11" s="10" t="s">
        <v>998</v>
      </c>
      <c r="T11" s="10" t="s">
        <v>952</v>
      </c>
      <c r="U11" s="10" t="s">
        <v>952</v>
      </c>
      <c r="V11" s="10" t="s">
        <v>988</v>
      </c>
      <c r="W11" s="10" t="s">
        <v>964</v>
      </c>
      <c r="EX11" s="10" t="s">
        <v>955</v>
      </c>
    </row>
    <row r="12" spans="1:281">
      <c r="A12" s="5" t="s">
        <v>99</v>
      </c>
      <c r="B12" s="6" t="s">
        <v>948</v>
      </c>
      <c r="C12" s="6" t="s">
        <v>949</v>
      </c>
      <c r="D12" s="6" t="s">
        <v>950</v>
      </c>
      <c r="E12" s="6" t="s">
        <v>951</v>
      </c>
      <c r="F12" s="6" t="s">
        <v>952</v>
      </c>
      <c r="G12" s="6" t="s">
        <v>953</v>
      </c>
      <c r="H12" s="6" t="s">
        <v>965</v>
      </c>
      <c r="I12" s="6" t="s">
        <v>954</v>
      </c>
      <c r="J12" s="6" t="s">
        <v>952</v>
      </c>
      <c r="K12" s="6" t="s">
        <v>966</v>
      </c>
      <c r="L12" s="6" t="s">
        <v>952</v>
      </c>
      <c r="N12" s="6" t="s">
        <v>952</v>
      </c>
      <c r="O12" s="6" t="s">
        <v>967</v>
      </c>
      <c r="P12" s="6" t="s">
        <v>957</v>
      </c>
      <c r="Q12" s="6" t="s">
        <v>962</v>
      </c>
      <c r="S12" s="6" t="s">
        <v>999</v>
      </c>
      <c r="T12" s="6" t="s">
        <v>952</v>
      </c>
      <c r="U12" s="6" t="s">
        <v>952</v>
      </c>
      <c r="V12" s="6" t="s">
        <v>1000</v>
      </c>
      <c r="W12" s="6" t="s">
        <v>1001</v>
      </c>
      <c r="X12" s="6" t="s">
        <v>969</v>
      </c>
      <c r="Y12" s="6" t="s">
        <v>970</v>
      </c>
      <c r="AC12" s="6" t="s">
        <v>1001</v>
      </c>
      <c r="AE12" s="6" t="s">
        <v>957</v>
      </c>
      <c r="AF12" s="6" t="s">
        <v>971</v>
      </c>
      <c r="AG12" s="6" t="s">
        <v>972</v>
      </c>
      <c r="AI12" s="6" t="s">
        <v>1002</v>
      </c>
      <c r="EX12" s="6" t="s">
        <v>966</v>
      </c>
    </row>
    <row r="13" spans="1:281">
      <c r="A13" s="9" t="s">
        <v>106</v>
      </c>
      <c r="B13" s="10" t="s">
        <v>948</v>
      </c>
      <c r="C13" s="10" t="s">
        <v>949</v>
      </c>
      <c r="D13" s="10" t="s">
        <v>975</v>
      </c>
      <c r="E13" s="10" t="s">
        <v>951</v>
      </c>
      <c r="F13" s="10" t="s">
        <v>952</v>
      </c>
      <c r="G13" s="10" t="s">
        <v>976</v>
      </c>
      <c r="I13" s="10" t="s">
        <v>954</v>
      </c>
      <c r="J13" s="10" t="s">
        <v>952</v>
      </c>
      <c r="K13" s="10" t="s">
        <v>955</v>
      </c>
      <c r="L13" s="10" t="s">
        <v>956</v>
      </c>
      <c r="P13" s="10" t="s">
        <v>957</v>
      </c>
      <c r="Q13" s="10" t="s">
        <v>958</v>
      </c>
      <c r="S13" s="10" t="s">
        <v>1003</v>
      </c>
      <c r="T13" s="10" t="s">
        <v>952</v>
      </c>
      <c r="U13" s="10" t="s">
        <v>952</v>
      </c>
      <c r="V13" s="10" t="s">
        <v>1004</v>
      </c>
      <c r="W13" s="10" t="s">
        <v>961</v>
      </c>
      <c r="EX13" s="10" t="s">
        <v>955</v>
      </c>
    </row>
    <row r="14" spans="1:281">
      <c r="A14" s="5" t="s">
        <v>113</v>
      </c>
      <c r="B14" s="6" t="s">
        <v>948</v>
      </c>
      <c r="C14" s="6" t="s">
        <v>949</v>
      </c>
      <c r="D14" s="6" t="s">
        <v>950</v>
      </c>
      <c r="E14" s="6" t="s">
        <v>951</v>
      </c>
      <c r="F14" s="6" t="s">
        <v>952</v>
      </c>
      <c r="G14" s="6" t="s">
        <v>953</v>
      </c>
      <c r="H14" s="6" t="s">
        <v>965</v>
      </c>
      <c r="I14" s="6" t="s">
        <v>954</v>
      </c>
      <c r="J14" s="6" t="s">
        <v>952</v>
      </c>
      <c r="K14" s="6" t="s">
        <v>966</v>
      </c>
      <c r="L14" s="6" t="s">
        <v>956</v>
      </c>
      <c r="N14" s="6" t="s">
        <v>952</v>
      </c>
      <c r="O14" s="6" t="s">
        <v>967</v>
      </c>
      <c r="P14" s="6" t="s">
        <v>957</v>
      </c>
      <c r="Q14" s="6" t="s">
        <v>958</v>
      </c>
      <c r="S14" s="6" t="s">
        <v>999</v>
      </c>
      <c r="T14" s="6" t="s">
        <v>952</v>
      </c>
      <c r="U14" s="6" t="s">
        <v>952</v>
      </c>
      <c r="V14" s="6" t="s">
        <v>960</v>
      </c>
      <c r="W14" s="6" t="s">
        <v>1005</v>
      </c>
      <c r="X14" s="6" t="s">
        <v>969</v>
      </c>
      <c r="Y14" s="6" t="s">
        <v>970</v>
      </c>
      <c r="AC14" s="6" t="s">
        <v>1005</v>
      </c>
      <c r="AE14" s="6" t="s">
        <v>957</v>
      </c>
      <c r="AF14" s="6" t="s">
        <v>971</v>
      </c>
      <c r="AG14" s="6" t="s">
        <v>972</v>
      </c>
      <c r="AI14" s="6" t="s">
        <v>1006</v>
      </c>
      <c r="EX14" s="6" t="s">
        <v>966</v>
      </c>
    </row>
    <row r="15" spans="1:281">
      <c r="A15" s="9" t="s">
        <v>120</v>
      </c>
      <c r="B15" s="10" t="s">
        <v>948</v>
      </c>
      <c r="C15" s="10" t="s">
        <v>949</v>
      </c>
      <c r="D15" s="10" t="s">
        <v>1007</v>
      </c>
      <c r="E15" s="10" t="s">
        <v>951</v>
      </c>
      <c r="F15" s="10" t="s">
        <v>952</v>
      </c>
      <c r="G15" s="10" t="s">
        <v>1008</v>
      </c>
      <c r="I15" s="10" t="s">
        <v>954</v>
      </c>
      <c r="J15" s="10" t="s">
        <v>952</v>
      </c>
      <c r="K15" s="10" t="s">
        <v>955</v>
      </c>
      <c r="L15" s="10" t="s">
        <v>956</v>
      </c>
      <c r="N15" s="10" t="s">
        <v>952</v>
      </c>
      <c r="P15" s="10" t="s">
        <v>957</v>
      </c>
      <c r="Q15" s="10" t="s">
        <v>997</v>
      </c>
      <c r="S15" s="10" t="s">
        <v>1009</v>
      </c>
      <c r="T15" s="10" t="s">
        <v>952</v>
      </c>
      <c r="U15" s="10" t="s">
        <v>952</v>
      </c>
      <c r="V15" s="10" t="s">
        <v>1010</v>
      </c>
      <c r="W15" s="10" t="s">
        <v>964</v>
      </c>
      <c r="EX15" s="10" t="s">
        <v>955</v>
      </c>
    </row>
    <row r="16" spans="1:281">
      <c r="A16" s="5" t="s">
        <v>130</v>
      </c>
      <c r="B16" s="6" t="s">
        <v>948</v>
      </c>
      <c r="C16" s="6" t="s">
        <v>949</v>
      </c>
      <c r="D16" s="6" t="s">
        <v>975</v>
      </c>
      <c r="E16" s="6" t="s">
        <v>951</v>
      </c>
      <c r="F16" s="6" t="s">
        <v>952</v>
      </c>
      <c r="G16" s="6" t="s">
        <v>976</v>
      </c>
      <c r="H16" s="6" t="s">
        <v>965</v>
      </c>
      <c r="I16" s="6" t="s">
        <v>954</v>
      </c>
      <c r="J16" s="6" t="s">
        <v>952</v>
      </c>
      <c r="K16" s="6" t="s">
        <v>966</v>
      </c>
      <c r="L16" s="6" t="s">
        <v>952</v>
      </c>
      <c r="N16" s="6" t="s">
        <v>952</v>
      </c>
      <c r="O16" s="6" t="s">
        <v>967</v>
      </c>
      <c r="P16" s="6" t="s">
        <v>957</v>
      </c>
      <c r="Q16" s="6" t="s">
        <v>962</v>
      </c>
      <c r="S16" s="6" t="s">
        <v>1011</v>
      </c>
      <c r="T16" s="6" t="s">
        <v>952</v>
      </c>
      <c r="U16" s="6" t="s">
        <v>952</v>
      </c>
      <c r="V16" s="6" t="s">
        <v>1012</v>
      </c>
      <c r="W16" s="6" t="s">
        <v>989</v>
      </c>
      <c r="X16" s="6" t="s">
        <v>980</v>
      </c>
      <c r="Y16" s="6" t="s">
        <v>981</v>
      </c>
      <c r="AC16" s="6" t="s">
        <v>989</v>
      </c>
      <c r="AE16" s="6" t="s">
        <v>957</v>
      </c>
      <c r="AF16" s="6" t="s">
        <v>971</v>
      </c>
      <c r="AG16" s="6" t="s">
        <v>972</v>
      </c>
      <c r="AI16" s="6" t="s">
        <v>1002</v>
      </c>
      <c r="EX16" s="6" t="s">
        <v>966</v>
      </c>
    </row>
    <row r="17" spans="1:281">
      <c r="A17" s="9" t="s">
        <v>137</v>
      </c>
      <c r="B17" s="10" t="s">
        <v>948</v>
      </c>
      <c r="C17" s="10" t="s">
        <v>949</v>
      </c>
      <c r="D17" s="10" t="s">
        <v>990</v>
      </c>
      <c r="E17" s="10" t="s">
        <v>951</v>
      </c>
      <c r="F17" s="10" t="s">
        <v>1013</v>
      </c>
      <c r="G17" s="10" t="s">
        <v>991</v>
      </c>
      <c r="H17" s="10" t="s">
        <v>965</v>
      </c>
      <c r="I17" s="10" t="s">
        <v>954</v>
      </c>
      <c r="J17" s="10" t="s">
        <v>952</v>
      </c>
      <c r="K17" s="10" t="s">
        <v>966</v>
      </c>
      <c r="L17" s="10" t="s">
        <v>952</v>
      </c>
      <c r="N17" s="10" t="s">
        <v>952</v>
      </c>
      <c r="O17" s="10" t="s">
        <v>967</v>
      </c>
      <c r="P17" s="10" t="s">
        <v>957</v>
      </c>
      <c r="Q17" s="10" t="s">
        <v>1014</v>
      </c>
      <c r="S17" s="10" t="s">
        <v>1011</v>
      </c>
      <c r="T17" s="10" t="s">
        <v>952</v>
      </c>
      <c r="U17" s="10" t="s">
        <v>952</v>
      </c>
      <c r="V17" s="10" t="s">
        <v>1015</v>
      </c>
      <c r="W17" s="10" t="s">
        <v>964</v>
      </c>
      <c r="X17" s="10" t="s">
        <v>994</v>
      </c>
      <c r="Y17" s="10" t="s">
        <v>995</v>
      </c>
      <c r="AC17" s="10" t="s">
        <v>964</v>
      </c>
      <c r="AE17" s="10" t="s">
        <v>957</v>
      </c>
      <c r="AF17" s="10" t="s">
        <v>971</v>
      </c>
      <c r="AG17" s="10" t="s">
        <v>972</v>
      </c>
      <c r="AI17" s="10" t="s">
        <v>1016</v>
      </c>
      <c r="EX17" s="10" t="s">
        <v>966</v>
      </c>
    </row>
    <row r="18" spans="1:281" ht="60" customHeight="1">
      <c r="A18" s="5" t="s">
        <v>143</v>
      </c>
      <c r="B18" s="6" t="s">
        <v>948</v>
      </c>
      <c r="C18" s="6" t="s">
        <v>949</v>
      </c>
      <c r="D18" s="6" t="s">
        <v>990</v>
      </c>
      <c r="E18" s="6" t="s">
        <v>951</v>
      </c>
      <c r="F18" s="6" t="s">
        <v>1013</v>
      </c>
      <c r="G18" s="6" t="s">
        <v>991</v>
      </c>
      <c r="H18" s="6" t="s">
        <v>965</v>
      </c>
      <c r="I18" s="6" t="s">
        <v>954</v>
      </c>
      <c r="J18" s="6" t="s">
        <v>952</v>
      </c>
      <c r="K18" s="6" t="s">
        <v>966</v>
      </c>
      <c r="L18" s="6" t="s">
        <v>952</v>
      </c>
      <c r="N18" s="6" t="s">
        <v>952</v>
      </c>
      <c r="O18" s="6" t="s">
        <v>967</v>
      </c>
      <c r="P18" s="6" t="s">
        <v>957</v>
      </c>
      <c r="Q18" s="6" t="s">
        <v>1014</v>
      </c>
      <c r="S18" s="6" t="s">
        <v>1011</v>
      </c>
      <c r="T18" s="6" t="s">
        <v>952</v>
      </c>
      <c r="U18" s="6" t="s">
        <v>952</v>
      </c>
      <c r="V18" s="6" t="s">
        <v>1015</v>
      </c>
      <c r="W18" s="6" t="s">
        <v>964</v>
      </c>
      <c r="X18" s="6" t="s">
        <v>994</v>
      </c>
      <c r="Y18" s="6" t="s">
        <v>995</v>
      </c>
      <c r="AC18" s="6" t="s">
        <v>964</v>
      </c>
      <c r="AE18" s="6" t="s">
        <v>957</v>
      </c>
      <c r="AF18" s="6" t="s">
        <v>971</v>
      </c>
      <c r="AG18" s="6" t="s">
        <v>972</v>
      </c>
      <c r="AI18" s="6" t="s">
        <v>1016</v>
      </c>
      <c r="EX18" s="6" t="s">
        <v>966</v>
      </c>
    </row>
    <row r="19" spans="1:281">
      <c r="A19" s="9" t="s">
        <v>148</v>
      </c>
      <c r="B19" s="10" t="s">
        <v>948</v>
      </c>
      <c r="C19" s="10" t="s">
        <v>949</v>
      </c>
      <c r="D19" s="10" t="s">
        <v>950</v>
      </c>
      <c r="E19" s="10" t="s">
        <v>951</v>
      </c>
      <c r="F19" s="10" t="s">
        <v>952</v>
      </c>
      <c r="G19" s="10" t="s">
        <v>953</v>
      </c>
      <c r="I19" s="10" t="s">
        <v>1017</v>
      </c>
      <c r="J19" s="10" t="s">
        <v>952</v>
      </c>
      <c r="K19" s="10" t="s">
        <v>1018</v>
      </c>
      <c r="L19" s="10" t="s">
        <v>952</v>
      </c>
      <c r="N19" s="10" t="s">
        <v>952</v>
      </c>
      <c r="P19" s="10" t="s">
        <v>1019</v>
      </c>
      <c r="Q19" s="10" t="s">
        <v>962</v>
      </c>
      <c r="S19" s="10" t="s">
        <v>1020</v>
      </c>
      <c r="T19" s="10" t="s">
        <v>952</v>
      </c>
      <c r="U19" s="10" t="s">
        <v>952</v>
      </c>
      <c r="V19" s="10" t="s">
        <v>952</v>
      </c>
      <c r="W19" s="10" t="s">
        <v>961</v>
      </c>
      <c r="EX19" s="10" t="s">
        <v>1018</v>
      </c>
    </row>
    <row r="20" spans="1:281">
      <c r="A20" s="5" t="s">
        <v>156</v>
      </c>
      <c r="B20" s="6" t="s">
        <v>948</v>
      </c>
      <c r="C20" s="6" t="s">
        <v>949</v>
      </c>
      <c r="D20" s="6" t="s">
        <v>1007</v>
      </c>
      <c r="E20" s="6" t="s">
        <v>951</v>
      </c>
      <c r="F20" s="6" t="s">
        <v>952</v>
      </c>
      <c r="G20" s="6" t="s">
        <v>1008</v>
      </c>
      <c r="H20" s="6" t="s">
        <v>965</v>
      </c>
      <c r="I20" s="6" t="s">
        <v>954</v>
      </c>
      <c r="J20" s="6" t="s">
        <v>952</v>
      </c>
      <c r="K20" s="6" t="s">
        <v>966</v>
      </c>
      <c r="L20" s="6" t="s">
        <v>952</v>
      </c>
      <c r="N20" s="6" t="s">
        <v>952</v>
      </c>
      <c r="O20" s="6" t="s">
        <v>967</v>
      </c>
      <c r="P20" s="6" t="s">
        <v>957</v>
      </c>
      <c r="Q20" s="6" t="s">
        <v>962</v>
      </c>
      <c r="S20" s="6" t="s">
        <v>1021</v>
      </c>
      <c r="T20" s="6" t="s">
        <v>952</v>
      </c>
      <c r="U20" s="6" t="s">
        <v>952</v>
      </c>
      <c r="V20" s="6" t="s">
        <v>1022</v>
      </c>
      <c r="W20" s="6" t="s">
        <v>961</v>
      </c>
      <c r="X20" s="6" t="s">
        <v>1023</v>
      </c>
      <c r="Y20" s="6" t="s">
        <v>1024</v>
      </c>
      <c r="AC20" s="6" t="s">
        <v>961</v>
      </c>
      <c r="AE20" s="6" t="s">
        <v>957</v>
      </c>
      <c r="AF20" s="6" t="s">
        <v>971</v>
      </c>
      <c r="AG20" s="6" t="s">
        <v>972</v>
      </c>
      <c r="AI20" s="6" t="s">
        <v>1002</v>
      </c>
      <c r="EX20" s="6" t="s">
        <v>966</v>
      </c>
    </row>
    <row r="21" spans="1:281">
      <c r="A21" s="9" t="s">
        <v>164</v>
      </c>
      <c r="B21" s="10" t="s">
        <v>948</v>
      </c>
      <c r="C21" s="10" t="s">
        <v>949</v>
      </c>
      <c r="D21" s="10" t="s">
        <v>1025</v>
      </c>
      <c r="E21" s="10" t="s">
        <v>951</v>
      </c>
      <c r="F21" s="10" t="s">
        <v>1026</v>
      </c>
      <c r="G21" s="10" t="s">
        <v>1027</v>
      </c>
      <c r="H21" s="10" t="s">
        <v>1028</v>
      </c>
      <c r="I21" s="10" t="s">
        <v>1017</v>
      </c>
      <c r="J21" s="10" t="s">
        <v>952</v>
      </c>
      <c r="K21" s="10" t="s">
        <v>966</v>
      </c>
      <c r="L21" s="10" t="s">
        <v>956</v>
      </c>
      <c r="N21" s="10" t="s">
        <v>952</v>
      </c>
      <c r="O21" s="10" t="s">
        <v>967</v>
      </c>
      <c r="P21" s="10" t="s">
        <v>957</v>
      </c>
      <c r="Q21" s="10" t="s">
        <v>958</v>
      </c>
      <c r="S21" s="10" t="s">
        <v>1029</v>
      </c>
      <c r="T21" s="10" t="s">
        <v>952</v>
      </c>
      <c r="U21" s="10" t="s">
        <v>952</v>
      </c>
      <c r="V21" s="10" t="s">
        <v>1030</v>
      </c>
      <c r="W21" s="10" t="s">
        <v>961</v>
      </c>
      <c r="X21" s="10" t="s">
        <v>1031</v>
      </c>
      <c r="Y21" s="10" t="s">
        <v>1032</v>
      </c>
      <c r="AC21" s="10" t="s">
        <v>961</v>
      </c>
      <c r="AE21" s="10" t="s">
        <v>957</v>
      </c>
      <c r="AF21" s="10" t="s">
        <v>971</v>
      </c>
      <c r="AG21" s="10" t="s">
        <v>972</v>
      </c>
      <c r="EX21" s="10" t="s">
        <v>966</v>
      </c>
    </row>
    <row r="22" spans="1:281">
      <c r="A22" s="5" t="s">
        <v>172</v>
      </c>
      <c r="B22" s="6" t="s">
        <v>948</v>
      </c>
      <c r="C22" s="6" t="s">
        <v>949</v>
      </c>
      <c r="D22" s="6" t="s">
        <v>1007</v>
      </c>
      <c r="E22" s="6" t="s">
        <v>951</v>
      </c>
      <c r="F22" s="6" t="s">
        <v>952</v>
      </c>
      <c r="G22" s="6" t="s">
        <v>1008</v>
      </c>
      <c r="H22" s="6" t="s">
        <v>965</v>
      </c>
      <c r="I22" s="6" t="s">
        <v>1017</v>
      </c>
      <c r="J22" s="6" t="s">
        <v>952</v>
      </c>
      <c r="K22" s="6" t="s">
        <v>966</v>
      </c>
      <c r="L22" s="6" t="s">
        <v>952</v>
      </c>
      <c r="N22" s="6" t="s">
        <v>952</v>
      </c>
      <c r="O22" s="6" t="s">
        <v>967</v>
      </c>
      <c r="P22" s="6" t="s">
        <v>957</v>
      </c>
      <c r="Q22" s="6" t="s">
        <v>962</v>
      </c>
      <c r="S22" s="6" t="s">
        <v>1033</v>
      </c>
      <c r="T22" s="6" t="s">
        <v>952</v>
      </c>
      <c r="U22" s="6" t="s">
        <v>952</v>
      </c>
      <c r="V22" s="6" t="s">
        <v>1022</v>
      </c>
      <c r="W22" s="6" t="s">
        <v>1001</v>
      </c>
      <c r="X22" s="6" t="s">
        <v>1023</v>
      </c>
      <c r="Y22" s="6" t="s">
        <v>1024</v>
      </c>
      <c r="AC22" s="6" t="s">
        <v>1001</v>
      </c>
      <c r="AE22" s="6" t="s">
        <v>957</v>
      </c>
      <c r="AF22" s="6" t="s">
        <v>971</v>
      </c>
      <c r="AG22" s="6" t="s">
        <v>972</v>
      </c>
      <c r="AI22" s="6" t="s">
        <v>1002</v>
      </c>
      <c r="EX22" s="6" t="s">
        <v>966</v>
      </c>
    </row>
    <row r="23" spans="1:281">
      <c r="A23" s="9" t="s">
        <v>179</v>
      </c>
      <c r="B23" s="10" t="s">
        <v>948</v>
      </c>
      <c r="C23" s="10" t="s">
        <v>949</v>
      </c>
      <c r="D23" s="10" t="s">
        <v>975</v>
      </c>
      <c r="E23" s="10" t="s">
        <v>951</v>
      </c>
      <c r="F23" s="10" t="s">
        <v>1034</v>
      </c>
      <c r="G23" s="10" t="s">
        <v>976</v>
      </c>
      <c r="H23" s="10" t="s">
        <v>59</v>
      </c>
      <c r="I23" s="10" t="s">
        <v>954</v>
      </c>
      <c r="J23" s="10" t="s">
        <v>952</v>
      </c>
      <c r="K23" s="10" t="s">
        <v>966</v>
      </c>
      <c r="L23" s="10" t="s">
        <v>952</v>
      </c>
      <c r="N23" s="10" t="s">
        <v>952</v>
      </c>
      <c r="O23" s="10" t="s">
        <v>967</v>
      </c>
      <c r="P23" s="10" t="s">
        <v>957</v>
      </c>
      <c r="Q23" s="10" t="s">
        <v>962</v>
      </c>
      <c r="S23" s="10" t="s">
        <v>1035</v>
      </c>
      <c r="T23" s="10" t="s">
        <v>952</v>
      </c>
      <c r="U23" s="10" t="s">
        <v>952</v>
      </c>
      <c r="V23" s="10" t="s">
        <v>988</v>
      </c>
      <c r="W23" s="10" t="s">
        <v>1036</v>
      </c>
      <c r="X23" s="10" t="s">
        <v>980</v>
      </c>
      <c r="Y23" s="10" t="s">
        <v>981</v>
      </c>
      <c r="AC23" s="10" t="s">
        <v>1037</v>
      </c>
      <c r="AE23" s="10" t="s">
        <v>957</v>
      </c>
      <c r="AF23" s="10" t="s">
        <v>971</v>
      </c>
      <c r="AG23" s="10" t="s">
        <v>972</v>
      </c>
      <c r="EX23" s="10" t="s">
        <v>966</v>
      </c>
    </row>
    <row r="24" spans="1:281">
      <c r="A24" s="5" t="s">
        <v>187</v>
      </c>
      <c r="B24" s="6" t="s">
        <v>948</v>
      </c>
      <c r="C24" s="6" t="s">
        <v>949</v>
      </c>
      <c r="D24" s="6" t="s">
        <v>1038</v>
      </c>
      <c r="E24" s="6" t="s">
        <v>1039</v>
      </c>
      <c r="H24" s="6" t="s">
        <v>191</v>
      </c>
      <c r="M24" s="6" t="s">
        <v>1040</v>
      </c>
      <c r="O24" s="6" t="s">
        <v>967</v>
      </c>
      <c r="AH24" s="6" t="s">
        <v>1041</v>
      </c>
      <c r="AJ24" s="6" t="s">
        <v>1042</v>
      </c>
      <c r="BW24" s="6" t="s">
        <v>1043</v>
      </c>
      <c r="CW24" s="6" t="s">
        <v>1044</v>
      </c>
      <c r="DG24" s="6" t="s">
        <v>1045</v>
      </c>
      <c r="DH24" s="6" t="s">
        <v>964</v>
      </c>
      <c r="DK24" s="6" t="s">
        <v>1046</v>
      </c>
      <c r="FG24" s="6" t="s">
        <v>1047</v>
      </c>
      <c r="FW24" s="6" t="s">
        <v>1048</v>
      </c>
      <c r="GF24" s="6" t="s">
        <v>1049</v>
      </c>
      <c r="GI24" s="6" t="s">
        <v>1050</v>
      </c>
      <c r="HU24" s="6" t="s">
        <v>1051</v>
      </c>
      <c r="IA24" s="6" t="s">
        <v>1052</v>
      </c>
      <c r="IP24" s="6" t="s">
        <v>1053</v>
      </c>
      <c r="JO24" s="6" t="s">
        <v>1054</v>
      </c>
      <c r="JP24" s="6" t="s">
        <v>1055</v>
      </c>
    </row>
    <row r="25" spans="1:281">
      <c r="A25" s="9" t="s">
        <v>195</v>
      </c>
      <c r="B25" s="10" t="s">
        <v>948</v>
      </c>
      <c r="C25" s="10" t="s">
        <v>949</v>
      </c>
      <c r="D25" s="10" t="s">
        <v>1056</v>
      </c>
      <c r="E25" s="10" t="s">
        <v>1039</v>
      </c>
      <c r="H25" s="10" t="s">
        <v>1057</v>
      </c>
      <c r="K25" s="10" t="s">
        <v>1058</v>
      </c>
      <c r="M25" s="10" t="s">
        <v>339</v>
      </c>
      <c r="O25" s="10" t="s">
        <v>967</v>
      </c>
      <c r="Q25" s="10" t="s">
        <v>1059</v>
      </c>
      <c r="S25" s="10" t="s">
        <v>1060</v>
      </c>
      <c r="AH25" s="10" t="s">
        <v>1061</v>
      </c>
      <c r="AJ25" s="10" t="s">
        <v>1042</v>
      </c>
      <c r="AM25" s="10" t="s">
        <v>1062</v>
      </c>
      <c r="BM25" s="10" t="s">
        <v>28</v>
      </c>
      <c r="CC25" s="10" t="s">
        <v>1063</v>
      </c>
      <c r="CF25" s="10" t="s">
        <v>1064</v>
      </c>
      <c r="CL25" s="10" t="s">
        <v>1065</v>
      </c>
      <c r="CM25" s="10" t="s">
        <v>1066</v>
      </c>
      <c r="CN25" s="10" t="s">
        <v>1067</v>
      </c>
      <c r="CO25" s="10" t="s">
        <v>1068</v>
      </c>
      <c r="CP25" s="10" t="s">
        <v>1069</v>
      </c>
      <c r="CW25" s="10" t="s">
        <v>1070</v>
      </c>
      <c r="DB25" s="10" t="s">
        <v>28</v>
      </c>
      <c r="DG25" s="10" t="s">
        <v>1071</v>
      </c>
      <c r="DH25" s="10" t="s">
        <v>1072</v>
      </c>
      <c r="DK25" s="10" t="s">
        <v>1073</v>
      </c>
      <c r="DS25" s="10" t="s">
        <v>1074</v>
      </c>
      <c r="EX25" s="10" t="s">
        <v>1058</v>
      </c>
      <c r="EY25" s="10" t="s">
        <v>1075</v>
      </c>
      <c r="FJ25" s="10" t="s">
        <v>1076</v>
      </c>
    </row>
    <row r="26" spans="1:281">
      <c r="A26" s="5" t="s">
        <v>203</v>
      </c>
      <c r="B26" s="6" t="s">
        <v>948</v>
      </c>
      <c r="C26" s="6" t="s">
        <v>949</v>
      </c>
      <c r="D26" s="6" t="s">
        <v>990</v>
      </c>
      <c r="E26" s="6" t="s">
        <v>1039</v>
      </c>
      <c r="F26" s="6" t="s">
        <v>952</v>
      </c>
      <c r="G26" s="6" t="s">
        <v>1077</v>
      </c>
      <c r="M26" s="6" t="s">
        <v>994</v>
      </c>
      <c r="DE26" s="6" t="s">
        <v>1078</v>
      </c>
      <c r="DT26" s="6" t="s">
        <v>1079</v>
      </c>
      <c r="DV26" s="6" t="s">
        <v>1080</v>
      </c>
      <c r="DZ26" s="6" t="s">
        <v>1081</v>
      </c>
      <c r="EO26" s="6" t="s">
        <v>1082</v>
      </c>
      <c r="EP26" s="6" t="s">
        <v>1083</v>
      </c>
      <c r="EQ26" s="6" t="s">
        <v>1084</v>
      </c>
      <c r="ER26" s="6" t="s">
        <v>1085</v>
      </c>
      <c r="EU26" s="6" t="s">
        <v>1086</v>
      </c>
      <c r="FM26" s="6" t="s">
        <v>1087</v>
      </c>
      <c r="FN26" s="6" t="s">
        <v>1088</v>
      </c>
      <c r="FO26" s="6" t="s">
        <v>1089</v>
      </c>
      <c r="JM26" s="6" t="s">
        <v>1090</v>
      </c>
    </row>
    <row r="27" spans="1:281">
      <c r="A27" s="9" t="s">
        <v>212</v>
      </c>
      <c r="B27" s="10" t="s">
        <v>948</v>
      </c>
      <c r="C27" s="10" t="s">
        <v>949</v>
      </c>
      <c r="D27" s="10" t="s">
        <v>1091</v>
      </c>
      <c r="E27" s="10" t="s">
        <v>1039</v>
      </c>
      <c r="K27" s="10" t="s">
        <v>1092</v>
      </c>
      <c r="M27" s="10" t="s">
        <v>1093</v>
      </c>
      <c r="Q27" s="10" t="s">
        <v>1094</v>
      </c>
      <c r="AM27" s="10" t="s">
        <v>1062</v>
      </c>
      <c r="BC27" s="10" t="s">
        <v>958</v>
      </c>
      <c r="BQ27" s="10" t="s">
        <v>1095</v>
      </c>
      <c r="CC27" s="10" t="s">
        <v>1096</v>
      </c>
      <c r="CF27" s="10" t="s">
        <v>1097</v>
      </c>
      <c r="CL27" s="10" t="s">
        <v>952</v>
      </c>
      <c r="CM27" s="10" t="s">
        <v>1066</v>
      </c>
      <c r="CN27" s="10" t="s">
        <v>1098</v>
      </c>
      <c r="CO27" s="10" t="s">
        <v>1099</v>
      </c>
      <c r="CP27" s="10" t="s">
        <v>1100</v>
      </c>
      <c r="DB27" s="10" t="s">
        <v>28</v>
      </c>
      <c r="EX27" s="10" t="s">
        <v>1092</v>
      </c>
    </row>
    <row r="28" spans="1:281">
      <c r="A28" s="5" t="s">
        <v>220</v>
      </c>
      <c r="B28" s="6" t="s">
        <v>948</v>
      </c>
      <c r="C28" s="6" t="s">
        <v>949</v>
      </c>
      <c r="D28" s="6" t="s">
        <v>1101</v>
      </c>
      <c r="E28" s="6" t="s">
        <v>1102</v>
      </c>
      <c r="K28" s="6" t="s">
        <v>1103</v>
      </c>
      <c r="M28" s="6" t="s">
        <v>1104</v>
      </c>
      <c r="Q28" s="6" t="s">
        <v>1105</v>
      </c>
      <c r="AM28" s="6" t="s">
        <v>1062</v>
      </c>
      <c r="BC28" s="6" t="s">
        <v>958</v>
      </c>
      <c r="BQ28" s="6" t="s">
        <v>1095</v>
      </c>
      <c r="CC28" s="6" t="s">
        <v>1106</v>
      </c>
      <c r="CF28" s="6" t="s">
        <v>1107</v>
      </c>
      <c r="CL28" s="6" t="s">
        <v>952</v>
      </c>
      <c r="CM28" s="6" t="s">
        <v>1066</v>
      </c>
      <c r="CN28" s="6" t="s">
        <v>1108</v>
      </c>
      <c r="CO28" s="6" t="s">
        <v>1109</v>
      </c>
      <c r="CP28" s="6" t="s">
        <v>1110</v>
      </c>
      <c r="EX28" s="6" t="s">
        <v>1103</v>
      </c>
      <c r="FI28" s="6" t="s">
        <v>44</v>
      </c>
    </row>
    <row r="29" spans="1:281">
      <c r="A29" s="9" t="s">
        <v>227</v>
      </c>
      <c r="B29" s="10" t="s">
        <v>948</v>
      </c>
      <c r="C29" s="10" t="s">
        <v>949</v>
      </c>
      <c r="D29" s="10" t="s">
        <v>1101</v>
      </c>
      <c r="E29" s="10" t="s">
        <v>1102</v>
      </c>
      <c r="K29" s="10" t="s">
        <v>1103</v>
      </c>
      <c r="M29" s="10" t="s">
        <v>1104</v>
      </c>
      <c r="Q29" s="10" t="s">
        <v>1105</v>
      </c>
      <c r="AM29" s="10" t="s">
        <v>1062</v>
      </c>
      <c r="BC29" s="10" t="s">
        <v>958</v>
      </c>
      <c r="BQ29" s="10" t="s">
        <v>1095</v>
      </c>
      <c r="CC29" s="10" t="s">
        <v>1111</v>
      </c>
      <c r="CF29" s="10" t="s">
        <v>1107</v>
      </c>
      <c r="CL29" s="10" t="s">
        <v>952</v>
      </c>
      <c r="CM29" s="10" t="s">
        <v>1066</v>
      </c>
      <c r="CN29" s="10" t="s">
        <v>1108</v>
      </c>
      <c r="CO29" s="10" t="s">
        <v>1112</v>
      </c>
      <c r="CP29" s="10" t="s">
        <v>1113</v>
      </c>
      <c r="EX29" s="10" t="s">
        <v>1103</v>
      </c>
      <c r="FI29" s="10" t="s">
        <v>44</v>
      </c>
    </row>
    <row r="30" spans="1:281">
      <c r="A30" s="5" t="s">
        <v>233</v>
      </c>
      <c r="B30" s="6" t="s">
        <v>948</v>
      </c>
      <c r="C30" s="6" t="s">
        <v>949</v>
      </c>
      <c r="D30" s="6" t="s">
        <v>1114</v>
      </c>
      <c r="E30" s="6" t="s">
        <v>1039</v>
      </c>
      <c r="H30" s="6" t="s">
        <v>1115</v>
      </c>
      <c r="K30" s="6" t="s">
        <v>1058</v>
      </c>
      <c r="M30" s="6" t="s">
        <v>1116</v>
      </c>
      <c r="O30" s="6" t="s">
        <v>967</v>
      </c>
      <c r="Q30" s="6" t="s">
        <v>962</v>
      </c>
      <c r="AH30" s="6" t="s">
        <v>1117</v>
      </c>
      <c r="AJ30" s="6" t="s">
        <v>1042</v>
      </c>
      <c r="AM30" s="6" t="s">
        <v>1062</v>
      </c>
      <c r="BW30" s="6" t="s">
        <v>1118</v>
      </c>
      <c r="CC30" s="6" t="s">
        <v>952</v>
      </c>
      <c r="CF30" s="6" t="s">
        <v>1119</v>
      </c>
      <c r="CL30" s="6" t="s">
        <v>1120</v>
      </c>
      <c r="CM30" s="6" t="s">
        <v>1066</v>
      </c>
      <c r="CN30" s="6" t="s">
        <v>1121</v>
      </c>
      <c r="CO30" s="6" t="s">
        <v>1122</v>
      </c>
      <c r="CP30" s="6" t="s">
        <v>1123</v>
      </c>
      <c r="CW30" s="6" t="s">
        <v>1124</v>
      </c>
      <c r="DB30" s="6" t="s">
        <v>14</v>
      </c>
      <c r="DG30" s="6" t="s">
        <v>1119</v>
      </c>
      <c r="DH30" s="6" t="s">
        <v>1123</v>
      </c>
      <c r="DK30" s="6" t="s">
        <v>1073</v>
      </c>
      <c r="DS30" s="6" t="s">
        <v>1121</v>
      </c>
      <c r="EI30" s="6" t="s">
        <v>1125</v>
      </c>
      <c r="EX30" s="6" t="s">
        <v>1058</v>
      </c>
      <c r="EY30" s="6" t="s">
        <v>1126</v>
      </c>
      <c r="HQ30" s="6" t="s">
        <v>1127</v>
      </c>
      <c r="HX30" s="6" t="s">
        <v>1128</v>
      </c>
    </row>
    <row r="31" spans="1:281">
      <c r="A31" s="9" t="s">
        <v>240</v>
      </c>
      <c r="B31" s="10" t="s">
        <v>948</v>
      </c>
      <c r="C31" s="10" t="s">
        <v>949</v>
      </c>
      <c r="D31" s="10" t="s">
        <v>990</v>
      </c>
      <c r="E31" s="10" t="s">
        <v>1039</v>
      </c>
      <c r="F31" s="10" t="s">
        <v>952</v>
      </c>
      <c r="G31" s="10" t="s">
        <v>1077</v>
      </c>
      <c r="H31" s="10" t="s">
        <v>1129</v>
      </c>
      <c r="M31" s="10" t="s">
        <v>994</v>
      </c>
      <c r="O31" s="10" t="s">
        <v>967</v>
      </c>
      <c r="AC31" s="10" t="s">
        <v>1130</v>
      </c>
      <c r="AH31" s="10" t="s">
        <v>994</v>
      </c>
      <c r="AL31" s="10" t="s">
        <v>1131</v>
      </c>
      <c r="CW31" s="10" t="s">
        <v>202</v>
      </c>
      <c r="DE31" s="10" t="s">
        <v>1078</v>
      </c>
      <c r="DT31" s="10" t="s">
        <v>1132</v>
      </c>
      <c r="DV31" s="10" t="s">
        <v>1080</v>
      </c>
      <c r="DZ31" s="10" t="s">
        <v>1081</v>
      </c>
      <c r="EO31" s="10" t="s">
        <v>1082</v>
      </c>
      <c r="EP31" s="10" t="s">
        <v>1083</v>
      </c>
      <c r="EQ31" s="10" t="s">
        <v>1084</v>
      </c>
      <c r="ER31" s="10" t="s">
        <v>1085</v>
      </c>
      <c r="EU31" s="10" t="s">
        <v>1133</v>
      </c>
      <c r="FM31" s="10" t="s">
        <v>1134</v>
      </c>
      <c r="FN31" s="10" t="s">
        <v>1135</v>
      </c>
      <c r="FO31" s="10" t="s">
        <v>1136</v>
      </c>
      <c r="GR31" s="10" t="s">
        <v>1137</v>
      </c>
      <c r="HA31" s="10" t="s">
        <v>1138</v>
      </c>
      <c r="HN31" s="10" t="s">
        <v>1139</v>
      </c>
      <c r="HO31" s="10" t="s">
        <v>1081</v>
      </c>
      <c r="HP31" s="10" t="s">
        <v>1140</v>
      </c>
      <c r="HW31" s="10" t="s">
        <v>1133</v>
      </c>
      <c r="JM31" s="10" t="s">
        <v>1090</v>
      </c>
      <c r="JU31" s="10" t="s">
        <v>1135</v>
      </c>
    </row>
    <row r="32" spans="1:281">
      <c r="A32" s="5" t="s">
        <v>248</v>
      </c>
      <c r="B32" s="6" t="s">
        <v>948</v>
      </c>
      <c r="C32" s="6" t="s">
        <v>949</v>
      </c>
      <c r="D32" s="6" t="s">
        <v>1007</v>
      </c>
      <c r="E32" s="6" t="s">
        <v>1039</v>
      </c>
      <c r="F32" s="6" t="s">
        <v>958</v>
      </c>
      <c r="G32" s="6" t="s">
        <v>1141</v>
      </c>
      <c r="K32" s="6" t="s">
        <v>955</v>
      </c>
      <c r="L32" s="6" t="s">
        <v>952</v>
      </c>
      <c r="DE32" s="6" t="s">
        <v>1142</v>
      </c>
      <c r="EX32" s="6" t="s">
        <v>955</v>
      </c>
      <c r="GL32" s="6" t="s">
        <v>1045</v>
      </c>
      <c r="GN32" s="6" t="s">
        <v>1143</v>
      </c>
      <c r="GW32" s="6" t="s">
        <v>1144</v>
      </c>
      <c r="HE32" s="6" t="s">
        <v>1145</v>
      </c>
      <c r="IK32" s="6" t="s">
        <v>14</v>
      </c>
    </row>
    <row r="33" spans="1:270">
      <c r="A33" s="9" t="s">
        <v>257</v>
      </c>
      <c r="B33" s="10" t="s">
        <v>948</v>
      </c>
      <c r="C33" s="10" t="s">
        <v>949</v>
      </c>
      <c r="E33" s="10" t="s">
        <v>1146</v>
      </c>
      <c r="F33" s="10" t="s">
        <v>1147</v>
      </c>
      <c r="K33" s="10" t="s">
        <v>1148</v>
      </c>
      <c r="AK33" s="10" t="s">
        <v>1149</v>
      </c>
      <c r="AN33" s="10" t="s">
        <v>1150</v>
      </c>
      <c r="AQ33" s="10" t="s">
        <v>1151</v>
      </c>
      <c r="AS33" s="10" t="s">
        <v>1152</v>
      </c>
      <c r="AT33" s="10" t="s">
        <v>1153</v>
      </c>
      <c r="AU33" s="10" t="s">
        <v>1154</v>
      </c>
      <c r="AV33" s="10" t="s">
        <v>952</v>
      </c>
      <c r="AW33" s="10" t="s">
        <v>952</v>
      </c>
      <c r="AX33" s="10" t="s">
        <v>1155</v>
      </c>
      <c r="AY33" s="10" t="s">
        <v>1156</v>
      </c>
      <c r="BB33" s="10" t="s">
        <v>1157</v>
      </c>
      <c r="BD33" s="10" t="s">
        <v>952</v>
      </c>
      <c r="BE33" s="10" t="s">
        <v>1158</v>
      </c>
      <c r="BF33" s="10" t="s">
        <v>1159</v>
      </c>
      <c r="BG33" s="10" t="s">
        <v>1160</v>
      </c>
      <c r="BI33" s="10" t="s">
        <v>1161</v>
      </c>
      <c r="BJ33" s="10" t="s">
        <v>20</v>
      </c>
      <c r="BK33" s="10" t="s">
        <v>1162</v>
      </c>
      <c r="BL33" s="10" t="s">
        <v>14</v>
      </c>
      <c r="BO33" s="10" t="s">
        <v>952</v>
      </c>
      <c r="BP33" s="10" t="s">
        <v>1163</v>
      </c>
      <c r="BS33" s="10" t="s">
        <v>952</v>
      </c>
      <c r="BT33" s="10" t="s">
        <v>1164</v>
      </c>
      <c r="BV33" s="10" t="s">
        <v>1165</v>
      </c>
      <c r="BX33" s="10" t="s">
        <v>1166</v>
      </c>
      <c r="CB33" s="10" t="s">
        <v>1167</v>
      </c>
      <c r="DW33" s="10" t="s">
        <v>1150</v>
      </c>
      <c r="EX33" s="10" t="s">
        <v>1148</v>
      </c>
    </row>
    <row r="34" spans="1:270">
      <c r="A34" s="5" t="s">
        <v>266</v>
      </c>
      <c r="B34" s="6" t="s">
        <v>948</v>
      </c>
      <c r="C34" s="6" t="s">
        <v>949</v>
      </c>
      <c r="E34" s="6" t="s">
        <v>1146</v>
      </c>
      <c r="F34" s="6" t="s">
        <v>1147</v>
      </c>
      <c r="H34" s="6" t="s">
        <v>1168</v>
      </c>
      <c r="K34" s="6" t="s">
        <v>1169</v>
      </c>
      <c r="AK34" s="6" t="s">
        <v>1170</v>
      </c>
      <c r="AN34" s="6" t="s">
        <v>1171</v>
      </c>
      <c r="AP34" s="6" t="s">
        <v>1172</v>
      </c>
      <c r="AQ34" s="6" t="s">
        <v>1151</v>
      </c>
      <c r="AR34" s="6" t="s">
        <v>1173</v>
      </c>
      <c r="AS34" s="6" t="s">
        <v>1153</v>
      </c>
      <c r="AT34" s="6" t="s">
        <v>1153</v>
      </c>
      <c r="AU34" s="6" t="s">
        <v>952</v>
      </c>
      <c r="AV34" s="6" t="s">
        <v>1174</v>
      </c>
      <c r="AW34" s="6" t="s">
        <v>952</v>
      </c>
      <c r="AX34" s="6" t="s">
        <v>1155</v>
      </c>
      <c r="AY34" s="6" t="s">
        <v>1156</v>
      </c>
      <c r="AZ34" s="6" t="s">
        <v>1170</v>
      </c>
      <c r="BA34" s="6" t="s">
        <v>1175</v>
      </c>
      <c r="BB34" s="6" t="s">
        <v>1176</v>
      </c>
      <c r="BD34" s="6" t="s">
        <v>952</v>
      </c>
      <c r="BE34" s="6" t="s">
        <v>1177</v>
      </c>
      <c r="BF34" s="6" t="s">
        <v>1178</v>
      </c>
      <c r="BG34" s="6" t="s">
        <v>1179</v>
      </c>
      <c r="BH34" s="6" t="s">
        <v>1180</v>
      </c>
      <c r="BI34" s="6" t="s">
        <v>1161</v>
      </c>
      <c r="BJ34" s="6" t="s">
        <v>28</v>
      </c>
      <c r="BK34" s="6" t="s">
        <v>1162</v>
      </c>
      <c r="BL34" s="6" t="s">
        <v>14</v>
      </c>
      <c r="BN34" s="6" t="s">
        <v>28</v>
      </c>
      <c r="BO34" s="6" t="s">
        <v>952</v>
      </c>
      <c r="BP34" s="6" t="s">
        <v>1181</v>
      </c>
      <c r="BR34" s="6" t="s">
        <v>964</v>
      </c>
      <c r="BS34" s="6" t="s">
        <v>952</v>
      </c>
      <c r="BT34" s="6" t="s">
        <v>1164</v>
      </c>
      <c r="BU34" s="6" t="s">
        <v>1182</v>
      </c>
      <c r="BV34" s="6" t="s">
        <v>1165</v>
      </c>
      <c r="BX34" s="6" t="s">
        <v>1166</v>
      </c>
      <c r="BY34" s="6" t="s">
        <v>1183</v>
      </c>
      <c r="CB34" s="6" t="s">
        <v>964</v>
      </c>
      <c r="CQ34" s="6" t="s">
        <v>1184</v>
      </c>
      <c r="DW34" s="6" t="s">
        <v>1171</v>
      </c>
      <c r="EX34" s="6" t="s">
        <v>1169</v>
      </c>
    </row>
    <row r="35" spans="1:270">
      <c r="A35" s="9" t="s">
        <v>275</v>
      </c>
      <c r="B35" s="10" t="s">
        <v>948</v>
      </c>
      <c r="C35" s="10" t="s">
        <v>949</v>
      </c>
      <c r="E35" s="10" t="s">
        <v>1146</v>
      </c>
      <c r="F35" s="10" t="s">
        <v>1147</v>
      </c>
      <c r="H35" s="10" t="s">
        <v>1168</v>
      </c>
      <c r="K35" s="10" t="s">
        <v>1185</v>
      </c>
      <c r="AK35" s="10" t="s">
        <v>1045</v>
      </c>
      <c r="AN35" s="10" t="s">
        <v>1186</v>
      </c>
      <c r="AP35" s="10" t="s">
        <v>1172</v>
      </c>
      <c r="AQ35" s="10" t="s">
        <v>1151</v>
      </c>
      <c r="AR35" s="10" t="s">
        <v>1187</v>
      </c>
      <c r="AS35" s="10" t="s">
        <v>1153</v>
      </c>
      <c r="AT35" s="10" t="s">
        <v>1153</v>
      </c>
      <c r="AU35" s="10" t="s">
        <v>952</v>
      </c>
      <c r="AV35" s="10" t="s">
        <v>952</v>
      </c>
      <c r="AW35" s="10" t="s">
        <v>952</v>
      </c>
      <c r="AX35" s="10" t="s">
        <v>1188</v>
      </c>
      <c r="AY35" s="10" t="s">
        <v>1189</v>
      </c>
      <c r="AZ35" s="10" t="s">
        <v>1045</v>
      </c>
      <c r="BA35" s="10" t="s">
        <v>1175</v>
      </c>
      <c r="BB35" s="10" t="s">
        <v>1190</v>
      </c>
      <c r="BD35" s="10" t="s">
        <v>952</v>
      </c>
      <c r="BE35" s="10" t="s">
        <v>1177</v>
      </c>
      <c r="BF35" s="10" t="s">
        <v>1191</v>
      </c>
      <c r="BG35" s="10" t="s">
        <v>1192</v>
      </c>
      <c r="BH35" s="10" t="s">
        <v>1180</v>
      </c>
      <c r="BI35" s="10" t="s">
        <v>1161</v>
      </c>
      <c r="BJ35" s="10" t="s">
        <v>52</v>
      </c>
      <c r="BK35" s="10" t="s">
        <v>1162</v>
      </c>
      <c r="BL35" s="10" t="s">
        <v>14</v>
      </c>
      <c r="BN35" s="10" t="s">
        <v>52</v>
      </c>
      <c r="BO35" s="10" t="s">
        <v>952</v>
      </c>
      <c r="BP35" s="10" t="s">
        <v>1193</v>
      </c>
      <c r="BR35" s="10" t="s">
        <v>985</v>
      </c>
      <c r="BS35" s="10" t="s">
        <v>952</v>
      </c>
      <c r="BT35" s="10" t="s">
        <v>1164</v>
      </c>
      <c r="BU35" s="10" t="s">
        <v>1182</v>
      </c>
      <c r="BV35" s="10" t="s">
        <v>1165</v>
      </c>
      <c r="BX35" s="10" t="s">
        <v>1166</v>
      </c>
      <c r="BY35" s="10" t="s">
        <v>1183</v>
      </c>
      <c r="CB35" s="10" t="s">
        <v>985</v>
      </c>
      <c r="CQ35" s="10" t="s">
        <v>1194</v>
      </c>
      <c r="DW35" s="10" t="s">
        <v>1186</v>
      </c>
      <c r="EX35" s="10" t="s">
        <v>1185</v>
      </c>
    </row>
    <row r="36" spans="1:270">
      <c r="A36" s="5" t="s">
        <v>283</v>
      </c>
      <c r="B36" s="6" t="s">
        <v>948</v>
      </c>
      <c r="C36" s="6" t="s">
        <v>949</v>
      </c>
      <c r="E36" s="6" t="s">
        <v>1146</v>
      </c>
      <c r="F36" s="6" t="s">
        <v>1147</v>
      </c>
      <c r="H36" s="6" t="s">
        <v>1168</v>
      </c>
      <c r="K36" s="6" t="s">
        <v>1185</v>
      </c>
      <c r="AK36" s="6" t="s">
        <v>1045</v>
      </c>
      <c r="AN36" s="6" t="s">
        <v>1186</v>
      </c>
      <c r="AP36" s="6" t="s">
        <v>1172</v>
      </c>
      <c r="AQ36" s="6" t="s">
        <v>1151</v>
      </c>
      <c r="AR36" s="6" t="s">
        <v>1187</v>
      </c>
      <c r="AS36" s="6" t="s">
        <v>1153</v>
      </c>
      <c r="AT36" s="6" t="s">
        <v>1153</v>
      </c>
      <c r="AU36" s="6" t="s">
        <v>952</v>
      </c>
      <c r="AV36" s="6" t="s">
        <v>952</v>
      </c>
      <c r="AW36" s="6" t="s">
        <v>952</v>
      </c>
      <c r="AX36" s="6" t="s">
        <v>1188</v>
      </c>
      <c r="AY36" s="6" t="s">
        <v>1189</v>
      </c>
      <c r="AZ36" s="6" t="s">
        <v>1045</v>
      </c>
      <c r="BA36" s="6" t="s">
        <v>1175</v>
      </c>
      <c r="BB36" s="6" t="s">
        <v>1190</v>
      </c>
      <c r="BD36" s="6" t="s">
        <v>952</v>
      </c>
      <c r="BE36" s="6" t="s">
        <v>1177</v>
      </c>
      <c r="BF36" s="6" t="s">
        <v>1191</v>
      </c>
      <c r="BG36" s="6" t="s">
        <v>1192</v>
      </c>
      <c r="BH36" s="6" t="s">
        <v>1180</v>
      </c>
      <c r="BI36" s="6" t="s">
        <v>1161</v>
      </c>
      <c r="BJ36" s="6" t="s">
        <v>32</v>
      </c>
      <c r="BK36" s="6" t="s">
        <v>1162</v>
      </c>
      <c r="BL36" s="6" t="s">
        <v>14</v>
      </c>
      <c r="BN36" s="6" t="s">
        <v>32</v>
      </c>
      <c r="BO36" s="6" t="s">
        <v>952</v>
      </c>
      <c r="BP36" s="6" t="s">
        <v>1193</v>
      </c>
      <c r="BR36" s="6" t="s">
        <v>985</v>
      </c>
      <c r="BS36" s="6" t="s">
        <v>952</v>
      </c>
      <c r="BT36" s="6" t="s">
        <v>1164</v>
      </c>
      <c r="BU36" s="6" t="s">
        <v>1182</v>
      </c>
      <c r="BV36" s="6" t="s">
        <v>1165</v>
      </c>
      <c r="BX36" s="6" t="s">
        <v>1166</v>
      </c>
      <c r="BY36" s="6" t="s">
        <v>1183</v>
      </c>
      <c r="CB36" s="6" t="s">
        <v>985</v>
      </c>
      <c r="CQ36" s="6" t="s">
        <v>1194</v>
      </c>
      <c r="DW36" s="6" t="s">
        <v>1186</v>
      </c>
      <c r="EX36" s="6" t="s">
        <v>1185</v>
      </c>
    </row>
    <row r="37" spans="1:270">
      <c r="A37" s="9" t="s">
        <v>290</v>
      </c>
      <c r="B37" s="10" t="s">
        <v>948</v>
      </c>
      <c r="C37" s="10" t="s">
        <v>949</v>
      </c>
      <c r="E37" s="10" t="s">
        <v>1146</v>
      </c>
      <c r="F37" s="10" t="s">
        <v>1147</v>
      </c>
      <c r="K37" s="10" t="s">
        <v>1185</v>
      </c>
      <c r="AK37" s="10" t="s">
        <v>1045</v>
      </c>
      <c r="AN37" s="10" t="s">
        <v>1186</v>
      </c>
      <c r="AQ37" s="10" t="s">
        <v>1151</v>
      </c>
      <c r="AS37" s="10" t="s">
        <v>1153</v>
      </c>
      <c r="AT37" s="10" t="s">
        <v>1153</v>
      </c>
      <c r="AU37" s="10" t="s">
        <v>952</v>
      </c>
      <c r="AV37" s="10" t="s">
        <v>952</v>
      </c>
      <c r="AW37" s="10" t="s">
        <v>952</v>
      </c>
      <c r="AX37" s="10" t="s">
        <v>1188</v>
      </c>
      <c r="AY37" s="10" t="s">
        <v>1189</v>
      </c>
      <c r="BB37" s="10" t="s">
        <v>1190</v>
      </c>
      <c r="BD37" s="10" t="s">
        <v>952</v>
      </c>
      <c r="BE37" s="10" t="s">
        <v>1177</v>
      </c>
      <c r="BF37" s="10" t="s">
        <v>1191</v>
      </c>
      <c r="BG37" s="10" t="s">
        <v>1192</v>
      </c>
      <c r="BI37" s="10" t="s">
        <v>1161</v>
      </c>
      <c r="BJ37" s="10" t="s">
        <v>68</v>
      </c>
      <c r="BK37" s="10" t="s">
        <v>1162</v>
      </c>
      <c r="BL37" s="10" t="s">
        <v>14</v>
      </c>
      <c r="BO37" s="10" t="s">
        <v>952</v>
      </c>
      <c r="BP37" s="10" t="s">
        <v>1193</v>
      </c>
      <c r="BS37" s="10" t="s">
        <v>952</v>
      </c>
      <c r="BT37" s="10" t="s">
        <v>1164</v>
      </c>
      <c r="BV37" s="10" t="s">
        <v>1165</v>
      </c>
      <c r="BX37" s="10" t="s">
        <v>1166</v>
      </c>
      <c r="CB37" s="10" t="s">
        <v>985</v>
      </c>
      <c r="DW37" s="10" t="s">
        <v>1186</v>
      </c>
      <c r="EX37" s="10" t="s">
        <v>1185</v>
      </c>
    </row>
    <row r="38" spans="1:270">
      <c r="A38" s="5" t="s">
        <v>298</v>
      </c>
      <c r="B38" s="6" t="s">
        <v>948</v>
      </c>
      <c r="C38" s="6" t="s">
        <v>949</v>
      </c>
      <c r="E38" s="6" t="s">
        <v>1146</v>
      </c>
      <c r="F38" s="6" t="s">
        <v>1147</v>
      </c>
      <c r="H38" s="6" t="s">
        <v>1168</v>
      </c>
      <c r="K38" s="6" t="s">
        <v>1185</v>
      </c>
      <c r="AK38" s="6" t="s">
        <v>1045</v>
      </c>
      <c r="AN38" s="6" t="s">
        <v>1186</v>
      </c>
      <c r="AP38" s="6" t="s">
        <v>1172</v>
      </c>
      <c r="AQ38" s="6" t="s">
        <v>1151</v>
      </c>
      <c r="AR38" s="6" t="s">
        <v>1187</v>
      </c>
      <c r="AS38" s="6" t="s">
        <v>1153</v>
      </c>
      <c r="AT38" s="6" t="s">
        <v>1153</v>
      </c>
      <c r="AU38" s="6" t="s">
        <v>952</v>
      </c>
      <c r="AV38" s="6" t="s">
        <v>952</v>
      </c>
      <c r="AW38" s="6" t="s">
        <v>952</v>
      </c>
      <c r="AX38" s="6" t="s">
        <v>1188</v>
      </c>
      <c r="AY38" s="6" t="s">
        <v>1189</v>
      </c>
      <c r="AZ38" s="6" t="s">
        <v>1045</v>
      </c>
      <c r="BA38" s="6" t="s">
        <v>1175</v>
      </c>
      <c r="BB38" s="6" t="s">
        <v>1190</v>
      </c>
      <c r="BD38" s="6" t="s">
        <v>952</v>
      </c>
      <c r="BE38" s="6" t="s">
        <v>1177</v>
      </c>
      <c r="BF38" s="6" t="s">
        <v>1191</v>
      </c>
      <c r="BG38" s="6" t="s">
        <v>1192</v>
      </c>
      <c r="BH38" s="6" t="s">
        <v>1180</v>
      </c>
      <c r="BI38" s="6" t="s">
        <v>1161</v>
      </c>
      <c r="BJ38" s="6" t="s">
        <v>76</v>
      </c>
      <c r="BK38" s="6" t="s">
        <v>1162</v>
      </c>
      <c r="BL38" s="6" t="s">
        <v>14</v>
      </c>
      <c r="BN38" s="6" t="s">
        <v>76</v>
      </c>
      <c r="BO38" s="6" t="s">
        <v>952</v>
      </c>
      <c r="BP38" s="6" t="s">
        <v>1193</v>
      </c>
      <c r="BR38" s="6" t="s">
        <v>985</v>
      </c>
      <c r="BS38" s="6" t="s">
        <v>952</v>
      </c>
      <c r="BT38" s="6" t="s">
        <v>1164</v>
      </c>
      <c r="BU38" s="6" t="s">
        <v>1182</v>
      </c>
      <c r="BV38" s="6" t="s">
        <v>1165</v>
      </c>
      <c r="BX38" s="6" t="s">
        <v>1166</v>
      </c>
      <c r="BY38" s="6" t="s">
        <v>1183</v>
      </c>
      <c r="CB38" s="6" t="s">
        <v>985</v>
      </c>
      <c r="CQ38" s="6" t="s">
        <v>1194</v>
      </c>
      <c r="DW38" s="6" t="s">
        <v>1186</v>
      </c>
      <c r="EX38" s="6" t="s">
        <v>1185</v>
      </c>
    </row>
    <row r="39" spans="1:270">
      <c r="A39" s="9" t="s">
        <v>304</v>
      </c>
      <c r="H39" s="10" t="s">
        <v>309</v>
      </c>
      <c r="K39" s="10" t="s">
        <v>1195</v>
      </c>
      <c r="AN39" s="10" t="s">
        <v>1196</v>
      </c>
      <c r="AP39" s="10" t="s">
        <v>1172</v>
      </c>
      <c r="AR39" s="10" t="s">
        <v>1197</v>
      </c>
      <c r="AZ39" s="10" t="s">
        <v>1198</v>
      </c>
      <c r="BA39" s="10" t="s">
        <v>1199</v>
      </c>
      <c r="BH39" s="10" t="s">
        <v>1200</v>
      </c>
      <c r="BN39" s="10" t="s">
        <v>28</v>
      </c>
      <c r="BR39" s="10" t="s">
        <v>1201</v>
      </c>
      <c r="BU39" s="10" t="s">
        <v>1202</v>
      </c>
      <c r="BY39" s="10" t="s">
        <v>1203</v>
      </c>
      <c r="DR39" s="10" t="s">
        <v>1204</v>
      </c>
      <c r="DU39" s="10" t="s">
        <v>1139</v>
      </c>
      <c r="DW39" s="10" t="s">
        <v>1196</v>
      </c>
      <c r="DX39" s="10" t="s">
        <v>1205</v>
      </c>
      <c r="EJ39" s="10" t="s">
        <v>1206</v>
      </c>
      <c r="ES39" s="10" t="s">
        <v>1207</v>
      </c>
      <c r="ET39" s="10" t="s">
        <v>1208</v>
      </c>
      <c r="EX39" s="10" t="s">
        <v>1195</v>
      </c>
    </row>
    <row r="40" spans="1:270">
      <c r="A40" s="5" t="s">
        <v>313</v>
      </c>
      <c r="H40" s="6" t="s">
        <v>309</v>
      </c>
      <c r="K40" s="6" t="s">
        <v>1195</v>
      </c>
      <c r="AN40" s="6" t="s">
        <v>1196</v>
      </c>
      <c r="AP40" s="6" t="s">
        <v>1172</v>
      </c>
      <c r="AR40" s="6" t="s">
        <v>1197</v>
      </c>
      <c r="AZ40" s="6" t="s">
        <v>1198</v>
      </c>
      <c r="BA40" s="6" t="s">
        <v>1199</v>
      </c>
      <c r="BH40" s="6" t="s">
        <v>1180</v>
      </c>
      <c r="BN40" s="6" t="s">
        <v>28</v>
      </c>
      <c r="BR40" s="6" t="s">
        <v>1201</v>
      </c>
      <c r="BU40" s="6" t="s">
        <v>1202</v>
      </c>
      <c r="BY40" s="6" t="s">
        <v>1203</v>
      </c>
      <c r="DR40" s="6" t="s">
        <v>1204</v>
      </c>
      <c r="DU40" s="6" t="s">
        <v>1139</v>
      </c>
      <c r="DW40" s="6" t="s">
        <v>1196</v>
      </c>
      <c r="DX40" s="6" t="s">
        <v>1205</v>
      </c>
      <c r="EJ40" s="6" t="s">
        <v>1206</v>
      </c>
      <c r="ES40" s="6" t="s">
        <v>1207</v>
      </c>
      <c r="ET40" s="6" t="s">
        <v>1208</v>
      </c>
      <c r="EX40" s="6" t="s">
        <v>1195</v>
      </c>
    </row>
    <row r="41" spans="1:270">
      <c r="A41" s="9" t="s">
        <v>320</v>
      </c>
    </row>
    <row r="42" spans="1:270">
      <c r="A42" s="5" t="s">
        <v>329</v>
      </c>
      <c r="B42" s="6" t="s">
        <v>1209</v>
      </c>
      <c r="C42" s="6" t="s">
        <v>949</v>
      </c>
      <c r="D42" s="6" t="s">
        <v>1210</v>
      </c>
      <c r="E42" s="6" t="s">
        <v>1039</v>
      </c>
      <c r="F42" s="6" t="s">
        <v>952</v>
      </c>
      <c r="G42" s="6" t="s">
        <v>1211</v>
      </c>
      <c r="I42" s="6" t="s">
        <v>1017</v>
      </c>
      <c r="J42" s="6" t="s">
        <v>1212</v>
      </c>
      <c r="K42" s="6" t="s">
        <v>1213</v>
      </c>
      <c r="L42" s="6" t="s">
        <v>956</v>
      </c>
      <c r="M42" s="6" t="s">
        <v>952</v>
      </c>
      <c r="AK42" s="6" t="s">
        <v>1214</v>
      </c>
      <c r="AM42" s="6" t="s">
        <v>1215</v>
      </c>
      <c r="EX42" s="6" t="s">
        <v>1213</v>
      </c>
      <c r="GJ42" s="6" t="s">
        <v>1216</v>
      </c>
      <c r="GM42" s="6" t="s">
        <v>1217</v>
      </c>
      <c r="GZ42" s="6" t="s">
        <v>1218</v>
      </c>
      <c r="HG42" s="6" t="s">
        <v>1219</v>
      </c>
      <c r="HH42" s="6" t="s">
        <v>1220</v>
      </c>
      <c r="HY42" s="6" t="s">
        <v>1221</v>
      </c>
      <c r="JD42" s="6" t="s">
        <v>952</v>
      </c>
      <c r="JJ42" s="6" t="s">
        <v>1222</v>
      </c>
    </row>
    <row r="43" spans="1:270">
      <c r="A43" s="9" t="s">
        <v>338</v>
      </c>
      <c r="B43" s="10" t="s">
        <v>948</v>
      </c>
      <c r="C43" s="10" t="s">
        <v>949</v>
      </c>
      <c r="D43" s="10" t="s">
        <v>1056</v>
      </c>
      <c r="E43" s="10" t="s">
        <v>1039</v>
      </c>
      <c r="H43" s="10" t="s">
        <v>1223</v>
      </c>
      <c r="K43" s="10" t="s">
        <v>1058</v>
      </c>
      <c r="M43" s="10" t="s">
        <v>1224</v>
      </c>
      <c r="O43" s="10" t="s">
        <v>967</v>
      </c>
      <c r="AH43" s="10" t="s">
        <v>1225</v>
      </c>
      <c r="AJ43" s="10" t="s">
        <v>1042</v>
      </c>
      <c r="BW43" s="10" t="s">
        <v>1226</v>
      </c>
      <c r="DY43" s="10" t="s">
        <v>1227</v>
      </c>
      <c r="EB43" s="10" t="s">
        <v>1228</v>
      </c>
      <c r="EC43" s="10" t="s">
        <v>1229</v>
      </c>
      <c r="ED43" s="10" t="s">
        <v>1230</v>
      </c>
      <c r="EE43" s="10" t="s">
        <v>1231</v>
      </c>
      <c r="EG43" s="10" t="s">
        <v>952</v>
      </c>
      <c r="EH43" s="10" t="s">
        <v>1232</v>
      </c>
      <c r="EI43" s="10" t="s">
        <v>1233</v>
      </c>
      <c r="EK43" s="10" t="s">
        <v>1234</v>
      </c>
      <c r="EL43" s="10" t="s">
        <v>1235</v>
      </c>
      <c r="EN43" s="10" t="s">
        <v>1236</v>
      </c>
      <c r="EW43" s="10" t="s">
        <v>1237</v>
      </c>
      <c r="EX43" s="10" t="s">
        <v>1058</v>
      </c>
      <c r="EZ43" s="10" t="s">
        <v>1238</v>
      </c>
      <c r="FA43" s="10" t="s">
        <v>1239</v>
      </c>
      <c r="FC43" s="10" t="s">
        <v>1240</v>
      </c>
      <c r="FD43" s="10" t="s">
        <v>1241</v>
      </c>
      <c r="FH43" s="10" t="s">
        <v>1242</v>
      </c>
      <c r="FJ43" s="10" t="s">
        <v>1076</v>
      </c>
      <c r="FK43" s="10" t="s">
        <v>1243</v>
      </c>
      <c r="FL43" s="10" t="s">
        <v>1244</v>
      </c>
      <c r="HC43" s="10" t="s">
        <v>1245</v>
      </c>
    </row>
    <row r="44" spans="1:270">
      <c r="A44" s="5" t="s">
        <v>345</v>
      </c>
      <c r="B44" s="6" t="s">
        <v>948</v>
      </c>
      <c r="C44" s="6" t="s">
        <v>949</v>
      </c>
      <c r="D44" s="6" t="s">
        <v>1246</v>
      </c>
      <c r="E44" s="6" t="s">
        <v>1039</v>
      </c>
      <c r="H44" s="6" t="s">
        <v>1247</v>
      </c>
      <c r="K44" s="6" t="s">
        <v>1248</v>
      </c>
      <c r="M44" s="6" t="s">
        <v>1249</v>
      </c>
      <c r="O44" s="6" t="s">
        <v>967</v>
      </c>
      <c r="AH44" s="6" t="s">
        <v>1250</v>
      </c>
      <c r="BW44" s="6" t="s">
        <v>1226</v>
      </c>
      <c r="DY44" s="6" t="s">
        <v>1251</v>
      </c>
      <c r="EB44" s="6" t="s">
        <v>1252</v>
      </c>
      <c r="EC44" s="6" t="s">
        <v>1253</v>
      </c>
      <c r="ED44" s="6" t="s">
        <v>1254</v>
      </c>
      <c r="EE44" s="6" t="s">
        <v>1231</v>
      </c>
      <c r="EG44" s="6" t="s">
        <v>952</v>
      </c>
      <c r="EH44" s="6" t="s">
        <v>1232</v>
      </c>
      <c r="EK44" s="6" t="s">
        <v>1255</v>
      </c>
      <c r="EL44" s="6" t="s">
        <v>1256</v>
      </c>
      <c r="EN44" s="6" t="s">
        <v>1236</v>
      </c>
      <c r="EW44" s="6" t="s">
        <v>1257</v>
      </c>
      <c r="EX44" s="6" t="s">
        <v>1248</v>
      </c>
      <c r="EZ44" s="6" t="s">
        <v>1238</v>
      </c>
      <c r="FA44" s="6" t="s">
        <v>1258</v>
      </c>
      <c r="FC44" s="6" t="s">
        <v>1259</v>
      </c>
      <c r="FD44" s="6" t="s">
        <v>1260</v>
      </c>
      <c r="FH44" s="6" t="s">
        <v>1242</v>
      </c>
      <c r="FK44" s="6" t="s">
        <v>1243</v>
      </c>
      <c r="FL44" s="6" t="s">
        <v>1261</v>
      </c>
      <c r="HD44" s="6" t="s">
        <v>1243</v>
      </c>
      <c r="IX44" s="6" t="s">
        <v>1262</v>
      </c>
    </row>
    <row r="45" spans="1:270">
      <c r="A45" s="9" t="s">
        <v>353</v>
      </c>
      <c r="B45" s="10" t="s">
        <v>948</v>
      </c>
      <c r="C45" s="10" t="s">
        <v>949</v>
      </c>
      <c r="D45" s="10" t="s">
        <v>990</v>
      </c>
      <c r="F45" s="10" t="s">
        <v>1263</v>
      </c>
      <c r="G45" s="10" t="s">
        <v>1264</v>
      </c>
      <c r="I45" s="10" t="s">
        <v>1265</v>
      </c>
      <c r="J45" s="10" t="s">
        <v>1266</v>
      </c>
      <c r="K45" s="10" t="s">
        <v>1267</v>
      </c>
      <c r="L45" s="10" t="s">
        <v>956</v>
      </c>
      <c r="M45" s="10" t="s">
        <v>994</v>
      </c>
      <c r="N45" s="10" t="s">
        <v>952</v>
      </c>
      <c r="P45" s="10" t="s">
        <v>1268</v>
      </c>
      <c r="Z45" s="10" t="s">
        <v>1269</v>
      </c>
      <c r="AA45" s="10" t="s">
        <v>1270</v>
      </c>
      <c r="AB45" s="10" t="s">
        <v>28</v>
      </c>
      <c r="AD45" s="10" t="s">
        <v>1271</v>
      </c>
      <c r="EX45" s="10" t="s">
        <v>1267</v>
      </c>
    </row>
    <row r="46" spans="1:270">
      <c r="A46" s="5" t="s">
        <v>362</v>
      </c>
      <c r="B46" s="6" t="s">
        <v>948</v>
      </c>
      <c r="C46" s="6" t="s">
        <v>949</v>
      </c>
      <c r="D46" s="6" t="s">
        <v>950</v>
      </c>
      <c r="F46" s="6" t="s">
        <v>1272</v>
      </c>
      <c r="G46" s="6" t="s">
        <v>953</v>
      </c>
      <c r="H46" s="6" t="s">
        <v>1273</v>
      </c>
      <c r="I46" s="6" t="s">
        <v>1274</v>
      </c>
      <c r="J46" s="6" t="s">
        <v>1275</v>
      </c>
      <c r="K46" s="6" t="s">
        <v>1276</v>
      </c>
      <c r="L46" s="6" t="s">
        <v>956</v>
      </c>
      <c r="M46" s="6" t="s">
        <v>969</v>
      </c>
      <c r="N46" s="6" t="s">
        <v>952</v>
      </c>
      <c r="O46" s="6" t="s">
        <v>967</v>
      </c>
      <c r="P46" s="6" t="s">
        <v>952</v>
      </c>
      <c r="X46" s="6" t="s">
        <v>969</v>
      </c>
      <c r="Y46" s="6" t="s">
        <v>970</v>
      </c>
      <c r="Z46" s="6" t="s">
        <v>1277</v>
      </c>
      <c r="AA46" s="6" t="s">
        <v>1278</v>
      </c>
      <c r="AB46" s="6" t="s">
        <v>28</v>
      </c>
      <c r="AD46" s="6" t="s">
        <v>952</v>
      </c>
      <c r="AL46" s="6" t="s">
        <v>1279</v>
      </c>
      <c r="BZ46" s="6" t="s">
        <v>1280</v>
      </c>
      <c r="CD46" s="6" t="s">
        <v>982</v>
      </c>
      <c r="CH46" s="6" t="s">
        <v>985</v>
      </c>
      <c r="DI46" s="6" t="s">
        <v>964</v>
      </c>
      <c r="EX46" s="6" t="s">
        <v>1276</v>
      </c>
    </row>
    <row r="47" spans="1:270">
      <c r="A47" s="9" t="s">
        <v>371</v>
      </c>
      <c r="B47" s="10" t="s">
        <v>948</v>
      </c>
      <c r="C47" s="10" t="s">
        <v>949</v>
      </c>
      <c r="D47" s="10" t="s">
        <v>975</v>
      </c>
      <c r="F47" s="10" t="s">
        <v>1281</v>
      </c>
      <c r="G47" s="10" t="s">
        <v>1282</v>
      </c>
      <c r="H47" s="10" t="s">
        <v>1115</v>
      </c>
      <c r="I47" s="10" t="s">
        <v>1274</v>
      </c>
      <c r="J47" s="10" t="s">
        <v>960</v>
      </c>
      <c r="K47" s="10" t="s">
        <v>1276</v>
      </c>
      <c r="L47" s="10" t="s">
        <v>956</v>
      </c>
      <c r="M47" s="10" t="s">
        <v>980</v>
      </c>
      <c r="N47" s="10" t="s">
        <v>952</v>
      </c>
      <c r="O47" s="10" t="s">
        <v>967</v>
      </c>
      <c r="P47" s="10" t="s">
        <v>952</v>
      </c>
      <c r="X47" s="10" t="s">
        <v>980</v>
      </c>
      <c r="Y47" s="10" t="s">
        <v>981</v>
      </c>
      <c r="Z47" s="10" t="s">
        <v>1277</v>
      </c>
      <c r="AA47" s="10" t="s">
        <v>1278</v>
      </c>
      <c r="AB47" s="10" t="s">
        <v>28</v>
      </c>
      <c r="AD47" s="10" t="s">
        <v>952</v>
      </c>
      <c r="AL47" s="10" t="s">
        <v>1279</v>
      </c>
      <c r="BZ47" s="10" t="s">
        <v>1280</v>
      </c>
      <c r="CH47" s="10" t="s">
        <v>1283</v>
      </c>
      <c r="EX47" s="10" t="s">
        <v>1276</v>
      </c>
    </row>
    <row r="48" spans="1:270">
      <c r="A48" s="5" t="s">
        <v>378</v>
      </c>
      <c r="B48" s="6" t="s">
        <v>948</v>
      </c>
      <c r="C48" s="6" t="s">
        <v>949</v>
      </c>
      <c r="D48" s="6" t="s">
        <v>975</v>
      </c>
      <c r="F48" s="6" t="s">
        <v>1284</v>
      </c>
      <c r="G48" s="6" t="s">
        <v>976</v>
      </c>
      <c r="I48" s="6" t="s">
        <v>1265</v>
      </c>
      <c r="J48" s="6" t="s">
        <v>960</v>
      </c>
      <c r="K48" s="6" t="s">
        <v>1285</v>
      </c>
      <c r="L48" s="6" t="s">
        <v>956</v>
      </c>
      <c r="M48" s="6" t="s">
        <v>980</v>
      </c>
      <c r="N48" s="6" t="s">
        <v>952</v>
      </c>
      <c r="P48" s="6" t="s">
        <v>1286</v>
      </c>
      <c r="Z48" s="6" t="s">
        <v>1287</v>
      </c>
      <c r="AA48" s="6" t="s">
        <v>1288</v>
      </c>
      <c r="AB48" s="6" t="s">
        <v>28</v>
      </c>
      <c r="AD48" s="6" t="s">
        <v>1289</v>
      </c>
      <c r="EX48" s="6" t="s">
        <v>1285</v>
      </c>
    </row>
    <row r="49" spans="1:272">
      <c r="A49" s="9" t="s">
        <v>385</v>
      </c>
      <c r="B49" s="10" t="s">
        <v>948</v>
      </c>
      <c r="C49" s="10" t="s">
        <v>949</v>
      </c>
      <c r="D49" s="10" t="s">
        <v>1007</v>
      </c>
      <c r="F49" s="10" t="s">
        <v>1281</v>
      </c>
      <c r="G49" s="10" t="s">
        <v>1008</v>
      </c>
      <c r="I49" s="10" t="s">
        <v>1265</v>
      </c>
      <c r="J49" s="10" t="s">
        <v>1000</v>
      </c>
      <c r="K49" s="10" t="s">
        <v>1285</v>
      </c>
      <c r="L49" s="10" t="s">
        <v>956</v>
      </c>
      <c r="M49" s="10" t="s">
        <v>1023</v>
      </c>
      <c r="N49" s="10" t="s">
        <v>952</v>
      </c>
      <c r="P49" s="10" t="s">
        <v>1290</v>
      </c>
      <c r="Z49" s="10" t="s">
        <v>1291</v>
      </c>
      <c r="AA49" s="10" t="s">
        <v>1278</v>
      </c>
      <c r="AB49" s="10" t="s">
        <v>28</v>
      </c>
      <c r="AD49" s="10" t="s">
        <v>1292</v>
      </c>
      <c r="EX49" s="10" t="s">
        <v>1285</v>
      </c>
    </row>
    <row r="50" spans="1:272">
      <c r="A50" s="5" t="s">
        <v>391</v>
      </c>
      <c r="B50" s="6" t="s">
        <v>948</v>
      </c>
      <c r="C50" s="6" t="s">
        <v>949</v>
      </c>
      <c r="D50" s="6" t="s">
        <v>975</v>
      </c>
      <c r="F50" s="6" t="s">
        <v>1281</v>
      </c>
      <c r="G50" s="6" t="s">
        <v>1282</v>
      </c>
      <c r="H50" s="6" t="s">
        <v>1115</v>
      </c>
      <c r="I50" s="6" t="s">
        <v>1265</v>
      </c>
      <c r="J50" s="6" t="s">
        <v>960</v>
      </c>
      <c r="K50" s="6" t="s">
        <v>1276</v>
      </c>
      <c r="L50" s="6" t="s">
        <v>956</v>
      </c>
      <c r="M50" s="6" t="s">
        <v>980</v>
      </c>
      <c r="N50" s="6" t="s">
        <v>952</v>
      </c>
      <c r="O50" s="6" t="s">
        <v>967</v>
      </c>
      <c r="P50" s="6" t="s">
        <v>1293</v>
      </c>
      <c r="X50" s="6" t="s">
        <v>980</v>
      </c>
      <c r="Y50" s="6" t="s">
        <v>981</v>
      </c>
      <c r="Z50" s="6" t="s">
        <v>1294</v>
      </c>
      <c r="AA50" s="6" t="s">
        <v>1278</v>
      </c>
      <c r="AB50" s="6" t="s">
        <v>28</v>
      </c>
      <c r="AD50" s="6" t="s">
        <v>1295</v>
      </c>
      <c r="AL50" s="6" t="s">
        <v>1279</v>
      </c>
      <c r="BZ50" s="6" t="s">
        <v>1280</v>
      </c>
      <c r="CH50" s="6" t="s">
        <v>1283</v>
      </c>
      <c r="EX50" s="6" t="s">
        <v>1276</v>
      </c>
    </row>
    <row r="51" spans="1:272">
      <c r="A51" s="9" t="s">
        <v>396</v>
      </c>
      <c r="B51" s="10" t="s">
        <v>948</v>
      </c>
      <c r="C51" s="10" t="s">
        <v>949</v>
      </c>
      <c r="D51" s="10" t="s">
        <v>950</v>
      </c>
      <c r="F51" s="10" t="s">
        <v>1272</v>
      </c>
      <c r="G51" s="10" t="s">
        <v>953</v>
      </c>
      <c r="H51" s="10" t="s">
        <v>1273</v>
      </c>
      <c r="I51" s="10" t="s">
        <v>1265</v>
      </c>
      <c r="J51" s="10" t="s">
        <v>1275</v>
      </c>
      <c r="K51" s="10" t="s">
        <v>1276</v>
      </c>
      <c r="L51" s="10" t="s">
        <v>956</v>
      </c>
      <c r="M51" s="10" t="s">
        <v>969</v>
      </c>
      <c r="N51" s="10" t="s">
        <v>952</v>
      </c>
      <c r="O51" s="10" t="s">
        <v>967</v>
      </c>
      <c r="P51" s="10" t="s">
        <v>1293</v>
      </c>
      <c r="X51" s="10" t="s">
        <v>969</v>
      </c>
      <c r="Y51" s="10" t="s">
        <v>970</v>
      </c>
      <c r="Z51" s="10" t="s">
        <v>1296</v>
      </c>
      <c r="AA51" s="10" t="s">
        <v>1278</v>
      </c>
      <c r="AB51" s="10" t="s">
        <v>28</v>
      </c>
      <c r="AD51" s="10" t="s">
        <v>1297</v>
      </c>
      <c r="AL51" s="10" t="s">
        <v>1279</v>
      </c>
      <c r="BZ51" s="10" t="s">
        <v>1280</v>
      </c>
      <c r="CD51" s="10" t="s">
        <v>982</v>
      </c>
      <c r="CH51" s="10" t="s">
        <v>985</v>
      </c>
      <c r="DI51" s="10" t="s">
        <v>964</v>
      </c>
      <c r="EX51" s="10" t="s">
        <v>1276</v>
      </c>
    </row>
    <row r="52" spans="1:272">
      <c r="A52" s="5" t="s">
        <v>403</v>
      </c>
      <c r="B52" s="6" t="s">
        <v>948</v>
      </c>
      <c r="C52" s="6" t="s">
        <v>949</v>
      </c>
      <c r="D52" s="6" t="s">
        <v>975</v>
      </c>
      <c r="F52" s="6" t="s">
        <v>1281</v>
      </c>
      <c r="G52" s="6" t="s">
        <v>976</v>
      </c>
      <c r="I52" s="6" t="s">
        <v>1265</v>
      </c>
      <c r="J52" s="6" t="s">
        <v>960</v>
      </c>
      <c r="K52" s="6" t="s">
        <v>1285</v>
      </c>
      <c r="L52" s="6" t="s">
        <v>956</v>
      </c>
      <c r="M52" s="6" t="s">
        <v>980</v>
      </c>
      <c r="N52" s="6" t="s">
        <v>952</v>
      </c>
      <c r="P52" s="6" t="s">
        <v>1290</v>
      </c>
      <c r="Z52" s="6" t="s">
        <v>1298</v>
      </c>
      <c r="AA52" s="6" t="s">
        <v>1278</v>
      </c>
      <c r="AB52" s="6" t="s">
        <v>28</v>
      </c>
      <c r="AD52" s="6" t="s">
        <v>1299</v>
      </c>
      <c r="EX52" s="6" t="s">
        <v>1285</v>
      </c>
    </row>
    <row r="53" spans="1:272">
      <c r="A53" s="9" t="s">
        <v>411</v>
      </c>
      <c r="B53" s="10" t="s">
        <v>948</v>
      </c>
      <c r="C53" s="10" t="s">
        <v>949</v>
      </c>
      <c r="D53" s="10" t="s">
        <v>950</v>
      </c>
      <c r="F53" s="10" t="s">
        <v>1281</v>
      </c>
      <c r="G53" s="10" t="s">
        <v>953</v>
      </c>
      <c r="I53" s="10" t="s">
        <v>1265</v>
      </c>
      <c r="J53" s="10" t="s">
        <v>1275</v>
      </c>
      <c r="K53" s="10" t="s">
        <v>1285</v>
      </c>
      <c r="L53" s="10" t="s">
        <v>956</v>
      </c>
      <c r="M53" s="10" t="s">
        <v>969</v>
      </c>
      <c r="N53" s="10" t="s">
        <v>952</v>
      </c>
      <c r="P53" s="10" t="s">
        <v>1290</v>
      </c>
      <c r="Z53" s="10" t="s">
        <v>1300</v>
      </c>
      <c r="AA53" s="10" t="s">
        <v>1278</v>
      </c>
      <c r="AB53" s="10" t="s">
        <v>28</v>
      </c>
      <c r="AD53" s="10" t="s">
        <v>1301</v>
      </c>
      <c r="EX53" s="10" t="s">
        <v>1285</v>
      </c>
    </row>
    <row r="54" spans="1:272">
      <c r="A54" s="5" t="s">
        <v>418</v>
      </c>
      <c r="B54" s="6" t="s">
        <v>948</v>
      </c>
      <c r="C54" s="6" t="s">
        <v>949</v>
      </c>
      <c r="D54" s="6" t="s">
        <v>950</v>
      </c>
      <c r="F54" s="6" t="s">
        <v>1281</v>
      </c>
      <c r="G54" s="6" t="s">
        <v>953</v>
      </c>
      <c r="I54" s="6" t="s">
        <v>1265</v>
      </c>
      <c r="J54" s="6" t="s">
        <v>1275</v>
      </c>
      <c r="K54" s="6" t="s">
        <v>1285</v>
      </c>
      <c r="L54" s="6" t="s">
        <v>956</v>
      </c>
      <c r="M54" s="6" t="s">
        <v>969</v>
      </c>
      <c r="N54" s="6" t="s">
        <v>952</v>
      </c>
      <c r="P54" s="6" t="s">
        <v>1290</v>
      </c>
      <c r="Z54" s="6" t="s">
        <v>1302</v>
      </c>
      <c r="AA54" s="6" t="s">
        <v>1278</v>
      </c>
      <c r="AB54" s="6" t="s">
        <v>28</v>
      </c>
      <c r="AD54" s="6" t="s">
        <v>1301</v>
      </c>
      <c r="EX54" s="6" t="s">
        <v>1285</v>
      </c>
    </row>
    <row r="55" spans="1:272">
      <c r="A55" s="9" t="s">
        <v>424</v>
      </c>
      <c r="B55" s="10" t="s">
        <v>948</v>
      </c>
      <c r="C55" s="10" t="s">
        <v>949</v>
      </c>
      <c r="D55" s="10" t="s">
        <v>950</v>
      </c>
      <c r="F55" s="10" t="s">
        <v>1272</v>
      </c>
      <c r="G55" s="10" t="s">
        <v>953</v>
      </c>
      <c r="H55" s="10" t="s">
        <v>1273</v>
      </c>
      <c r="I55" s="10" t="s">
        <v>1265</v>
      </c>
      <c r="J55" s="10" t="s">
        <v>1275</v>
      </c>
      <c r="K55" s="10" t="s">
        <v>1276</v>
      </c>
      <c r="L55" s="10" t="s">
        <v>956</v>
      </c>
      <c r="M55" s="10" t="s">
        <v>969</v>
      </c>
      <c r="N55" s="10" t="s">
        <v>952</v>
      </c>
      <c r="O55" s="10" t="s">
        <v>967</v>
      </c>
      <c r="P55" s="10" t="s">
        <v>1293</v>
      </c>
      <c r="X55" s="10" t="s">
        <v>969</v>
      </c>
      <c r="Y55" s="10" t="s">
        <v>970</v>
      </c>
      <c r="Z55" s="10" t="s">
        <v>1303</v>
      </c>
      <c r="AA55" s="10" t="s">
        <v>1278</v>
      </c>
      <c r="AB55" s="10" t="s">
        <v>28</v>
      </c>
      <c r="AD55" s="10" t="s">
        <v>1297</v>
      </c>
      <c r="AL55" s="10" t="s">
        <v>1279</v>
      </c>
      <c r="BZ55" s="10" t="s">
        <v>1280</v>
      </c>
      <c r="CD55" s="10" t="s">
        <v>982</v>
      </c>
      <c r="CH55" s="10" t="s">
        <v>985</v>
      </c>
      <c r="DI55" s="10" t="s">
        <v>964</v>
      </c>
      <c r="EX55" s="10" t="s">
        <v>1276</v>
      </c>
    </row>
    <row r="56" spans="1:272">
      <c r="A56" s="5" t="s">
        <v>430</v>
      </c>
      <c r="B56" s="6" t="s">
        <v>948</v>
      </c>
      <c r="C56" s="6" t="s">
        <v>949</v>
      </c>
      <c r="D56" s="6" t="s">
        <v>950</v>
      </c>
      <c r="F56" s="6" t="s">
        <v>1304</v>
      </c>
      <c r="G56" s="6" t="s">
        <v>953</v>
      </c>
      <c r="I56" s="6" t="s">
        <v>1265</v>
      </c>
      <c r="J56" s="6" t="s">
        <v>1305</v>
      </c>
      <c r="K56" s="6" t="s">
        <v>1285</v>
      </c>
      <c r="L56" s="6" t="s">
        <v>952</v>
      </c>
      <c r="M56" s="6" t="s">
        <v>969</v>
      </c>
      <c r="N56" s="6" t="s">
        <v>952</v>
      </c>
      <c r="P56" s="6" t="s">
        <v>1286</v>
      </c>
      <c r="Z56" s="6" t="s">
        <v>1306</v>
      </c>
      <c r="AA56" s="6" t="s">
        <v>1288</v>
      </c>
      <c r="AB56" s="6" t="s">
        <v>28</v>
      </c>
      <c r="AD56" s="6" t="s">
        <v>1307</v>
      </c>
      <c r="EX56" s="6" t="s">
        <v>1285</v>
      </c>
    </row>
    <row r="57" spans="1:272">
      <c r="A57" s="9" t="s">
        <v>437</v>
      </c>
      <c r="B57" s="10" t="s">
        <v>948</v>
      </c>
      <c r="C57" s="10" t="s">
        <v>949</v>
      </c>
      <c r="D57" s="10" t="s">
        <v>950</v>
      </c>
      <c r="F57" s="10" t="s">
        <v>952</v>
      </c>
      <c r="G57" s="10" t="s">
        <v>953</v>
      </c>
      <c r="I57" s="10" t="s">
        <v>1265</v>
      </c>
      <c r="J57" s="10" t="s">
        <v>1305</v>
      </c>
      <c r="K57" s="10" t="s">
        <v>1285</v>
      </c>
      <c r="M57" s="10" t="s">
        <v>969</v>
      </c>
      <c r="N57" s="10" t="s">
        <v>952</v>
      </c>
      <c r="P57" s="10" t="s">
        <v>1286</v>
      </c>
      <c r="Z57" s="10" t="s">
        <v>1308</v>
      </c>
      <c r="AA57" s="10" t="s">
        <v>1288</v>
      </c>
      <c r="AB57" s="10" t="s">
        <v>28</v>
      </c>
      <c r="AD57" s="10" t="s">
        <v>1307</v>
      </c>
      <c r="EX57" s="10" t="s">
        <v>1285</v>
      </c>
    </row>
    <row r="58" spans="1:272">
      <c r="A58" s="5" t="s">
        <v>443</v>
      </c>
      <c r="B58" s="6" t="s">
        <v>948</v>
      </c>
      <c r="C58" s="6" t="s">
        <v>949</v>
      </c>
      <c r="D58" s="6" t="s">
        <v>950</v>
      </c>
      <c r="F58" s="6" t="s">
        <v>952</v>
      </c>
      <c r="G58" s="6" t="s">
        <v>953</v>
      </c>
      <c r="H58" s="6" t="s">
        <v>25</v>
      </c>
      <c r="I58" s="6" t="s">
        <v>1265</v>
      </c>
      <c r="J58" s="6" t="s">
        <v>1305</v>
      </c>
      <c r="K58" s="6" t="s">
        <v>1309</v>
      </c>
      <c r="M58" s="6" t="s">
        <v>969</v>
      </c>
      <c r="N58" s="6" t="s">
        <v>952</v>
      </c>
      <c r="O58" s="6" t="s">
        <v>967</v>
      </c>
      <c r="P58" s="6" t="s">
        <v>1310</v>
      </c>
      <c r="X58" s="6" t="s">
        <v>969</v>
      </c>
      <c r="Y58" s="6" t="s">
        <v>970</v>
      </c>
      <c r="Z58" s="6" t="s">
        <v>1311</v>
      </c>
      <c r="AA58" s="6" t="s">
        <v>1288</v>
      </c>
      <c r="AB58" s="6" t="s">
        <v>28</v>
      </c>
      <c r="AD58" s="6" t="s">
        <v>1307</v>
      </c>
      <c r="AL58" s="6" t="s">
        <v>1312</v>
      </c>
      <c r="BZ58" s="6" t="s">
        <v>1313</v>
      </c>
      <c r="EX58" s="6" t="s">
        <v>1309</v>
      </c>
      <c r="HL58" s="6" t="s">
        <v>1314</v>
      </c>
    </row>
    <row r="59" spans="1:272">
      <c r="A59" s="9" t="s">
        <v>449</v>
      </c>
      <c r="B59" s="10" t="s">
        <v>948</v>
      </c>
      <c r="C59" s="10" t="s">
        <v>949</v>
      </c>
      <c r="D59" s="10" t="s">
        <v>950</v>
      </c>
      <c r="F59" s="10" t="s">
        <v>952</v>
      </c>
      <c r="G59" s="10" t="s">
        <v>953</v>
      </c>
      <c r="I59" s="10" t="s">
        <v>1265</v>
      </c>
      <c r="J59" s="10" t="s">
        <v>1305</v>
      </c>
      <c r="K59" s="10" t="s">
        <v>1285</v>
      </c>
      <c r="M59" s="10" t="s">
        <v>969</v>
      </c>
      <c r="N59" s="10" t="s">
        <v>952</v>
      </c>
      <c r="P59" s="10" t="s">
        <v>1286</v>
      </c>
      <c r="Z59" s="10" t="s">
        <v>1315</v>
      </c>
      <c r="AA59" s="10" t="s">
        <v>1288</v>
      </c>
      <c r="AB59" s="10" t="s">
        <v>28</v>
      </c>
      <c r="AD59" s="10" t="s">
        <v>1307</v>
      </c>
      <c r="EX59" s="10" t="s">
        <v>1285</v>
      </c>
    </row>
    <row r="60" spans="1:272">
      <c r="A60" s="5" t="s">
        <v>456</v>
      </c>
      <c r="B60" s="6" t="s">
        <v>948</v>
      </c>
      <c r="C60" s="6" t="s">
        <v>949</v>
      </c>
      <c r="E60" s="6" t="s">
        <v>1039</v>
      </c>
      <c r="F60" s="6" t="s">
        <v>1316</v>
      </c>
      <c r="K60" s="6" t="s">
        <v>1317</v>
      </c>
      <c r="AK60" s="6" t="s">
        <v>1318</v>
      </c>
      <c r="AN60" s="6" t="s">
        <v>1171</v>
      </c>
      <c r="DA60" s="6" t="s">
        <v>1319</v>
      </c>
      <c r="DN60" s="6" t="s">
        <v>1320</v>
      </c>
      <c r="DW60" s="6" t="s">
        <v>1171</v>
      </c>
      <c r="EX60" s="6" t="s">
        <v>1317</v>
      </c>
      <c r="FY60" s="6" t="s">
        <v>1321</v>
      </c>
      <c r="GB60" s="6" t="s">
        <v>1152</v>
      </c>
    </row>
    <row r="61" spans="1:272">
      <c r="A61" s="9" t="s">
        <v>465</v>
      </c>
      <c r="B61" s="10" t="s">
        <v>948</v>
      </c>
      <c r="C61" s="10" t="s">
        <v>949</v>
      </c>
      <c r="D61" s="10" t="s">
        <v>950</v>
      </c>
      <c r="H61" s="10" t="s">
        <v>965</v>
      </c>
      <c r="K61" s="10" t="s">
        <v>1213</v>
      </c>
      <c r="O61" s="10" t="s">
        <v>967</v>
      </c>
      <c r="X61" s="10" t="s">
        <v>969</v>
      </c>
      <c r="Z61" s="10" t="s">
        <v>1322</v>
      </c>
      <c r="AL61" s="10" t="s">
        <v>1279</v>
      </c>
      <c r="EX61" s="10" t="s">
        <v>1213</v>
      </c>
      <c r="FF61" s="10" t="s">
        <v>1265</v>
      </c>
      <c r="FP61" s="10" t="s">
        <v>1265</v>
      </c>
      <c r="FQ61" s="10" t="s">
        <v>952</v>
      </c>
      <c r="FR61" s="10" t="s">
        <v>1323</v>
      </c>
      <c r="FS61" s="10" t="s">
        <v>1324</v>
      </c>
      <c r="FT61" s="10" t="s">
        <v>952</v>
      </c>
      <c r="FU61" s="10" t="s">
        <v>1325</v>
      </c>
      <c r="HR61" s="10" t="s">
        <v>952</v>
      </c>
      <c r="HZ61" s="10" t="s">
        <v>1324</v>
      </c>
      <c r="IW61" s="10" t="s">
        <v>1326</v>
      </c>
      <c r="JF61" s="10" t="s">
        <v>1327</v>
      </c>
      <c r="JL61" s="10" t="s">
        <v>1328</v>
      </c>
    </row>
    <row r="62" spans="1:272">
      <c r="A62" s="5" t="s">
        <v>473</v>
      </c>
      <c r="B62" s="6" t="s">
        <v>948</v>
      </c>
      <c r="C62" s="6" t="s">
        <v>1329</v>
      </c>
      <c r="E62" s="6" t="s">
        <v>1039</v>
      </c>
      <c r="CA62" s="6" t="s">
        <v>1330</v>
      </c>
      <c r="CJ62" s="6" t="s">
        <v>1331</v>
      </c>
      <c r="CR62" s="6" t="s">
        <v>1332</v>
      </c>
      <c r="DA62" s="6" t="s">
        <v>1333</v>
      </c>
      <c r="DN62" s="6" t="s">
        <v>1334</v>
      </c>
      <c r="FV62" s="6" t="s">
        <v>1066</v>
      </c>
      <c r="GQ62" s="6" t="s">
        <v>1066</v>
      </c>
      <c r="GU62" s="6" t="s">
        <v>1335</v>
      </c>
      <c r="IQ62" s="6" t="s">
        <v>952</v>
      </c>
      <c r="JC62" s="6" t="s">
        <v>1336</v>
      </c>
      <c r="JI62" s="6" t="s">
        <v>952</v>
      </c>
    </row>
    <row r="63" spans="1:272">
      <c r="A63" s="9" t="s">
        <v>482</v>
      </c>
      <c r="B63" s="10" t="s">
        <v>948</v>
      </c>
      <c r="C63" s="10" t="s">
        <v>1329</v>
      </c>
      <c r="D63" s="10" t="s">
        <v>1337</v>
      </c>
      <c r="E63" s="10" t="s">
        <v>1039</v>
      </c>
      <c r="K63" s="10" t="s">
        <v>1338</v>
      </c>
      <c r="M63" s="10" t="s">
        <v>1339</v>
      </c>
      <c r="BW63" s="10" t="s">
        <v>1340</v>
      </c>
      <c r="CA63" s="10" t="s">
        <v>1330</v>
      </c>
      <c r="CR63" s="10" t="s">
        <v>952</v>
      </c>
      <c r="DA63" s="10" t="s">
        <v>1333</v>
      </c>
      <c r="DN63" s="10" t="s">
        <v>1341</v>
      </c>
      <c r="EX63" s="10" t="s">
        <v>1338</v>
      </c>
      <c r="FF63" s="10" t="s">
        <v>952</v>
      </c>
      <c r="GX63" s="10" t="s">
        <v>1342</v>
      </c>
      <c r="HS63" s="10" t="s">
        <v>952</v>
      </c>
      <c r="HT63" s="10" t="s">
        <v>952</v>
      </c>
      <c r="IS63" s="10" t="s">
        <v>1343</v>
      </c>
      <c r="IT63" s="10" t="s">
        <v>952</v>
      </c>
      <c r="JH63" s="10" t="s">
        <v>1344</v>
      </c>
    </row>
    <row r="64" spans="1:272">
      <c r="A64" s="5" t="s">
        <v>489</v>
      </c>
      <c r="B64" s="6" t="s">
        <v>948</v>
      </c>
      <c r="C64" s="6" t="s">
        <v>949</v>
      </c>
      <c r="D64" s="6" t="s">
        <v>1345</v>
      </c>
      <c r="E64" s="6" t="s">
        <v>1039</v>
      </c>
      <c r="H64" s="6" t="s">
        <v>1346</v>
      </c>
      <c r="K64" s="6" t="s">
        <v>1347</v>
      </c>
      <c r="M64" s="6" t="s">
        <v>1348</v>
      </c>
      <c r="O64" s="6" t="s">
        <v>967</v>
      </c>
      <c r="AH64" s="6" t="s">
        <v>1349</v>
      </c>
      <c r="AJ64" s="6" t="s">
        <v>1042</v>
      </c>
      <c r="AO64" s="6" t="s">
        <v>1350</v>
      </c>
      <c r="BM64" s="6" t="s">
        <v>14</v>
      </c>
      <c r="CA64" s="6" t="s">
        <v>1351</v>
      </c>
      <c r="CG64" s="6" t="s">
        <v>1352</v>
      </c>
      <c r="CK64" s="6" t="s">
        <v>1353</v>
      </c>
      <c r="CR64" s="6" t="s">
        <v>1332</v>
      </c>
      <c r="DL64" s="6" t="s">
        <v>1354</v>
      </c>
      <c r="EX64" s="6" t="s">
        <v>1347</v>
      </c>
      <c r="FX64" s="6" t="s">
        <v>1355</v>
      </c>
      <c r="GG64" s="6" t="s">
        <v>1356</v>
      </c>
      <c r="GS64" s="6" t="s">
        <v>1357</v>
      </c>
      <c r="HB64" s="6" t="s">
        <v>1358</v>
      </c>
      <c r="HF64" s="6" t="s">
        <v>1359</v>
      </c>
      <c r="HI64" s="6" t="s">
        <v>1360</v>
      </c>
      <c r="HK64" s="6" t="s">
        <v>1361</v>
      </c>
      <c r="HV64" s="6" t="s">
        <v>1362</v>
      </c>
      <c r="II64" s="6" t="s">
        <v>14</v>
      </c>
      <c r="JB64" s="6" t="s">
        <v>1359</v>
      </c>
      <c r="JG64" s="6" t="s">
        <v>1363</v>
      </c>
    </row>
    <row r="65" spans="1:280">
      <c r="A65" s="9" t="s">
        <v>497</v>
      </c>
      <c r="B65" s="10" t="s">
        <v>948</v>
      </c>
      <c r="C65" s="10" t="s">
        <v>949</v>
      </c>
      <c r="D65" s="10" t="s">
        <v>1364</v>
      </c>
      <c r="E65" s="10" t="s">
        <v>1039</v>
      </c>
      <c r="K65" s="10" t="s">
        <v>1365</v>
      </c>
      <c r="M65" s="10" t="s">
        <v>1366</v>
      </c>
      <c r="Q65" s="10" t="s">
        <v>1367</v>
      </c>
      <c r="BW65" s="10" t="s">
        <v>1368</v>
      </c>
      <c r="CA65" s="10" t="s">
        <v>1369</v>
      </c>
      <c r="CE65" s="10" t="s">
        <v>1370</v>
      </c>
      <c r="CI65" s="10" t="s">
        <v>1371</v>
      </c>
      <c r="CS65" s="10" t="s">
        <v>1372</v>
      </c>
      <c r="DF65" s="10" t="s">
        <v>1373</v>
      </c>
      <c r="EX65" s="10" t="s">
        <v>1365</v>
      </c>
      <c r="IC65" s="10" t="s">
        <v>1367</v>
      </c>
      <c r="ID65" s="10" t="s">
        <v>1374</v>
      </c>
      <c r="JK65" s="10" t="s">
        <v>952</v>
      </c>
      <c r="JQ65" s="10" t="s">
        <v>1375</v>
      </c>
    </row>
    <row r="66" spans="1:280">
      <c r="A66" s="5" t="s">
        <v>506</v>
      </c>
      <c r="B66" s="6" t="s">
        <v>948</v>
      </c>
      <c r="C66" s="6" t="s">
        <v>949</v>
      </c>
      <c r="D66" s="6" t="s">
        <v>1376</v>
      </c>
      <c r="E66" s="6" t="s">
        <v>1102</v>
      </c>
      <c r="H66" s="6" t="s">
        <v>1377</v>
      </c>
      <c r="K66" s="6" t="s">
        <v>1378</v>
      </c>
      <c r="M66" s="6" t="s">
        <v>1379</v>
      </c>
      <c r="O66" s="6" t="s">
        <v>967</v>
      </c>
      <c r="AH66" s="6" t="s">
        <v>1380</v>
      </c>
      <c r="AJ66" s="6" t="s">
        <v>1042</v>
      </c>
      <c r="AO66" s="6" t="s">
        <v>1381</v>
      </c>
      <c r="BC66" s="6" t="s">
        <v>958</v>
      </c>
      <c r="BM66" s="6" t="s">
        <v>14</v>
      </c>
      <c r="BQ66" s="6" t="s">
        <v>1382</v>
      </c>
      <c r="CE66" s="6" t="s">
        <v>1383</v>
      </c>
      <c r="CG66" s="6" t="s">
        <v>1384</v>
      </c>
      <c r="CI66" s="6" t="s">
        <v>1385</v>
      </c>
      <c r="CJ66" s="6" t="s">
        <v>1386</v>
      </c>
      <c r="CK66" s="6" t="s">
        <v>1387</v>
      </c>
      <c r="CS66" s="6" t="s">
        <v>1388</v>
      </c>
      <c r="CT66" s="6" t="s">
        <v>1389</v>
      </c>
      <c r="CU66" s="6" t="s">
        <v>1390</v>
      </c>
      <c r="CX66" s="6" t="s">
        <v>1254</v>
      </c>
      <c r="CY66" s="6" t="s">
        <v>1254</v>
      </c>
      <c r="CZ66" s="6" t="s">
        <v>1052</v>
      </c>
      <c r="DD66" s="6" t="s">
        <v>1391</v>
      </c>
      <c r="DJ66" s="6" t="s">
        <v>14</v>
      </c>
      <c r="DM66" s="6" t="s">
        <v>1392</v>
      </c>
      <c r="DO66" s="6" t="s">
        <v>1393</v>
      </c>
      <c r="DP66" s="6" t="s">
        <v>1394</v>
      </c>
      <c r="DQ66" s="6" t="s">
        <v>1395</v>
      </c>
      <c r="EX66" s="6" t="s">
        <v>1378</v>
      </c>
    </row>
    <row r="67" spans="1:280">
      <c r="A67" s="9" t="s">
        <v>514</v>
      </c>
      <c r="B67" s="10" t="s">
        <v>948</v>
      </c>
      <c r="C67" s="10" t="s">
        <v>949</v>
      </c>
      <c r="D67" s="10" t="s">
        <v>1396</v>
      </c>
      <c r="E67" s="10" t="s">
        <v>1102</v>
      </c>
      <c r="H67" s="10" t="s">
        <v>1377</v>
      </c>
      <c r="K67" s="10" t="s">
        <v>1397</v>
      </c>
      <c r="M67" s="10" t="s">
        <v>1398</v>
      </c>
      <c r="O67" s="10" t="s">
        <v>967</v>
      </c>
      <c r="AH67" s="10" t="s">
        <v>1399</v>
      </c>
      <c r="AJ67" s="10" t="s">
        <v>1042</v>
      </c>
      <c r="AO67" s="10" t="s">
        <v>1381</v>
      </c>
      <c r="BC67" s="10" t="s">
        <v>958</v>
      </c>
      <c r="BM67" s="10" t="s">
        <v>14</v>
      </c>
      <c r="BQ67" s="10" t="s">
        <v>1382</v>
      </c>
      <c r="CE67" s="10" t="s">
        <v>1400</v>
      </c>
      <c r="CG67" s="10" t="s">
        <v>1384</v>
      </c>
      <c r="CI67" s="10" t="s">
        <v>1385</v>
      </c>
      <c r="CJ67" s="10" t="s">
        <v>1401</v>
      </c>
      <c r="CK67" s="10" t="s">
        <v>1402</v>
      </c>
      <c r="CS67" s="10" t="s">
        <v>1388</v>
      </c>
      <c r="CT67" s="10" t="s">
        <v>1403</v>
      </c>
      <c r="CU67" s="10" t="s">
        <v>1404</v>
      </c>
      <c r="CX67" s="10" t="s">
        <v>1405</v>
      </c>
      <c r="CY67" s="10" t="s">
        <v>952</v>
      </c>
      <c r="CZ67" s="10" t="s">
        <v>1406</v>
      </c>
      <c r="DD67" s="10" t="s">
        <v>1407</v>
      </c>
      <c r="DJ67" s="10" t="s">
        <v>14</v>
      </c>
      <c r="DM67" s="10" t="s">
        <v>1392</v>
      </c>
      <c r="DO67" s="10" t="s">
        <v>1393</v>
      </c>
      <c r="DP67" s="10" t="s">
        <v>1087</v>
      </c>
      <c r="DQ67" s="10" t="s">
        <v>1395</v>
      </c>
      <c r="EX67" s="10" t="s">
        <v>1397</v>
      </c>
    </row>
    <row r="68" spans="1:280">
      <c r="A68" s="5" t="s">
        <v>522</v>
      </c>
      <c r="B68" s="6" t="s">
        <v>948</v>
      </c>
      <c r="C68" s="6" t="s">
        <v>949</v>
      </c>
      <c r="D68" s="6" t="s">
        <v>1408</v>
      </c>
      <c r="E68" s="6" t="s">
        <v>1039</v>
      </c>
      <c r="H68" s="6" t="s">
        <v>1377</v>
      </c>
      <c r="I68" s="6" t="s">
        <v>1409</v>
      </c>
      <c r="K68" s="6" t="s">
        <v>1410</v>
      </c>
      <c r="M68" s="6" t="s">
        <v>490</v>
      </c>
      <c r="O68" s="6" t="s">
        <v>967</v>
      </c>
      <c r="AH68" s="6" t="s">
        <v>1411</v>
      </c>
      <c r="AJ68" s="6" t="s">
        <v>1042</v>
      </c>
      <c r="AO68" s="6" t="s">
        <v>1412</v>
      </c>
      <c r="BM68" s="6" t="s">
        <v>14</v>
      </c>
      <c r="CE68" s="6" t="s">
        <v>1413</v>
      </c>
      <c r="CI68" s="6" t="s">
        <v>1385</v>
      </c>
      <c r="CJ68" s="6" t="s">
        <v>1401</v>
      </c>
      <c r="CK68" s="6" t="s">
        <v>1414</v>
      </c>
      <c r="CT68" s="6" t="s">
        <v>1415</v>
      </c>
      <c r="CU68" s="6" t="s">
        <v>1416</v>
      </c>
      <c r="CX68" s="6" t="s">
        <v>989</v>
      </c>
      <c r="CY68" s="6" t="s">
        <v>952</v>
      </c>
      <c r="CZ68" s="6" t="s">
        <v>1416</v>
      </c>
      <c r="EX68" s="6" t="s">
        <v>1410</v>
      </c>
      <c r="GC68" s="6" t="s">
        <v>1417</v>
      </c>
      <c r="GH68" s="6" t="s">
        <v>1418</v>
      </c>
      <c r="GK68" s="6" t="s">
        <v>1419</v>
      </c>
      <c r="HM68" s="6" t="s">
        <v>1420</v>
      </c>
      <c r="IL68" s="6" t="s">
        <v>14</v>
      </c>
      <c r="IU68" s="6" t="s">
        <v>1421</v>
      </c>
      <c r="JA68" s="6" t="s">
        <v>1422</v>
      </c>
      <c r="JS68" s="6" t="s">
        <v>1423</v>
      </c>
      <c r="JT68" s="6" t="s">
        <v>1424</v>
      </c>
    </row>
    <row r="69" spans="1:280">
      <c r="A69" s="9" t="s">
        <v>529</v>
      </c>
      <c r="B69" s="10" t="s">
        <v>948</v>
      </c>
      <c r="C69" s="10" t="s">
        <v>949</v>
      </c>
      <c r="D69" s="10" t="s">
        <v>1425</v>
      </c>
      <c r="E69" s="10" t="s">
        <v>1039</v>
      </c>
      <c r="H69" s="10" t="s">
        <v>1377</v>
      </c>
      <c r="K69" s="10" t="s">
        <v>1426</v>
      </c>
      <c r="M69" s="10" t="s">
        <v>1427</v>
      </c>
      <c r="O69" s="10" t="s">
        <v>967</v>
      </c>
      <c r="AH69" s="10" t="s">
        <v>1428</v>
      </c>
      <c r="AM69" s="10" t="s">
        <v>1429</v>
      </c>
      <c r="AO69" s="10" t="s">
        <v>1430</v>
      </c>
      <c r="CA69" s="10" t="s">
        <v>1431</v>
      </c>
      <c r="CG69" s="10" t="s">
        <v>1432</v>
      </c>
      <c r="DF69" s="10" t="s">
        <v>1433</v>
      </c>
      <c r="DL69" s="10" t="s">
        <v>1434</v>
      </c>
      <c r="EA69" s="10" t="s">
        <v>1435</v>
      </c>
      <c r="EF69" s="10" t="s">
        <v>1436</v>
      </c>
      <c r="EM69" s="10" t="s">
        <v>1437</v>
      </c>
      <c r="EV69" s="10" t="s">
        <v>1438</v>
      </c>
      <c r="EX69" s="10" t="s">
        <v>1426</v>
      </c>
      <c r="FB69" s="10" t="s">
        <v>1439</v>
      </c>
      <c r="FE69" s="10" t="s">
        <v>1440</v>
      </c>
      <c r="GP69" s="10" t="s">
        <v>1435</v>
      </c>
      <c r="IN69" s="10" t="s">
        <v>14</v>
      </c>
      <c r="IO69" s="10" t="s">
        <v>14</v>
      </c>
    </row>
    <row r="70" spans="1:280">
      <c r="A70" s="5" t="s">
        <v>536</v>
      </c>
      <c r="B70" s="6" t="s">
        <v>1441</v>
      </c>
      <c r="C70" s="6" t="s">
        <v>949</v>
      </c>
      <c r="D70" s="6" t="s">
        <v>1442</v>
      </c>
      <c r="E70" s="6" t="s">
        <v>1039</v>
      </c>
      <c r="H70" s="6" t="s">
        <v>191</v>
      </c>
      <c r="K70" s="6" t="s">
        <v>1347</v>
      </c>
      <c r="M70" s="6" t="s">
        <v>1443</v>
      </c>
      <c r="O70" s="6" t="s">
        <v>967</v>
      </c>
      <c r="AH70" s="6" t="s">
        <v>1444</v>
      </c>
      <c r="AJ70" s="6" t="s">
        <v>1445</v>
      </c>
      <c r="AO70" s="6" t="s">
        <v>1446</v>
      </c>
      <c r="CR70" s="6" t="s">
        <v>1332</v>
      </c>
      <c r="DF70" s="6" t="s">
        <v>1447</v>
      </c>
      <c r="DL70" s="6" t="s">
        <v>1448</v>
      </c>
      <c r="EM70" s="6" t="s">
        <v>1449</v>
      </c>
      <c r="EX70" s="6" t="s">
        <v>1347</v>
      </c>
      <c r="FG70" s="6" t="s">
        <v>1450</v>
      </c>
      <c r="FZ70" s="6" t="s">
        <v>1450</v>
      </c>
      <c r="GA70" s="6" t="s">
        <v>1451</v>
      </c>
      <c r="GD70" s="6" t="s">
        <v>1452</v>
      </c>
      <c r="GE70" s="6" t="s">
        <v>1453</v>
      </c>
      <c r="GO70" s="6" t="s">
        <v>1454</v>
      </c>
      <c r="GT70" s="6" t="s">
        <v>952</v>
      </c>
      <c r="GV70" s="6" t="s">
        <v>1455</v>
      </c>
      <c r="HJ70" s="6" t="s">
        <v>1456</v>
      </c>
      <c r="IB70" s="6" t="s">
        <v>1457</v>
      </c>
      <c r="IE70" s="6" t="s">
        <v>64</v>
      </c>
      <c r="IF70" s="6" t="s">
        <v>68</v>
      </c>
      <c r="IG70" s="6" t="s">
        <v>97</v>
      </c>
      <c r="IH70" s="6" t="s">
        <v>28</v>
      </c>
      <c r="IJ70" s="6" t="s">
        <v>409</v>
      </c>
      <c r="IM70" s="6" t="s">
        <v>409</v>
      </c>
      <c r="IR70" s="6" t="s">
        <v>1458</v>
      </c>
      <c r="IV70" s="6" t="s">
        <v>1459</v>
      </c>
      <c r="IY70" s="6" t="s">
        <v>1460</v>
      </c>
      <c r="IZ70" s="6" t="s">
        <v>1461</v>
      </c>
      <c r="JE70" s="6" t="s">
        <v>1462</v>
      </c>
      <c r="JR70" s="6" t="s">
        <v>1463</v>
      </c>
    </row>
    <row r="71" spans="1:280">
      <c r="A71" s="9" t="s">
        <v>544</v>
      </c>
      <c r="B71" s="10" t="s">
        <v>948</v>
      </c>
      <c r="C71" s="10" t="s">
        <v>949</v>
      </c>
      <c r="D71" s="10" t="s">
        <v>1464</v>
      </c>
      <c r="E71" s="10" t="s">
        <v>1102</v>
      </c>
      <c r="K71" s="10" t="s">
        <v>955</v>
      </c>
      <c r="M71" s="10" t="s">
        <v>1465</v>
      </c>
      <c r="AM71" s="10" t="s">
        <v>1429</v>
      </c>
      <c r="BC71" s="10" t="s">
        <v>958</v>
      </c>
      <c r="BQ71" s="10" t="s">
        <v>1382</v>
      </c>
      <c r="CA71" s="10" t="s">
        <v>1466</v>
      </c>
      <c r="EA71" s="10" t="s">
        <v>1467</v>
      </c>
      <c r="EF71" s="10" t="s">
        <v>1468</v>
      </c>
      <c r="EV71" s="10" t="s">
        <v>1438</v>
      </c>
      <c r="EX71" s="10" t="s">
        <v>955</v>
      </c>
      <c r="FB71" s="10" t="s">
        <v>1469</v>
      </c>
      <c r="FE71" s="10" t="s">
        <v>1470</v>
      </c>
    </row>
    <row r="72" spans="1:280">
      <c r="A72" s="5" t="s">
        <v>551</v>
      </c>
      <c r="B72" s="6" t="s">
        <v>948</v>
      </c>
      <c r="C72" s="6" t="s">
        <v>949</v>
      </c>
      <c r="D72" s="6" t="s">
        <v>1471</v>
      </c>
      <c r="E72" s="6" t="s">
        <v>1039</v>
      </c>
      <c r="H72" s="6" t="s">
        <v>1377</v>
      </c>
      <c r="K72" s="6" t="s">
        <v>1472</v>
      </c>
      <c r="M72" s="6" t="s">
        <v>1473</v>
      </c>
      <c r="O72" s="6" t="s">
        <v>967</v>
      </c>
      <c r="AH72" s="6" t="s">
        <v>1474</v>
      </c>
      <c r="AJ72" s="6" t="s">
        <v>1042</v>
      </c>
      <c r="AO72" s="6" t="s">
        <v>1381</v>
      </c>
      <c r="BM72" s="6" t="s">
        <v>14</v>
      </c>
      <c r="CE72" s="6" t="s">
        <v>1475</v>
      </c>
      <c r="CG72" s="6" t="s">
        <v>1476</v>
      </c>
      <c r="CI72" s="6" t="s">
        <v>1385</v>
      </c>
      <c r="CJ72" s="6" t="s">
        <v>1401</v>
      </c>
      <c r="CK72" s="6" t="s">
        <v>1477</v>
      </c>
      <c r="CS72" s="6" t="s">
        <v>1388</v>
      </c>
      <c r="CT72" s="6" t="s">
        <v>1478</v>
      </c>
      <c r="CU72" s="6" t="s">
        <v>1390</v>
      </c>
      <c r="CX72" s="6" t="s">
        <v>1479</v>
      </c>
      <c r="CY72" s="6" t="s">
        <v>952</v>
      </c>
      <c r="CZ72" s="6" t="s">
        <v>1416</v>
      </c>
      <c r="DD72" s="6" t="s">
        <v>1480</v>
      </c>
      <c r="DJ72" s="6" t="s">
        <v>14</v>
      </c>
      <c r="DM72" s="6" t="s">
        <v>1392</v>
      </c>
      <c r="DO72" s="6" t="s">
        <v>1393</v>
      </c>
      <c r="DP72" s="6" t="s">
        <v>1087</v>
      </c>
      <c r="EX72" s="6" t="s">
        <v>1472</v>
      </c>
      <c r="GY72" s="6" t="s">
        <v>1480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16"/>
  <sheetViews>
    <sheetView workbookViewId="0"/>
  </sheetViews>
  <sheetFormatPr defaultRowHeight="15"/>
  <cols>
    <col min="1" max="1" width="49.7109375" customWidth="1"/>
  </cols>
  <sheetData>
    <row r="1" spans="1:1">
      <c r="A1" t="s">
        <v>1481</v>
      </c>
    </row>
    <row r="2" spans="1:1">
      <c r="A2" s="7" t="s">
        <v>1482</v>
      </c>
    </row>
    <row r="3" spans="1:1">
      <c r="A3" s="5" t="s">
        <v>1483</v>
      </c>
    </row>
    <row r="4" spans="1:1">
      <c r="A4" s="6" t="s">
        <v>1484</v>
      </c>
    </row>
    <row r="5" spans="1:1">
      <c r="A5" s="8" t="s">
        <v>1485</v>
      </c>
    </row>
    <row r="7" spans="1:1">
      <c r="A7" t="s">
        <v>1486</v>
      </c>
    </row>
    <row r="8" spans="1:1">
      <c r="A8" s="33" t="s">
        <v>1487</v>
      </c>
    </row>
    <row r="9" spans="1:1">
      <c r="A9" s="34" t="s">
        <v>1488</v>
      </c>
    </row>
    <row r="10" spans="1:1">
      <c r="A10" s="35" t="s">
        <v>1489</v>
      </c>
    </row>
    <row r="11" spans="1:1">
      <c r="A11" s="36" t="s">
        <v>1490</v>
      </c>
    </row>
    <row r="12" spans="1:1">
      <c r="A12" s="37" t="s">
        <v>1491</v>
      </c>
    </row>
    <row r="13" spans="1:1">
      <c r="A13" s="38" t="s">
        <v>1492</v>
      </c>
    </row>
    <row r="14" spans="1:1">
      <c r="A14" s="39" t="s">
        <v>1493</v>
      </c>
    </row>
    <row r="15" spans="1:1">
      <c r="A15" s="40" t="s">
        <v>1494</v>
      </c>
    </row>
    <row r="16" spans="1:1">
      <c r="A16" s="26" t="s">
        <v>1495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BoM</vt:lpstr>
      <vt:lpstr>Costs</vt:lpstr>
      <vt:lpstr>Specs</vt:lpstr>
      <vt:lpstr>Colors</vt:lpstr>
      <vt:lpstr>'Costs'!BoardQty</vt:lpstr>
      <vt:lpstr>BoM!Print_Titles</vt:lpstr>
      <vt:lpstr>'Costs'!PURCHASE_DESCRIPTION</vt:lpstr>
      <vt:lpstr>'Costs'!TotalCost</vt:lpstr>
      <vt:lpstr>'Costs'!USD_CHF</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2024-11-22T10:30:34Z</dcterms:created>
  <dcterms:modified xsi:type="dcterms:W3CDTF">2024-11-22T10:30:34Z</dcterms:modified>
</cp:coreProperties>
</file>