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60" windowWidth="20115" windowHeight="8010" activeTab="13"/>
  </bookViews>
  <sheets>
    <sheet name="6373" sheetId="1" r:id="rId1"/>
    <sheet name="68553." sheetId="2" r:id="rId2"/>
    <sheet name="7477" sheetId="3" r:id="rId3"/>
    <sheet name="2229" sheetId="4" r:id="rId4"/>
    <sheet name="8339" sheetId="5" r:id="rId5"/>
    <sheet name="3099" sheetId="6" r:id="rId6"/>
    <sheet name="3795" sheetId="7" r:id="rId7"/>
    <sheet name="5136" sheetId="8" r:id="rId8"/>
    <sheet name="1171." sheetId="9" r:id="rId9"/>
    <sheet name="9918" sheetId="10" r:id="rId10"/>
    <sheet name="10096" sheetId="11" r:id="rId11"/>
    <sheet name="25907" sheetId="12" r:id="rId12"/>
    <sheet name="2890" sheetId="16" r:id="rId13"/>
    <sheet name="16586" sheetId="17" r:id="rId14"/>
    <sheet name="70297" sheetId="18" r:id="rId15"/>
    <sheet name="30868" sheetId="13" r:id="rId16"/>
    <sheet name="93025" sheetId="19" r:id="rId17"/>
    <sheet name="SỮA CHỮA" sheetId="15" r:id="rId18"/>
    <sheet name="DOANH THU T3 (2)" sheetId="21" r:id="rId19"/>
    <sheet name="Sheet1" sheetId="20" r:id="rId20"/>
  </sheets>
  <calcPr calcId="124519"/>
</workbook>
</file>

<file path=xl/calcChain.xml><?xml version="1.0" encoding="utf-8"?>
<calcChain xmlns="http://schemas.openxmlformats.org/spreadsheetml/2006/main">
  <c r="K54" i="7"/>
  <c r="I55"/>
  <c r="C24" i="21" l="1"/>
  <c r="C23"/>
  <c r="C22"/>
  <c r="C20"/>
  <c r="I81" i="12"/>
  <c r="C19" i="21" s="1"/>
  <c r="C18"/>
  <c r="C17"/>
  <c r="C16"/>
  <c r="C15"/>
  <c r="C13"/>
  <c r="C12"/>
  <c r="C11"/>
  <c r="C10"/>
  <c r="C9"/>
  <c r="C8"/>
  <c r="I63" i="9" l="1"/>
  <c r="G21" i="19" l="1"/>
  <c r="I78" i="4"/>
  <c r="K10" i="5"/>
  <c r="L10" s="1"/>
  <c r="K11"/>
  <c r="L11" s="1"/>
  <c r="K12"/>
  <c r="L12" s="1"/>
  <c r="K13"/>
  <c r="L13" s="1"/>
  <c r="K14"/>
  <c r="L14" s="1"/>
  <c r="K15"/>
  <c r="L15" s="1"/>
  <c r="K16"/>
  <c r="L16" s="1"/>
  <c r="K17"/>
  <c r="L17" s="1"/>
  <c r="K18"/>
  <c r="L18" s="1"/>
  <c r="K19"/>
  <c r="L19" s="1"/>
  <c r="K20"/>
  <c r="L20" s="1"/>
  <c r="K21"/>
  <c r="L21" s="1"/>
  <c r="K22"/>
  <c r="L22" s="1"/>
  <c r="K23"/>
  <c r="L23" s="1"/>
  <c r="K24"/>
  <c r="L24" s="1"/>
  <c r="K25"/>
  <c r="L25" s="1"/>
  <c r="K26"/>
  <c r="L26" s="1"/>
  <c r="K27"/>
  <c r="L27" s="1"/>
  <c r="K28"/>
  <c r="L28" s="1"/>
  <c r="K29"/>
  <c r="L29" s="1"/>
  <c r="K30"/>
  <c r="L30" s="1"/>
  <c r="K31"/>
  <c r="L31" s="1"/>
  <c r="K32"/>
  <c r="L32" s="1"/>
  <c r="K33"/>
  <c r="L33" s="1"/>
  <c r="K34"/>
  <c r="L34" s="1"/>
  <c r="K35"/>
  <c r="L35" s="1"/>
  <c r="K36"/>
  <c r="L36" s="1"/>
  <c r="K37"/>
  <c r="L37" s="1"/>
  <c r="K38"/>
  <c r="L38" s="1"/>
  <c r="K39"/>
  <c r="L39" s="1"/>
  <c r="K40"/>
  <c r="L40" s="1"/>
  <c r="K41"/>
  <c r="L41" s="1"/>
  <c r="K42"/>
  <c r="L42" s="1"/>
  <c r="K43"/>
  <c r="L43" s="1"/>
  <c r="K44"/>
  <c r="L44" s="1"/>
  <c r="K45"/>
  <c r="L45" s="1"/>
  <c r="K46"/>
  <c r="L46" s="1"/>
  <c r="K47"/>
  <c r="L47" s="1"/>
  <c r="K48"/>
  <c r="L48" s="1"/>
  <c r="K49"/>
  <c r="L49" s="1"/>
  <c r="K50"/>
  <c r="L50" s="1"/>
  <c r="K51"/>
  <c r="L51" s="1"/>
  <c r="K52"/>
  <c r="L52" s="1"/>
  <c r="K53"/>
  <c r="L53" s="1"/>
  <c r="K54"/>
  <c r="L54" s="1"/>
  <c r="K55"/>
  <c r="L55" s="1"/>
  <c r="K56"/>
  <c r="L56" s="1"/>
  <c r="K57"/>
  <c r="L57" s="1"/>
  <c r="K58"/>
  <c r="L58" s="1"/>
  <c r="K59"/>
  <c r="L59" s="1"/>
  <c r="K60"/>
  <c r="L60" s="1"/>
  <c r="K61"/>
  <c r="L61" s="1"/>
  <c r="K62"/>
  <c r="L62" s="1"/>
  <c r="K63"/>
  <c r="L63" s="1"/>
  <c r="K64"/>
  <c r="L64" s="1"/>
  <c r="K65"/>
  <c r="L65" s="1"/>
  <c r="K66"/>
  <c r="L66" s="1"/>
  <c r="K67"/>
  <c r="L67" s="1"/>
  <c r="K11" i="2"/>
  <c r="L11" s="1"/>
  <c r="K12"/>
  <c r="L12" s="1"/>
  <c r="K13"/>
  <c r="L13" s="1"/>
  <c r="K14"/>
  <c r="L14" s="1"/>
  <c r="K15"/>
  <c r="L15" s="1"/>
  <c r="K16"/>
  <c r="L16" s="1"/>
  <c r="K17"/>
  <c r="L17" s="1"/>
  <c r="K18"/>
  <c r="L18" s="1"/>
  <c r="K19"/>
  <c r="L19" s="1"/>
  <c r="K20"/>
  <c r="L20" s="1"/>
  <c r="K21"/>
  <c r="L21" s="1"/>
  <c r="K22"/>
  <c r="L22" s="1"/>
  <c r="K23"/>
  <c r="L23" s="1"/>
  <c r="K24"/>
  <c r="L24" s="1"/>
  <c r="K25"/>
  <c r="L25" s="1"/>
  <c r="K26"/>
  <c r="L26" s="1"/>
  <c r="K27"/>
  <c r="L27" s="1"/>
  <c r="K28"/>
  <c r="L28" s="1"/>
  <c r="K29"/>
  <c r="L29" s="1"/>
  <c r="K30"/>
  <c r="L30" s="1"/>
  <c r="K31"/>
  <c r="L31" s="1"/>
  <c r="K32"/>
  <c r="L32" s="1"/>
  <c r="K33"/>
  <c r="L33" s="1"/>
  <c r="K34"/>
  <c r="L34" s="1"/>
  <c r="K35"/>
  <c r="L35" s="1"/>
  <c r="K36"/>
  <c r="L36" s="1"/>
  <c r="K37"/>
  <c r="L37" s="1"/>
  <c r="K38"/>
  <c r="L38" s="1"/>
  <c r="K39"/>
  <c r="L39" s="1"/>
  <c r="K40"/>
  <c r="L40" s="1"/>
  <c r="K41"/>
  <c r="L41" s="1"/>
  <c r="K42"/>
  <c r="L42" s="1"/>
  <c r="K43"/>
  <c r="L43" s="1"/>
  <c r="K44"/>
  <c r="L44" s="1"/>
  <c r="K45"/>
  <c r="L45" s="1"/>
  <c r="K46"/>
  <c r="L46" s="1"/>
  <c r="K47"/>
  <c r="L47" s="1"/>
  <c r="K48"/>
  <c r="L48" s="1"/>
  <c r="K49"/>
  <c r="L49" s="1"/>
  <c r="K50"/>
  <c r="L50" s="1"/>
  <c r="K51"/>
  <c r="L51" s="1"/>
  <c r="K52"/>
  <c r="L52" s="1"/>
  <c r="K53"/>
  <c r="L53" s="1"/>
  <c r="K54"/>
  <c r="L54" s="1"/>
  <c r="K55"/>
  <c r="L55" s="1"/>
  <c r="K56"/>
  <c r="L56" s="1"/>
  <c r="K57"/>
  <c r="L57" s="1"/>
  <c r="K58"/>
  <c r="L58" s="1"/>
  <c r="K59"/>
  <c r="L59" s="1"/>
  <c r="K60"/>
  <c r="L60" s="1"/>
  <c r="K61"/>
  <c r="L61" s="1"/>
  <c r="K62"/>
  <c r="L62" s="1"/>
  <c r="K63"/>
  <c r="L63" s="1"/>
  <c r="K64"/>
  <c r="L64" s="1"/>
  <c r="K65"/>
  <c r="L65" s="1"/>
  <c r="K66"/>
  <c r="L66" s="1"/>
  <c r="K67"/>
  <c r="L67" s="1"/>
  <c r="K68"/>
  <c r="L68" s="1"/>
  <c r="K69"/>
  <c r="L69" s="1"/>
  <c r="K70"/>
  <c r="L70" s="1"/>
  <c r="K71"/>
  <c r="L71" s="1"/>
  <c r="K72"/>
  <c r="L72" s="1"/>
  <c r="K73"/>
  <c r="L73" s="1"/>
  <c r="K74"/>
  <c r="L74" s="1"/>
  <c r="K75"/>
  <c r="L75" s="1"/>
  <c r="K76"/>
  <c r="L76" s="1"/>
  <c r="K77"/>
  <c r="L77" s="1"/>
  <c r="K78"/>
  <c r="L78" s="1"/>
  <c r="K79"/>
  <c r="L79" s="1"/>
  <c r="K80"/>
  <c r="L80" s="1"/>
  <c r="K81"/>
  <c r="L81" s="1"/>
  <c r="K82"/>
  <c r="L82" s="1"/>
  <c r="K83"/>
  <c r="L83" s="1"/>
  <c r="K84"/>
  <c r="L84" s="1"/>
  <c r="K85"/>
  <c r="L85" s="1"/>
  <c r="K86"/>
  <c r="L86" s="1"/>
  <c r="K87"/>
  <c r="L87" s="1"/>
  <c r="K88"/>
  <c r="L88" s="1"/>
  <c r="K89"/>
  <c r="L89" s="1"/>
  <c r="K90"/>
  <c r="L90" s="1"/>
  <c r="K91"/>
  <c r="L91" s="1"/>
  <c r="K92"/>
  <c r="L92" s="1"/>
  <c r="K93"/>
  <c r="L93" s="1"/>
  <c r="K94"/>
  <c r="L94" s="1"/>
  <c r="K95"/>
  <c r="L95" s="1"/>
  <c r="K96"/>
  <c r="L96" s="1"/>
  <c r="K97"/>
  <c r="L97" s="1"/>
  <c r="K98"/>
  <c r="L98" s="1"/>
  <c r="K99"/>
  <c r="L99" s="1"/>
  <c r="K100"/>
  <c r="L100" s="1"/>
  <c r="K101"/>
  <c r="L101" s="1"/>
  <c r="K102"/>
  <c r="L102" s="1"/>
  <c r="K103"/>
  <c r="L103" s="1"/>
  <c r="K104"/>
  <c r="L104" s="1"/>
  <c r="K105"/>
  <c r="L105" s="1"/>
  <c r="K106"/>
  <c r="L106" s="1"/>
  <c r="K107"/>
  <c r="L107" s="1"/>
  <c r="K108"/>
  <c r="L108" s="1"/>
  <c r="H57" i="6"/>
  <c r="K109" i="2" l="1"/>
  <c r="G15" i="6" l="1"/>
  <c r="G13"/>
  <c r="I19" i="10" l="1"/>
  <c r="I14" l="1"/>
  <c r="I12" i="4" l="1"/>
  <c r="J12" s="1"/>
  <c r="K12" s="1"/>
  <c r="J10"/>
  <c r="J11"/>
  <c r="K11" s="1"/>
  <c r="J13"/>
  <c r="K13" s="1"/>
  <c r="J14"/>
  <c r="K14" s="1"/>
  <c r="J15"/>
  <c r="K15" s="1"/>
  <c r="J16"/>
  <c r="K16" s="1"/>
  <c r="J17"/>
  <c r="K17" s="1"/>
  <c r="J18"/>
  <c r="K18" s="1"/>
  <c r="J19"/>
  <c r="K19" s="1"/>
  <c r="J20"/>
  <c r="K20" s="1"/>
  <c r="J21"/>
  <c r="K21" s="1"/>
  <c r="J22"/>
  <c r="K22" s="1"/>
  <c r="J23"/>
  <c r="K23" s="1"/>
  <c r="J24"/>
  <c r="K24" s="1"/>
  <c r="J25"/>
  <c r="K25" s="1"/>
  <c r="J26"/>
  <c r="K26" s="1"/>
  <c r="J27"/>
  <c r="K27" s="1"/>
  <c r="J28"/>
  <c r="K28" s="1"/>
  <c r="J29"/>
  <c r="K29" s="1"/>
  <c r="J30"/>
  <c r="K30" s="1"/>
  <c r="J31"/>
  <c r="K31" s="1"/>
  <c r="J32"/>
  <c r="K32" s="1"/>
  <c r="J33"/>
  <c r="K33" s="1"/>
  <c r="J34"/>
  <c r="K34" s="1"/>
  <c r="J35"/>
  <c r="K35" s="1"/>
  <c r="J36"/>
  <c r="K36" s="1"/>
  <c r="J37"/>
  <c r="K37" s="1"/>
  <c r="J38"/>
  <c r="K38" s="1"/>
  <c r="J39"/>
  <c r="K39" s="1"/>
  <c r="J40"/>
  <c r="K40" s="1"/>
  <c r="J41"/>
  <c r="K41" s="1"/>
  <c r="J42"/>
  <c r="K42" s="1"/>
  <c r="J43"/>
  <c r="K43" s="1"/>
  <c r="J44"/>
  <c r="K44" s="1"/>
  <c r="J45"/>
  <c r="K45" s="1"/>
  <c r="J46"/>
  <c r="K46" s="1"/>
  <c r="J47"/>
  <c r="K47" s="1"/>
  <c r="J48"/>
  <c r="K48" s="1"/>
  <c r="J49"/>
  <c r="K49" s="1"/>
  <c r="J50"/>
  <c r="K50" s="1"/>
  <c r="J51"/>
  <c r="K51" s="1"/>
  <c r="J52"/>
  <c r="J53"/>
  <c r="K53" s="1"/>
  <c r="J54"/>
  <c r="K54" s="1"/>
  <c r="J55"/>
  <c r="K55" s="1"/>
  <c r="J56"/>
  <c r="K56" s="1"/>
  <c r="J57"/>
  <c r="K57" s="1"/>
  <c r="J58"/>
  <c r="K58" s="1"/>
  <c r="J59"/>
  <c r="K59" s="1"/>
  <c r="J60"/>
  <c r="K60" s="1"/>
  <c r="J61"/>
  <c r="K61" s="1"/>
  <c r="J62"/>
  <c r="K62" s="1"/>
  <c r="J63"/>
  <c r="K63" s="1"/>
  <c r="J64"/>
  <c r="K64" s="1"/>
  <c r="J65"/>
  <c r="K65" s="1"/>
  <c r="J66"/>
  <c r="K66" s="1"/>
  <c r="J67"/>
  <c r="K67" s="1"/>
  <c r="J68"/>
  <c r="K68" s="1"/>
  <c r="J69"/>
  <c r="K69" s="1"/>
  <c r="J70"/>
  <c r="K70" s="1"/>
  <c r="J71"/>
  <c r="K71" s="1"/>
  <c r="I20" i="1"/>
  <c r="I19"/>
  <c r="I15"/>
  <c r="K52" i="4" l="1"/>
  <c r="J72"/>
  <c r="I74" s="1"/>
  <c r="K72"/>
  <c r="I75" s="1"/>
  <c r="K10"/>
  <c r="I13" i="11" l="1"/>
  <c r="J14"/>
  <c r="K14" s="1"/>
  <c r="J9" i="17" l="1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H38"/>
  <c r="I33" i="16"/>
  <c r="I31"/>
  <c r="J27"/>
  <c r="J45" i="12"/>
  <c r="K45" s="1"/>
  <c r="J38" i="17" l="1"/>
  <c r="C21" i="21" s="1"/>
  <c r="J13" i="19"/>
  <c r="K13" s="1"/>
  <c r="J14"/>
  <c r="K14" s="1"/>
  <c r="J15"/>
  <c r="K15" s="1"/>
  <c r="J16"/>
  <c r="K16" s="1"/>
  <c r="J17"/>
  <c r="K17" s="1"/>
  <c r="J18"/>
  <c r="K18" s="1"/>
  <c r="J19"/>
  <c r="K19" s="1"/>
  <c r="J20"/>
  <c r="K20" s="1"/>
  <c r="J12"/>
  <c r="J21" s="1"/>
  <c r="K21" s="1"/>
  <c r="K12" l="1"/>
  <c r="H12" i="18"/>
  <c r="H11"/>
  <c r="I33" i="13"/>
  <c r="I31"/>
  <c r="J60" i="10"/>
  <c r="K60" s="1"/>
  <c r="G60" s="1"/>
  <c r="J36"/>
  <c r="K36" s="1"/>
  <c r="G36" s="1"/>
  <c r="H40" i="3"/>
  <c r="H41"/>
  <c r="H42"/>
  <c r="H79" i="1"/>
  <c r="J64"/>
  <c r="K64" s="1"/>
  <c r="I10" i="8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K12" i="7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11"/>
  <c r="K55" l="1"/>
  <c r="C14" i="21" s="1"/>
  <c r="C30" s="1"/>
  <c r="I49" i="8"/>
  <c r="I11" i="13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4"/>
  <c r="I35"/>
  <c r="I36"/>
  <c r="I37"/>
  <c r="I38"/>
  <c r="I39"/>
  <c r="I40"/>
  <c r="I41"/>
  <c r="I42"/>
  <c r="I43"/>
  <c r="I44"/>
  <c r="I45"/>
  <c r="I46"/>
  <c r="J12" i="11"/>
  <c r="K12" s="1"/>
  <c r="J13"/>
  <c r="K13" s="1"/>
  <c r="J15"/>
  <c r="K15" s="1"/>
  <c r="J16"/>
  <c r="K16" s="1"/>
  <c r="J17"/>
  <c r="K17" s="1"/>
  <c r="J18"/>
  <c r="K18" s="1"/>
  <c r="J19"/>
  <c r="K19" s="1"/>
  <c r="J20"/>
  <c r="K20" s="1"/>
  <c r="J21"/>
  <c r="K21" s="1"/>
  <c r="J22"/>
  <c r="K22" s="1"/>
  <c r="J23"/>
  <c r="K23" s="1"/>
  <c r="J24"/>
  <c r="K24" s="1"/>
  <c r="J25"/>
  <c r="K25" s="1"/>
  <c r="J26"/>
  <c r="K26" s="1"/>
  <c r="J27"/>
  <c r="K27" s="1"/>
  <c r="J28"/>
  <c r="K28" s="1"/>
  <c r="J29"/>
  <c r="K29" s="1"/>
  <c r="J30"/>
  <c r="K30" s="1"/>
  <c r="J31"/>
  <c r="K31" s="1"/>
  <c r="J32"/>
  <c r="K32" s="1"/>
  <c r="J33"/>
  <c r="K33" s="1"/>
  <c r="J34"/>
  <c r="K34" s="1"/>
  <c r="J35"/>
  <c r="K35" s="1"/>
  <c r="J36"/>
  <c r="K36" s="1"/>
  <c r="J37"/>
  <c r="K37" s="1"/>
  <c r="J38"/>
  <c r="K38" s="1"/>
  <c r="J39"/>
  <c r="K39" s="1"/>
  <c r="J40"/>
  <c r="K40" s="1"/>
  <c r="J41"/>
  <c r="K41" s="1"/>
  <c r="J42"/>
  <c r="K42" s="1"/>
  <c r="J43"/>
  <c r="K43" s="1"/>
  <c r="J44"/>
  <c r="K44" s="1"/>
  <c r="J45"/>
  <c r="K45" s="1"/>
  <c r="J46"/>
  <c r="K46" s="1"/>
  <c r="J47"/>
  <c r="K47" s="1"/>
  <c r="J48"/>
  <c r="K48" s="1"/>
  <c r="J49"/>
  <c r="K49" s="1"/>
  <c r="J50"/>
  <c r="K50" s="1"/>
  <c r="J51"/>
  <c r="K51" s="1"/>
  <c r="J52"/>
  <c r="K52" s="1"/>
  <c r="J53"/>
  <c r="K53" s="1"/>
  <c r="J54"/>
  <c r="K54" s="1"/>
  <c r="J55"/>
  <c r="K55" s="1"/>
  <c r="J56"/>
  <c r="K56" s="1"/>
  <c r="J57"/>
  <c r="K57" s="1"/>
  <c r="J58"/>
  <c r="K58" s="1"/>
  <c r="J59"/>
  <c r="J60"/>
  <c r="K60" s="1"/>
  <c r="J61"/>
  <c r="K61" s="1"/>
  <c r="J62"/>
  <c r="K62" s="1"/>
  <c r="J63"/>
  <c r="K63" s="1"/>
  <c r="J64"/>
  <c r="K64" s="1"/>
  <c r="J65"/>
  <c r="K65" s="1"/>
  <c r="J66"/>
  <c r="K66" s="1"/>
  <c r="J67"/>
  <c r="K67" s="1"/>
  <c r="J68"/>
  <c r="K68" s="1"/>
  <c r="J69"/>
  <c r="K69" s="1"/>
  <c r="J70"/>
  <c r="K70" s="1"/>
  <c r="J71"/>
  <c r="K71" s="1"/>
  <c r="J72"/>
  <c r="K72" s="1"/>
  <c r="J73"/>
  <c r="K73" s="1"/>
  <c r="J74"/>
  <c r="K74" s="1"/>
  <c r="J75"/>
  <c r="K75" s="1"/>
  <c r="J76"/>
  <c r="K76" s="1"/>
  <c r="J77"/>
  <c r="K77" s="1"/>
  <c r="J78"/>
  <c r="K78" s="1"/>
  <c r="J79"/>
  <c r="K79" s="1"/>
  <c r="J80"/>
  <c r="K80" s="1"/>
  <c r="J81"/>
  <c r="K81" s="1"/>
  <c r="J82"/>
  <c r="K82" s="1"/>
  <c r="J83"/>
  <c r="K83" s="1"/>
  <c r="J84"/>
  <c r="K84" s="1"/>
  <c r="J85"/>
  <c r="K85" s="1"/>
  <c r="J86"/>
  <c r="K86" s="1"/>
  <c r="J87"/>
  <c r="K87" s="1"/>
  <c r="K59" l="1"/>
  <c r="I47" i="13"/>
  <c r="E66" i="6"/>
  <c r="D101" i="5" l="1"/>
  <c r="E113" i="12" l="1"/>
  <c r="I84" l="1"/>
  <c r="I74" i="5"/>
  <c r="D80"/>
  <c r="D86" s="1"/>
  <c r="I72" s="1"/>
  <c r="I109" i="2" l="1"/>
  <c r="G47" i="13"/>
  <c r="H76" i="12"/>
  <c r="H88" i="11"/>
  <c r="H81" i="10"/>
  <c r="F67" i="3"/>
  <c r="F52" i="6"/>
  <c r="H27" i="16"/>
  <c r="I68" i="5"/>
  <c r="K9" l="1"/>
  <c r="L9" s="1"/>
  <c r="L68" s="1"/>
  <c r="I71" s="1"/>
  <c r="K68" l="1"/>
  <c r="I70" s="1"/>
  <c r="I75" s="1"/>
  <c r="J12" i="16"/>
  <c r="J13"/>
  <c r="J14"/>
  <c r="J15"/>
  <c r="J16"/>
  <c r="J17"/>
  <c r="J18"/>
  <c r="J19"/>
  <c r="J20"/>
  <c r="J21"/>
  <c r="J22"/>
  <c r="J23"/>
  <c r="J24"/>
  <c r="J25"/>
  <c r="J26"/>
  <c r="J11" i="12"/>
  <c r="K11" s="1"/>
  <c r="J12"/>
  <c r="K12" s="1"/>
  <c r="J13"/>
  <c r="K13" s="1"/>
  <c r="J14"/>
  <c r="K14" s="1"/>
  <c r="J15"/>
  <c r="K15" s="1"/>
  <c r="J16"/>
  <c r="K16" s="1"/>
  <c r="J17"/>
  <c r="K17" s="1"/>
  <c r="J18"/>
  <c r="K18" s="1"/>
  <c r="J19"/>
  <c r="K19" s="1"/>
  <c r="J20"/>
  <c r="K20" s="1"/>
  <c r="J21"/>
  <c r="K21" s="1"/>
  <c r="J22"/>
  <c r="K22" s="1"/>
  <c r="J23"/>
  <c r="K23" s="1"/>
  <c r="J24"/>
  <c r="K24" s="1"/>
  <c r="J25"/>
  <c r="K25" s="1"/>
  <c r="J26"/>
  <c r="K26" s="1"/>
  <c r="J27"/>
  <c r="K27" s="1"/>
  <c r="J28"/>
  <c r="K28" s="1"/>
  <c r="J29"/>
  <c r="K29" s="1"/>
  <c r="J30"/>
  <c r="K30" s="1"/>
  <c r="J31"/>
  <c r="K31" s="1"/>
  <c r="J32"/>
  <c r="K32" s="1"/>
  <c r="J33"/>
  <c r="K33" s="1"/>
  <c r="J34"/>
  <c r="K34" s="1"/>
  <c r="J35"/>
  <c r="K35" s="1"/>
  <c r="J36"/>
  <c r="K36" s="1"/>
  <c r="J37"/>
  <c r="K37" s="1"/>
  <c r="J38"/>
  <c r="K38" s="1"/>
  <c r="J39"/>
  <c r="K39" s="1"/>
  <c r="J40"/>
  <c r="K40" s="1"/>
  <c r="J41"/>
  <c r="K41" s="1"/>
  <c r="J42"/>
  <c r="K42" s="1"/>
  <c r="J43"/>
  <c r="K43" s="1"/>
  <c r="J44"/>
  <c r="K44" s="1"/>
  <c r="J46"/>
  <c r="K46" s="1"/>
  <c r="J47"/>
  <c r="K47" s="1"/>
  <c r="J48"/>
  <c r="K48" s="1"/>
  <c r="J49"/>
  <c r="K49" s="1"/>
  <c r="J50"/>
  <c r="K50" s="1"/>
  <c r="J51"/>
  <c r="K51" s="1"/>
  <c r="J52"/>
  <c r="K52" s="1"/>
  <c r="J53"/>
  <c r="K53" s="1"/>
  <c r="J54"/>
  <c r="K54" s="1"/>
  <c r="J55"/>
  <c r="K55" s="1"/>
  <c r="J56"/>
  <c r="K56" s="1"/>
  <c r="J57"/>
  <c r="K57" s="1"/>
  <c r="J58"/>
  <c r="K58" s="1"/>
  <c r="J59"/>
  <c r="K59" s="1"/>
  <c r="J60"/>
  <c r="K60" s="1"/>
  <c r="J61"/>
  <c r="K61" s="1"/>
  <c r="J62"/>
  <c r="K62" s="1"/>
  <c r="J63"/>
  <c r="K63" s="1"/>
  <c r="J64"/>
  <c r="K64" s="1"/>
  <c r="J65"/>
  <c r="K65" s="1"/>
  <c r="J66"/>
  <c r="K66" s="1"/>
  <c r="J67"/>
  <c r="K67" s="1"/>
  <c r="J68"/>
  <c r="K68" s="1"/>
  <c r="J69"/>
  <c r="K69" s="1"/>
  <c r="J70"/>
  <c r="K70" s="1"/>
  <c r="J71"/>
  <c r="K71" s="1"/>
  <c r="J72"/>
  <c r="K72" s="1"/>
  <c r="J73"/>
  <c r="K73" s="1"/>
  <c r="J74"/>
  <c r="K74" s="1"/>
  <c r="J75"/>
  <c r="K75" s="1"/>
  <c r="J11" i="11"/>
  <c r="J11" i="10"/>
  <c r="K11" s="1"/>
  <c r="J12"/>
  <c r="K12" s="1"/>
  <c r="J13"/>
  <c r="K13" s="1"/>
  <c r="J14"/>
  <c r="K14" s="1"/>
  <c r="J15"/>
  <c r="K15" s="1"/>
  <c r="J16"/>
  <c r="K16" s="1"/>
  <c r="J17"/>
  <c r="K17" s="1"/>
  <c r="J18"/>
  <c r="K18" s="1"/>
  <c r="J19"/>
  <c r="K19" s="1"/>
  <c r="J20"/>
  <c r="K20" s="1"/>
  <c r="J21"/>
  <c r="K21" s="1"/>
  <c r="J22"/>
  <c r="K22" s="1"/>
  <c r="J23"/>
  <c r="K23" s="1"/>
  <c r="J24"/>
  <c r="K24" s="1"/>
  <c r="J25"/>
  <c r="K25" s="1"/>
  <c r="J26"/>
  <c r="K26" s="1"/>
  <c r="J27"/>
  <c r="K27" s="1"/>
  <c r="J28"/>
  <c r="K28" s="1"/>
  <c r="J29"/>
  <c r="K29" s="1"/>
  <c r="J30"/>
  <c r="K30" s="1"/>
  <c r="J31"/>
  <c r="K31" s="1"/>
  <c r="J32"/>
  <c r="K32" s="1"/>
  <c r="J33"/>
  <c r="K33" s="1"/>
  <c r="J34"/>
  <c r="K34" s="1"/>
  <c r="J35"/>
  <c r="K35" s="1"/>
  <c r="J37"/>
  <c r="J38"/>
  <c r="K38" s="1"/>
  <c r="J39"/>
  <c r="K39" s="1"/>
  <c r="J40"/>
  <c r="K40" s="1"/>
  <c r="J41"/>
  <c r="K41" s="1"/>
  <c r="J42"/>
  <c r="K42" s="1"/>
  <c r="J43"/>
  <c r="K43" s="1"/>
  <c r="J44"/>
  <c r="K44" s="1"/>
  <c r="J45"/>
  <c r="K45" s="1"/>
  <c r="J46"/>
  <c r="K46" s="1"/>
  <c r="J47"/>
  <c r="K47" s="1"/>
  <c r="J48"/>
  <c r="K48" s="1"/>
  <c r="J49"/>
  <c r="K49" s="1"/>
  <c r="J50"/>
  <c r="K50" s="1"/>
  <c r="J51"/>
  <c r="K51" s="1"/>
  <c r="J52"/>
  <c r="K52" s="1"/>
  <c r="J53"/>
  <c r="K53" s="1"/>
  <c r="J54"/>
  <c r="K54" s="1"/>
  <c r="J55"/>
  <c r="K55" s="1"/>
  <c r="J56"/>
  <c r="K56" s="1"/>
  <c r="J57"/>
  <c r="K57" s="1"/>
  <c r="J58"/>
  <c r="K58" s="1"/>
  <c r="J59"/>
  <c r="K59" s="1"/>
  <c r="J61"/>
  <c r="K61" s="1"/>
  <c r="J62"/>
  <c r="K62" s="1"/>
  <c r="J63"/>
  <c r="K63" s="1"/>
  <c r="J64"/>
  <c r="K64" s="1"/>
  <c r="J65"/>
  <c r="K65" s="1"/>
  <c r="J66"/>
  <c r="K66" s="1"/>
  <c r="J67"/>
  <c r="K67" s="1"/>
  <c r="J68"/>
  <c r="K68" s="1"/>
  <c r="J69"/>
  <c r="K69" s="1"/>
  <c r="J70"/>
  <c r="K70" s="1"/>
  <c r="J71"/>
  <c r="K71" s="1"/>
  <c r="J72"/>
  <c r="K72" s="1"/>
  <c r="J73"/>
  <c r="K73" s="1"/>
  <c r="J74"/>
  <c r="K74" s="1"/>
  <c r="J75"/>
  <c r="K75" s="1"/>
  <c r="J76"/>
  <c r="K76" s="1"/>
  <c r="J77"/>
  <c r="K77" s="1"/>
  <c r="J78"/>
  <c r="K78" s="1"/>
  <c r="J79"/>
  <c r="K79" s="1"/>
  <c r="J80"/>
  <c r="K80" s="1"/>
  <c r="I11" i="9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H10" i="6"/>
  <c r="I10" s="1"/>
  <c r="H11"/>
  <c r="I11" s="1"/>
  <c r="H12"/>
  <c r="H13"/>
  <c r="I13" s="1"/>
  <c r="H14"/>
  <c r="I14" s="1"/>
  <c r="H15"/>
  <c r="I15" s="1"/>
  <c r="H16"/>
  <c r="I16" s="1"/>
  <c r="H17"/>
  <c r="I17" s="1"/>
  <c r="H18"/>
  <c r="I18" s="1"/>
  <c r="H19"/>
  <c r="I19" s="1"/>
  <c r="H20"/>
  <c r="I20" s="1"/>
  <c r="H21"/>
  <c r="I21" s="1"/>
  <c r="H22"/>
  <c r="I22" s="1"/>
  <c r="H23"/>
  <c r="I23" s="1"/>
  <c r="H24"/>
  <c r="I24" s="1"/>
  <c r="H25"/>
  <c r="I25" s="1"/>
  <c r="H26"/>
  <c r="I26" s="1"/>
  <c r="H27"/>
  <c r="I27" s="1"/>
  <c r="H28"/>
  <c r="I28" s="1"/>
  <c r="H29"/>
  <c r="I29" s="1"/>
  <c r="H30"/>
  <c r="I30" s="1"/>
  <c r="H31"/>
  <c r="I31" s="1"/>
  <c r="H32"/>
  <c r="I32" s="1"/>
  <c r="H33"/>
  <c r="I33" s="1"/>
  <c r="H34"/>
  <c r="I34" s="1"/>
  <c r="H35"/>
  <c r="I35" s="1"/>
  <c r="H36"/>
  <c r="I36" s="1"/>
  <c r="H37"/>
  <c r="I37" s="1"/>
  <c r="H38"/>
  <c r="I38" s="1"/>
  <c r="H39"/>
  <c r="I39" s="1"/>
  <c r="H40"/>
  <c r="I40" s="1"/>
  <c r="H41"/>
  <c r="I41" s="1"/>
  <c r="H42"/>
  <c r="I42" s="1"/>
  <c r="H43"/>
  <c r="I43" s="1"/>
  <c r="H44"/>
  <c r="I44" s="1"/>
  <c r="H45"/>
  <c r="I45" s="1"/>
  <c r="H46"/>
  <c r="I46" s="1"/>
  <c r="H47"/>
  <c r="I47" s="1"/>
  <c r="H48"/>
  <c r="I48" s="1"/>
  <c r="H49"/>
  <c r="I49" s="1"/>
  <c r="H50"/>
  <c r="I50" s="1"/>
  <c r="H51"/>
  <c r="I51" s="1"/>
  <c r="H10" i="3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K10" i="2"/>
  <c r="L10" s="1"/>
  <c r="J11" i="1"/>
  <c r="K11" s="1"/>
  <c r="J12"/>
  <c r="K12" s="1"/>
  <c r="J13"/>
  <c r="J14"/>
  <c r="K14" s="1"/>
  <c r="J15"/>
  <c r="K15" s="1"/>
  <c r="J16"/>
  <c r="K16" s="1"/>
  <c r="J17"/>
  <c r="K17" s="1"/>
  <c r="J18"/>
  <c r="K18" s="1"/>
  <c r="J19"/>
  <c r="K19" s="1"/>
  <c r="J20"/>
  <c r="K20" s="1"/>
  <c r="J21"/>
  <c r="K21" s="1"/>
  <c r="J22"/>
  <c r="K22" s="1"/>
  <c r="J23"/>
  <c r="K23" s="1"/>
  <c r="J24"/>
  <c r="K24" s="1"/>
  <c r="J25"/>
  <c r="K25" s="1"/>
  <c r="J26"/>
  <c r="K26" s="1"/>
  <c r="J27"/>
  <c r="K27" s="1"/>
  <c r="J28"/>
  <c r="K28" s="1"/>
  <c r="J29"/>
  <c r="K29" s="1"/>
  <c r="J30"/>
  <c r="K30" s="1"/>
  <c r="J31"/>
  <c r="K31" s="1"/>
  <c r="J32"/>
  <c r="K32" s="1"/>
  <c r="J33"/>
  <c r="K33" s="1"/>
  <c r="J34"/>
  <c r="K34" s="1"/>
  <c r="J35"/>
  <c r="K35" s="1"/>
  <c r="J36"/>
  <c r="K36" s="1"/>
  <c r="J37"/>
  <c r="K37" s="1"/>
  <c r="J38"/>
  <c r="K38" s="1"/>
  <c r="J39"/>
  <c r="K39" s="1"/>
  <c r="J40"/>
  <c r="K40" s="1"/>
  <c r="J41"/>
  <c r="K41" s="1"/>
  <c r="J42"/>
  <c r="K42" s="1"/>
  <c r="J43"/>
  <c r="K43" s="1"/>
  <c r="J44"/>
  <c r="K44" s="1"/>
  <c r="J45"/>
  <c r="K45" s="1"/>
  <c r="J46"/>
  <c r="K46" s="1"/>
  <c r="J47"/>
  <c r="K47" s="1"/>
  <c r="J48"/>
  <c r="K48" s="1"/>
  <c r="J49"/>
  <c r="K49" s="1"/>
  <c r="J50"/>
  <c r="K50" s="1"/>
  <c r="J51"/>
  <c r="K51" s="1"/>
  <c r="J52"/>
  <c r="K52" s="1"/>
  <c r="J53"/>
  <c r="K53" s="1"/>
  <c r="J54"/>
  <c r="K54" s="1"/>
  <c r="J55"/>
  <c r="K55" s="1"/>
  <c r="J56"/>
  <c r="K56" s="1"/>
  <c r="J57"/>
  <c r="K57" s="1"/>
  <c r="J58"/>
  <c r="K58" s="1"/>
  <c r="J59"/>
  <c r="K59" s="1"/>
  <c r="J60"/>
  <c r="K60" s="1"/>
  <c r="J61"/>
  <c r="K61" s="1"/>
  <c r="J62"/>
  <c r="K62" s="1"/>
  <c r="J63"/>
  <c r="K63" s="1"/>
  <c r="J65"/>
  <c r="K65" s="1"/>
  <c r="J66"/>
  <c r="K66" s="1"/>
  <c r="J67"/>
  <c r="K67" s="1"/>
  <c r="J68"/>
  <c r="K68" s="1"/>
  <c r="J69"/>
  <c r="K69" s="1"/>
  <c r="J70"/>
  <c r="K70" s="1"/>
  <c r="J71"/>
  <c r="K71" s="1"/>
  <c r="J72"/>
  <c r="K72" s="1"/>
  <c r="J73"/>
  <c r="K73" s="1"/>
  <c r="J74"/>
  <c r="K74" s="1"/>
  <c r="J75"/>
  <c r="K75" s="1"/>
  <c r="J76"/>
  <c r="K76" s="1"/>
  <c r="J77"/>
  <c r="K77" s="1"/>
  <c r="J78"/>
  <c r="K78" s="1"/>
  <c r="K11" i="11" l="1"/>
  <c r="K88" s="1"/>
  <c r="I95" s="1"/>
  <c r="J88"/>
  <c r="I94" s="1"/>
  <c r="I99" s="1"/>
  <c r="H67" i="3"/>
  <c r="K76" i="12"/>
  <c r="I82" s="1"/>
  <c r="K37" i="10"/>
  <c r="K81" s="1"/>
  <c r="I87" s="1"/>
  <c r="J81"/>
  <c r="I86" s="1"/>
  <c r="I12" i="6"/>
  <c r="H52"/>
  <c r="H54" s="1"/>
  <c r="K13" i="1"/>
  <c r="K79" s="1"/>
  <c r="I83" s="1"/>
  <c r="J79"/>
  <c r="I82" s="1"/>
  <c r="J76" i="12"/>
  <c r="G63" i="9"/>
  <c r="I92" i="10" l="1"/>
  <c r="I87" i="1"/>
  <c r="H67" i="2"/>
  <c r="H34"/>
  <c r="L109"/>
  <c r="G72" i="11"/>
  <c r="G71"/>
  <c r="G11" i="10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4"/>
  <c r="G35"/>
  <c r="G37"/>
  <c r="G38"/>
  <c r="G39"/>
  <c r="G40"/>
  <c r="G41"/>
  <c r="G42"/>
  <c r="G43"/>
  <c r="G44"/>
  <c r="G46"/>
  <c r="G47"/>
  <c r="G48"/>
  <c r="G49"/>
  <c r="G50"/>
  <c r="G51"/>
  <c r="G52"/>
  <c r="G53"/>
  <c r="G54"/>
  <c r="G55"/>
  <c r="G56"/>
  <c r="G57"/>
  <c r="G58"/>
  <c r="G59"/>
  <c r="G61"/>
  <c r="G62"/>
  <c r="G64"/>
  <c r="G65"/>
  <c r="G66"/>
  <c r="G67"/>
  <c r="G68"/>
  <c r="G69"/>
  <c r="G70"/>
  <c r="G71"/>
  <c r="G72"/>
  <c r="G73"/>
  <c r="G74"/>
  <c r="G75"/>
  <c r="G76"/>
  <c r="G77"/>
  <c r="G78"/>
  <c r="G79"/>
  <c r="G80"/>
  <c r="K84" i="5" l="1"/>
  <c r="I73" s="1"/>
  <c r="D115" i="10" l="1"/>
  <c r="I91" s="1"/>
  <c r="J102"/>
  <c r="I90" s="1"/>
  <c r="L131" i="2"/>
  <c r="I116" s="1"/>
  <c r="L123"/>
  <c r="I114" s="1"/>
  <c r="E131"/>
  <c r="I115" s="1"/>
  <c r="J106" i="12"/>
  <c r="J98"/>
  <c r="I85" s="1"/>
  <c r="G12" i="1" l="1"/>
  <c r="G14"/>
  <c r="G61"/>
  <c r="F110" i="11" l="1"/>
  <c r="I97" s="1"/>
  <c r="C103" i="1"/>
  <c r="I85" s="1"/>
  <c r="I89" i="10"/>
  <c r="I112" i="2" l="1"/>
  <c r="I111"/>
  <c r="I86" i="12" l="1"/>
  <c r="C105" i="1" l="1"/>
  <c r="I99"/>
  <c r="I52" i="6" l="1"/>
  <c r="H55" s="1"/>
  <c r="H58" s="1"/>
  <c r="I77" i="4"/>
  <c r="I80" s="1"/>
  <c r="I86" i="1" l="1"/>
</calcChain>
</file>

<file path=xl/comments1.xml><?xml version="1.0" encoding="utf-8"?>
<comments xmlns="http://schemas.openxmlformats.org/spreadsheetml/2006/main">
  <authors>
    <author>kp</author>
  </authors>
  <commentList>
    <comment ref="J55" authorId="0">
      <text>
        <r>
          <rPr>
            <b/>
            <sz val="9"/>
            <color indexed="81"/>
            <rFont val="Tahoma"/>
            <family val="2"/>
          </rPr>
          <t>kp:</t>
        </r>
        <r>
          <rPr>
            <sz val="9"/>
            <color indexed="81"/>
            <rFont val="Tahoma"/>
            <family val="2"/>
          </rPr>
          <t xml:space="preserve">
sổ ko ghi cự li</t>
        </r>
      </text>
    </comment>
  </commentList>
</comments>
</file>

<file path=xl/comments2.xml><?xml version="1.0" encoding="utf-8"?>
<comments xmlns="http://schemas.openxmlformats.org/spreadsheetml/2006/main">
  <authors>
    <author>kp</author>
  </authors>
  <commentList>
    <comment ref="G21" authorId="0">
      <text>
        <r>
          <rPr>
            <b/>
            <sz val="9"/>
            <color indexed="81"/>
            <rFont val="Tahoma"/>
            <family val="2"/>
          </rPr>
          <t>kp:</t>
        </r>
        <r>
          <rPr>
            <sz val="9"/>
            <color indexed="81"/>
            <rFont val="Tahoma"/>
            <family val="2"/>
          </rPr>
          <t xml:space="preserve">
3km: 14xe
2km: 7xe
</t>
        </r>
      </text>
    </comment>
    <comment ref="G33" authorId="0">
      <text>
        <r>
          <rPr>
            <b/>
            <sz val="9"/>
            <color indexed="81"/>
            <rFont val="Tahoma"/>
            <family val="2"/>
          </rPr>
          <t>kp:</t>
        </r>
        <r>
          <rPr>
            <sz val="9"/>
            <color indexed="81"/>
            <rFont val="Tahoma"/>
            <family val="2"/>
          </rPr>
          <t xml:space="preserve">
3km: 6xe
1km: 17xe</t>
        </r>
      </text>
    </comment>
    <comment ref="G35" authorId="0">
      <text>
        <r>
          <rPr>
            <b/>
            <sz val="9"/>
            <color indexed="81"/>
            <rFont val="Tahoma"/>
            <family val="2"/>
          </rPr>
          <t>kp:</t>
        </r>
        <r>
          <rPr>
            <sz val="9"/>
            <color indexed="81"/>
            <rFont val="Tahoma"/>
            <family val="2"/>
          </rPr>
          <t xml:space="preserve">
1km: 14xe
2km: 8xe</t>
        </r>
      </text>
    </comment>
  </commentList>
</comments>
</file>

<file path=xl/comments3.xml><?xml version="1.0" encoding="utf-8"?>
<comments xmlns="http://schemas.openxmlformats.org/spreadsheetml/2006/main">
  <authors>
    <author>kp</author>
  </authors>
  <commentList>
    <comment ref="F29" authorId="0">
      <text>
        <r>
          <rPr>
            <b/>
            <sz val="9"/>
            <color indexed="81"/>
            <rFont val="Tahoma"/>
            <family val="2"/>
          </rPr>
          <t>kp:</t>
        </r>
        <r>
          <rPr>
            <sz val="9"/>
            <color indexed="81"/>
            <rFont val="Tahoma"/>
            <family val="2"/>
          </rPr>
          <t xml:space="preserve">
cự li 1km: 13 xe
cự li 2km: 7xe</t>
        </r>
      </text>
    </comment>
  </commentList>
</comments>
</file>

<file path=xl/comments4.xml><?xml version="1.0" encoding="utf-8"?>
<comments xmlns="http://schemas.openxmlformats.org/spreadsheetml/2006/main">
  <authors>
    <author>kp</author>
  </authors>
  <commentList>
    <comment ref="I45" authorId="0">
      <text>
        <r>
          <rPr>
            <b/>
            <sz val="9"/>
            <color indexed="81"/>
            <rFont val="Tahoma"/>
            <family val="2"/>
          </rPr>
          <t>kp:</t>
        </r>
        <r>
          <rPr>
            <sz val="9"/>
            <color indexed="81"/>
            <rFont val="Tahoma"/>
            <family val="2"/>
          </rPr>
          <t xml:space="preserve">
hỏi lại anh Đỏ</t>
        </r>
      </text>
    </comment>
  </commentList>
</comments>
</file>

<file path=xl/comments5.xml><?xml version="1.0" encoding="utf-8"?>
<comments xmlns="http://schemas.openxmlformats.org/spreadsheetml/2006/main">
  <authors>
    <author>kp</author>
  </authors>
  <commentList>
    <comment ref="F30" authorId="0">
      <text>
        <r>
          <rPr>
            <b/>
            <sz val="9"/>
            <color indexed="81"/>
            <rFont val="Tahoma"/>
            <family val="2"/>
          </rPr>
          <t>kp:</t>
        </r>
        <r>
          <rPr>
            <sz val="9"/>
            <color indexed="81"/>
            <rFont val="Tahoma"/>
            <family val="2"/>
          </rPr>
          <t xml:space="preserve">
3km: 5 xe
1km: 18xe
</t>
        </r>
      </text>
    </comment>
  </commentList>
</comments>
</file>

<file path=xl/sharedStrings.xml><?xml version="1.0" encoding="utf-8"?>
<sst xmlns="http://schemas.openxmlformats.org/spreadsheetml/2006/main" count="3952" uniqueCount="522">
  <si>
    <t>CÔNG TY TNHH MỘT THÀNH VIÊN THƯƠNG MẠI VÀ XÂY DỰNG THIÊN PHÚ</t>
  </si>
  <si>
    <t>ấp Thạnh Biên, Xã Lộc Thạnh, Huyện Lộc Ninh, Bình Phước</t>
  </si>
  <si>
    <t>Tel: 0974 912 106 - 0271 6276 777 - 0271 6275 777</t>
  </si>
  <si>
    <t xml:space="preserve">STK : 050017098184 - NGUYỄN QUỐC PHÚ - SACOMBANK CN LỘC NINH </t>
  </si>
  <si>
    <t>XE 6373</t>
  </si>
  <si>
    <t xml:space="preserve">NGÀY </t>
  </si>
  <si>
    <t>TÀI XẾ</t>
  </si>
  <si>
    <t xml:space="preserve">NỘI DUNG </t>
  </si>
  <si>
    <t xml:space="preserve">ĐIỂM ĐẾN </t>
  </si>
  <si>
    <t xml:space="preserve">ĐẤT </t>
  </si>
  <si>
    <t xml:space="preserve">ĐÁ </t>
  </si>
  <si>
    <t xml:space="preserve">CÁT </t>
  </si>
  <si>
    <t xml:space="preserve">M3 </t>
  </si>
  <si>
    <t xml:space="preserve">SỐ LƯỢNG </t>
  </si>
  <si>
    <t xml:space="preserve">ĐƠN GIÁ </t>
  </si>
  <si>
    <t xml:space="preserve">THÀNH TIỀN </t>
  </si>
  <si>
    <t>LTX</t>
  </si>
  <si>
    <t>01/02/2018.</t>
  </si>
  <si>
    <t>XE 68553</t>
  </si>
  <si>
    <t>XE 1171</t>
  </si>
  <si>
    <t>XE 2229</t>
  </si>
  <si>
    <t>24/02/2018.</t>
  </si>
  <si>
    <t>26/02/2018.</t>
  </si>
  <si>
    <t>25/02/2018.</t>
  </si>
  <si>
    <t xml:space="preserve">CÔNG </t>
  </si>
  <si>
    <t>24/02/2018</t>
  </si>
  <si>
    <t>XE 3099</t>
  </si>
  <si>
    <t>XE 3795</t>
  </si>
  <si>
    <t>XE 5136</t>
  </si>
  <si>
    <t>XE 7477</t>
  </si>
  <si>
    <t>XE 9918</t>
  </si>
  <si>
    <t>XE 25907</t>
  </si>
  <si>
    <t>XE 30868</t>
  </si>
  <si>
    <t>KL</t>
  </si>
  <si>
    <t xml:space="preserve">TỔNG </t>
  </si>
  <si>
    <t>LƯƠNG TÀI XẾ</t>
  </si>
  <si>
    <t xml:space="preserve">LƯƠNG CHẾT </t>
  </si>
  <si>
    <t>LƯƠNG CÒN LẠI</t>
  </si>
  <si>
    <t>SL</t>
  </si>
  <si>
    <t>NGÀY</t>
  </si>
  <si>
    <t>CHI TIẾT</t>
  </si>
  <si>
    <t>MỎ CÒ NHÍP MỚI</t>
  </si>
  <si>
    <t>NÒNG 718</t>
  </si>
  <si>
    <t>VÁ VỎ + NƯỚC VÁ</t>
  </si>
  <si>
    <t>VÁ VỎ SAU</t>
  </si>
  <si>
    <t>VÁ VỎ</t>
  </si>
  <si>
    <t>LÀM NHÍP</t>
  </si>
  <si>
    <t>ĐỔI MỘT MÂM</t>
  </si>
  <si>
    <t>23/2/2018.</t>
  </si>
  <si>
    <t>SAMSUNG 97</t>
  </si>
  <si>
    <t>RỜ LE PHỤ</t>
  </si>
  <si>
    <t>ĐINAMÔ</t>
  </si>
  <si>
    <t>2/3/2018.</t>
  </si>
  <si>
    <t>THAY BẠC</t>
  </si>
  <si>
    <t>TIỀN XE</t>
  </si>
  <si>
    <t>SẠC BÌNH</t>
  </si>
  <si>
    <t>25/2/2018.</t>
  </si>
  <si>
    <t>SAMSUNG 95</t>
  </si>
  <si>
    <t>31/1/2018.</t>
  </si>
  <si>
    <t>ỐNG 1/1 1M5</t>
  </si>
  <si>
    <t>ỐNG 3/4 1M1</t>
  </si>
  <si>
    <t>ỐNG 3/4 1M6 ( 2 CÁI )</t>
  </si>
  <si>
    <t>ĐÈN CUỐC</t>
  </si>
  <si>
    <t>CÔNG TẮC RÚT</t>
  </si>
  <si>
    <t>DÂY ĐIỆN</t>
  </si>
  <si>
    <t>LÁ LÚA</t>
  </si>
  <si>
    <t xml:space="preserve">CẦN GẠT NƯỚC </t>
  </si>
  <si>
    <t>29/2/2018.</t>
  </si>
  <si>
    <t>BÁNH XÍCH 09</t>
  </si>
  <si>
    <t>02/2/2018.</t>
  </si>
  <si>
    <t xml:space="preserve">02 LỌC NHỚT </t>
  </si>
  <si>
    <t>DÂY HÀN 4M</t>
  </si>
  <si>
    <t>CO DÊ TOA</t>
  </si>
  <si>
    <t>BẤM 2 ỐNG</t>
  </si>
  <si>
    <t>02/3/2018.</t>
  </si>
  <si>
    <t>HITACHI</t>
  </si>
  <si>
    <t>1 ỐNG 1M</t>
  </si>
  <si>
    <t>2 ỐNG 1M1</t>
  </si>
  <si>
    <t>28 SIM RON</t>
  </si>
  <si>
    <t>04/3/2018.</t>
  </si>
  <si>
    <t>BÔ LỬA 07</t>
  </si>
  <si>
    <t>2 DÂY CU ROA 8FK 1680</t>
  </si>
  <si>
    <t xml:space="preserve">BẤM ỐNG </t>
  </si>
  <si>
    <t>BÚA</t>
  </si>
  <si>
    <t>3 SIM RIN</t>
  </si>
  <si>
    <t>LỌC DẦU THÔ</t>
  </si>
  <si>
    <t>LỌC DẦU TRƠN</t>
  </si>
  <si>
    <t>1 HỘP LỰU ĐẠN 630LI</t>
  </si>
  <si>
    <t>08/03/2018.</t>
  </si>
  <si>
    <t>CẶP VỎ</t>
  </si>
  <si>
    <t>6 VỎ 920 DBET</t>
  </si>
  <si>
    <t>XÚC LẬT</t>
  </si>
  <si>
    <t>1 BỘ VỎ</t>
  </si>
  <si>
    <t>2 VỎ 920 CUỐC</t>
  </si>
  <si>
    <t>2 BỘ VỎ</t>
  </si>
  <si>
    <t>2 RUỘT</t>
  </si>
  <si>
    <t>SỬA XE</t>
  </si>
  <si>
    <t>TÊN XE</t>
  </si>
  <si>
    <t>ĐƠN GIÁ</t>
  </si>
  <si>
    <t>03/2/2018.</t>
  </si>
  <si>
    <t>SỮA CHỮA</t>
  </si>
  <si>
    <t>09/2/2018.</t>
  </si>
  <si>
    <t>03/3/2018.</t>
  </si>
  <si>
    <t>CÁNH QUẠT BƠM NƯỚC</t>
  </si>
  <si>
    <t>Ư</t>
  </si>
  <si>
    <t>05/3/2018.</t>
  </si>
  <si>
    <t>NHỚT MÁY MOTUL</t>
  </si>
  <si>
    <t>05/03/2018.</t>
  </si>
  <si>
    <t>PHÚ ĐƯA THÁI</t>
  </si>
  <si>
    <t>Column1</t>
  </si>
  <si>
    <t>CÔNG &amp; PHỤ TÙNG TY NÂNG HẠ</t>
  </si>
  <si>
    <t>XĂNG DẦU</t>
  </si>
  <si>
    <t>LỢI NHUẬN</t>
  </si>
  <si>
    <t>08/2/2018.</t>
  </si>
  <si>
    <t>XE HƠI</t>
  </si>
  <si>
    <t>22/03/2018</t>
  </si>
  <si>
    <t>VỎ XE HƠI</t>
  </si>
  <si>
    <t>19/3/2018.</t>
  </si>
  <si>
    <t>CHẮN BÙN</t>
  </si>
  <si>
    <t>MÁ CẢNG</t>
  </si>
  <si>
    <t>3099.</t>
  </si>
  <si>
    <t>LOOK LẠNH</t>
  </si>
  <si>
    <t>THAY DÀN LẠNH MỚI</t>
  </si>
  <si>
    <t>THAY QUẠT GIẢI NHIỆT MỚI</t>
  </si>
  <si>
    <t>SẠC GAR MỚI</t>
  </si>
  <si>
    <t>CÔNG THÁO RÁP</t>
  </si>
  <si>
    <t>07/3/2018.</t>
  </si>
  <si>
    <t>20/3/2018.</t>
  </si>
  <si>
    <t>NHÍP  1M5</t>
  </si>
  <si>
    <t xml:space="preserve">RUỒI </t>
  </si>
  <si>
    <t>2 LÁ 1M5</t>
  </si>
  <si>
    <t>6373.</t>
  </si>
  <si>
    <t>68553.</t>
  </si>
  <si>
    <t>12/3/2018.</t>
  </si>
  <si>
    <t>THAY 2 VỎ + ĐẢO 2 VỎ</t>
  </si>
  <si>
    <t>10096.</t>
  </si>
  <si>
    <t>11/3/2018.</t>
  </si>
  <si>
    <t>1 CHỤP CẦN SỐ</t>
  </si>
  <si>
    <t>THAY BẠC ĐẠN</t>
  </si>
  <si>
    <t>CÔNG</t>
  </si>
  <si>
    <t>XE ỦI D3.</t>
  </si>
  <si>
    <t>HUYNDAI 07.</t>
  </si>
  <si>
    <t>MUA ỐNG</t>
  </si>
  <si>
    <t>15/03/2018.</t>
  </si>
  <si>
    <t>LỌC GIÓ</t>
  </si>
  <si>
    <t>15/3/2018.</t>
  </si>
  <si>
    <t>DÂY CO ROA</t>
  </si>
  <si>
    <t>10 CẦU CHỈ</t>
  </si>
  <si>
    <t>NHÍP  1M4</t>
  </si>
  <si>
    <t>14/3/2018.</t>
  </si>
  <si>
    <t>SAMSUNG 98.</t>
  </si>
  <si>
    <t>18/03/2018.</t>
  </si>
  <si>
    <t>10 TẮC KÊ XE CUỐC</t>
  </si>
  <si>
    <t>LÁ CÀI CHỮ THẬP APM</t>
  </si>
  <si>
    <t>19/03/2018</t>
  </si>
  <si>
    <t>22/02/2018</t>
  </si>
  <si>
    <t>23/02/2018</t>
  </si>
  <si>
    <t>25/01/2018</t>
  </si>
  <si>
    <t>27/02/2018</t>
  </si>
  <si>
    <t>29/01/2018</t>
  </si>
  <si>
    <t>07/2/2018.</t>
  </si>
  <si>
    <t>VÁ VỎ TỪ 07/01 ĐẾN 02/02</t>
  </si>
  <si>
    <t>9918.</t>
  </si>
  <si>
    <t>05/2/2018.</t>
  </si>
  <si>
    <t>HÀN BÔ</t>
  </si>
  <si>
    <t>26/2/2018.</t>
  </si>
  <si>
    <t>SẠC BÔ ABIDA</t>
  </si>
  <si>
    <t>27/2/2018.</t>
  </si>
  <si>
    <t>NHỚT</t>
  </si>
  <si>
    <t>* SỮA CHỮA</t>
  </si>
  <si>
    <t>* XĂNG DẦU</t>
  </si>
  <si>
    <t>* NHỚT</t>
  </si>
  <si>
    <t>* NHỚT - BÌNH</t>
  </si>
  <si>
    <t>NHỚT - BÌNH</t>
  </si>
  <si>
    <t>18/3/2018.</t>
  </si>
  <si>
    <t>4 CAU SU CABIN</t>
  </si>
  <si>
    <t>6 BÙ LOONG</t>
  </si>
  <si>
    <t>4 BÙ LOONG 8LI 4 PHÂN</t>
  </si>
  <si>
    <t>1 KEO VAI</t>
  </si>
  <si>
    <t>4M DÂY ĐIỆN</t>
  </si>
  <si>
    <t>2 BĂNG KEO ĐEN</t>
  </si>
  <si>
    <t>2 CT BEN</t>
  </si>
  <si>
    <t>20/03/18.</t>
  </si>
  <si>
    <t>1 LÁ NHÍP 9P 12LI 1M4</t>
  </si>
  <si>
    <t>1 LÁ  9TO</t>
  </si>
  <si>
    <t xml:space="preserve">1 ẮC + BẠC LỚN </t>
  </si>
  <si>
    <t>10 LOONG ĐỀN</t>
  </si>
  <si>
    <t>1 RUỒI JT</t>
  </si>
  <si>
    <t>3 ỐC 12LI 1.5T</t>
  </si>
  <si>
    <t>3 TÁN THÊM</t>
  </si>
  <si>
    <t>2229.</t>
  </si>
  <si>
    <t>31/03/18.</t>
  </si>
  <si>
    <t>29/03/18.</t>
  </si>
  <si>
    <t>CÔNG LÀM NHÍP</t>
  </si>
  <si>
    <t>PHÚ CHI</t>
  </si>
  <si>
    <t>HÀN XẮC XI</t>
  </si>
  <si>
    <t>27/03/18.</t>
  </si>
  <si>
    <t>2 ROTIN CẦN SỐ</t>
  </si>
  <si>
    <t>26/03/18.</t>
  </si>
  <si>
    <t>1 ỐNG BƠM NHỎ</t>
  </si>
  <si>
    <t>BẤM 1 ỐNG</t>
  </si>
  <si>
    <t>24/03/18.</t>
  </si>
  <si>
    <t>2 MIẾNG KEO VÁ CHÒNG</t>
  </si>
  <si>
    <t>1 MIẾNG KEO CÓC LẾT DÙ</t>
  </si>
  <si>
    <t>25/03/18.</t>
  </si>
  <si>
    <t>THAY 3 CỤC CAO SU CHÂN MÁY</t>
  </si>
  <si>
    <t>HÀN BÔ + BẢN LỀ VỸ</t>
  </si>
  <si>
    <t>1 CAO SU CM TRƯỚC</t>
  </si>
  <si>
    <t>2 CAO SU CM SAU</t>
  </si>
  <si>
    <t xml:space="preserve">8 ỐC 12LI 2PHAN </t>
  </si>
  <si>
    <t>1 BÙ LOONG 12LI 1.5T</t>
  </si>
  <si>
    <t>05/03/18.</t>
  </si>
  <si>
    <t>1 BƠM TAY LÁI</t>
  </si>
  <si>
    <t>4 BÔ + 2 CỔ DÊ</t>
  </si>
  <si>
    <t>3 CHAI TRỢ LỰC * 85.000 TỐT</t>
  </si>
  <si>
    <t>16/03/18.</t>
  </si>
  <si>
    <t>1 ỐNG 1.5T</t>
  </si>
  <si>
    <t>1 CỔ DÊ TO</t>
  </si>
  <si>
    <t>1 RỜ LE TỐT</t>
  </si>
  <si>
    <t xml:space="preserve">1 ỐC 10LI RIN </t>
  </si>
  <si>
    <t>1 BU LI MÁY LẠNH</t>
  </si>
  <si>
    <t>BẢNG LƯƠNG XE THÁNG 03/2018</t>
  </si>
  <si>
    <t>BẢNG LƯƠNG XE THÁNG 3/2018</t>
  </si>
  <si>
    <t>15/03/18.</t>
  </si>
  <si>
    <t>1 CÁI MU DƯA</t>
  </si>
  <si>
    <t>7 CON TẮC KÊ</t>
  </si>
  <si>
    <t>1 CÁI PHỚT</t>
  </si>
  <si>
    <t>8 CON BÙ LOONG LÁP</t>
  </si>
  <si>
    <t>TIỀN CÔNG</t>
  </si>
  <si>
    <t>THAY BỘ SỐ DÀN LẠNH</t>
  </si>
  <si>
    <t>SỮA ĐẦU ĐĨA</t>
  </si>
  <si>
    <t>LỘC THIỆN</t>
  </si>
  <si>
    <t>NHÀ</t>
  </si>
  <si>
    <t>CÁT</t>
  </si>
  <si>
    <t>CTY HỒNG PHÚC</t>
  </si>
  <si>
    <t>1*2</t>
  </si>
  <si>
    <t>HẦM ANH ỐC</t>
  </si>
  <si>
    <t>CTY NAM THẮNG</t>
  </si>
  <si>
    <t>+</t>
  </si>
  <si>
    <t>CÁT NHÀ</t>
  </si>
  <si>
    <t>UY VŨ</t>
  </si>
  <si>
    <t>DỜI MÌ UY VŨ</t>
  </si>
  <si>
    <t>LƯƠNG THỰC MB</t>
  </si>
  <si>
    <t>HẦM CÔ XUYẾN</t>
  </si>
  <si>
    <t>ANH TOÀN - NTCC</t>
  </si>
  <si>
    <t>ĐỨC TRÍ - Á CHÂU</t>
  </si>
  <si>
    <t>O DỤC</t>
  </si>
  <si>
    <t>HOÀI BÁN PHỞ</t>
  </si>
  <si>
    <t>DỜI MÌ CÔ TƯƠI</t>
  </si>
  <si>
    <t>CTY KHẢI NGUYÊN</t>
  </si>
  <si>
    <t>0*4</t>
  </si>
  <si>
    <t>SỎI ĐỒI CAO SU</t>
  </si>
  <si>
    <t>DỜI ĐẤT KHO LTMB</t>
  </si>
  <si>
    <t>HẦM ĐẤT LTMB</t>
  </si>
  <si>
    <t>CHỊ ÚT - CƠM</t>
  </si>
  <si>
    <t>CHÚ TỐNG</t>
  </si>
  <si>
    <t>ĐD ĐẤT ANH THIỆN</t>
  </si>
  <si>
    <t>ĐỨC MINH</t>
  </si>
  <si>
    <t>HẦM ANH TÂM</t>
  </si>
  <si>
    <t>CHÚ DỤ</t>
  </si>
  <si>
    <t>HOA VINH</t>
  </si>
  <si>
    <t>HỘC</t>
  </si>
  <si>
    <t>CHÚ HẬU</t>
  </si>
  <si>
    <t>ĐỒI SỎI CAO SU</t>
  </si>
  <si>
    <t>ANH ĐẠO</t>
  </si>
  <si>
    <t>ĐD KHO TiẾN PHÁT</t>
  </si>
  <si>
    <t>ANH PHÁP</t>
  </si>
  <si>
    <t>CÂY XĂNG QuỐC HÙNG</t>
  </si>
  <si>
    <t xml:space="preserve"> </t>
  </si>
  <si>
    <t>HẬU - ĐBG</t>
  </si>
  <si>
    <t>2*4</t>
  </si>
  <si>
    <t>4*6</t>
  </si>
  <si>
    <t>DỜI CÁT ĐBG</t>
  </si>
  <si>
    <t>CÁT D4</t>
  </si>
  <si>
    <t>ANH HOÀNG ĐỒN BP</t>
  </si>
  <si>
    <t>DỜI ĐÁ ĐBG</t>
  </si>
  <si>
    <t>CHỞ MƯỚN LỘC THIỆN</t>
  </si>
  <si>
    <t>CTY HÀ NỘI</t>
  </si>
  <si>
    <t>VƯỜN MÍT PHÚ</t>
  </si>
  <si>
    <t>ANH LINH CÀ CHẤT</t>
  </si>
  <si>
    <t>04/03/18.</t>
  </si>
  <si>
    <t>222L DẦU</t>
  </si>
  <si>
    <t>07/03/18.</t>
  </si>
  <si>
    <t xml:space="preserve">DẦU </t>
  </si>
  <si>
    <t>DẦU THẮNG</t>
  </si>
  <si>
    <t>12/03/18.</t>
  </si>
  <si>
    <t>260L DẦU</t>
  </si>
  <si>
    <t>17/03/18.</t>
  </si>
  <si>
    <t>350L DẦU</t>
  </si>
  <si>
    <t>255L DẦU</t>
  </si>
  <si>
    <t>DẦU</t>
  </si>
  <si>
    <t>30/03/18.</t>
  </si>
  <si>
    <t>DẺ LAU</t>
  </si>
  <si>
    <t>09/03/18.</t>
  </si>
  <si>
    <t>11/03/18.</t>
  </si>
  <si>
    <t>MỠ BÒ</t>
  </si>
  <si>
    <t>BỘ CHÌA KHÓA</t>
  </si>
  <si>
    <t>KÌM MẠNH</t>
  </si>
  <si>
    <t>19/03/18.</t>
  </si>
  <si>
    <t>01/03/18.</t>
  </si>
  <si>
    <t>250L DẦU</t>
  </si>
  <si>
    <t>200L DẦU</t>
  </si>
  <si>
    <t>08/03/18.</t>
  </si>
  <si>
    <t>10/03/18.</t>
  </si>
  <si>
    <t>14/03/18.</t>
  </si>
  <si>
    <t>18/03/18.</t>
  </si>
  <si>
    <t>21/03/18.</t>
  </si>
  <si>
    <t>150L DẦU</t>
  </si>
  <si>
    <t>MỠ BÒ + ỐC</t>
  </si>
  <si>
    <t>NHỚT BP 5L</t>
  </si>
  <si>
    <t>SILICON</t>
  </si>
  <si>
    <t>NHỚT - LẶT VẶT</t>
  </si>
  <si>
    <t>03/03/2018.</t>
  </si>
  <si>
    <t xml:space="preserve">DẦU 300L </t>
  </si>
  <si>
    <t>07/03/2018.</t>
  </si>
  <si>
    <t>12/03/2018.</t>
  </si>
  <si>
    <t xml:space="preserve">DẦU 280L </t>
  </si>
  <si>
    <t>24/03/2018.</t>
  </si>
  <si>
    <t>DẦU 200L</t>
  </si>
  <si>
    <t>27/03/2018.</t>
  </si>
  <si>
    <t>DÂY RÀNG 6 CÁI</t>
  </si>
  <si>
    <t>1 CAN BP 5L</t>
  </si>
  <si>
    <t>14/03/2018.</t>
  </si>
  <si>
    <t>NHỚT 10 4L</t>
  </si>
  <si>
    <t>Ổ KHÓA</t>
  </si>
  <si>
    <t>MỠ TỐT 1KG</t>
  </si>
  <si>
    <t>4 LÍT NHỚT 10</t>
  </si>
  <si>
    <t>01/03/2018.</t>
  </si>
  <si>
    <t>13/03/2018.</t>
  </si>
  <si>
    <t>17/03/2018.</t>
  </si>
  <si>
    <t>28/03/2018.</t>
  </si>
  <si>
    <t>10/03/2018.</t>
  </si>
  <si>
    <t>NHỚT 140 6 CAN (KATET)</t>
  </si>
  <si>
    <t>NHỚT 4L</t>
  </si>
  <si>
    <t xml:space="preserve"> 1 BƠM MỠ</t>
  </si>
  <si>
    <t>CHÌA KHÓA</t>
  </si>
  <si>
    <t>20/03/2018.</t>
  </si>
  <si>
    <t>4 CAN NHỚT 90</t>
  </si>
  <si>
    <t>DẺ</t>
  </si>
  <si>
    <t>1 LÍT NHỚT 10</t>
  </si>
  <si>
    <t>HUYNH</t>
  </si>
  <si>
    <t>DỜI ĐẤT HẦM CXQH</t>
  </si>
  <si>
    <t>THAO - ĐBG</t>
  </si>
  <si>
    <t>SỎI THIÊN PHÚ</t>
  </si>
  <si>
    <t>ANH ÚT CÒ</t>
  </si>
  <si>
    <t>GẦN CH ViỆT NAM</t>
  </si>
  <si>
    <t>ANH HẢI BX</t>
  </si>
  <si>
    <t>CHÚ DỤ - NBLN</t>
  </si>
  <si>
    <t>HẦM ANH Ốc</t>
  </si>
  <si>
    <t>NGA - THAO</t>
  </si>
  <si>
    <t>CHÚ LAN</t>
  </si>
  <si>
    <t>HẦM KÊNH THỦY LỢI</t>
  </si>
  <si>
    <t>MI MI</t>
  </si>
  <si>
    <t>HẦM TRÀM SAU BÃI CÁT</t>
  </si>
  <si>
    <t>KHÔNG BiẾT AI</t>
  </si>
  <si>
    <t>CHÚ ĐƯỢC LẮM</t>
  </si>
  <si>
    <t>ANH CÔNG GẦN QUÁN MỘC</t>
  </si>
  <si>
    <t>VƯỜN MÍT BÌNH RÂU</t>
  </si>
  <si>
    <t>ANH NHƯ NTCC</t>
  </si>
  <si>
    <t>CHÚ TỚI</t>
  </si>
  <si>
    <t>ÔNG MỘT</t>
  </si>
  <si>
    <t>DỜI ĐẤT CXQH</t>
  </si>
  <si>
    <t>HẦM  THỦY LỢI</t>
  </si>
  <si>
    <t>ĐD TiẾN PHÁT</t>
  </si>
  <si>
    <t>ĐẤT SAU CXQH</t>
  </si>
  <si>
    <t>HẦM THỦY LỢI</t>
  </si>
  <si>
    <t>TÙNG</t>
  </si>
  <si>
    <t>DỜI ĐẤT HUY HƯNG</t>
  </si>
  <si>
    <t>ĐẤT RuỘNG</t>
  </si>
  <si>
    <t>LINH NHI</t>
  </si>
  <si>
    <t>DỜI ĐẤT HỒNG PHÚC</t>
  </si>
  <si>
    <t>CTY TiẾN PHÁT</t>
  </si>
  <si>
    <t xml:space="preserve">LỘC THIỆN </t>
  </si>
  <si>
    <t>ĐD CHIÊU KÝ</t>
  </si>
  <si>
    <t>CHIÊU RIU</t>
  </si>
  <si>
    <t>HẦM ĐẤT Á CHÂU</t>
  </si>
  <si>
    <t>ÔNG NĂM HƯNG</t>
  </si>
  <si>
    <t>ĐỔ LẺ</t>
  </si>
  <si>
    <t>CHÚ PHÁT NTCC</t>
  </si>
  <si>
    <t>ACÔNG GẦN Q.MỘC</t>
  </si>
  <si>
    <t>A LINH CÀ CHẤT</t>
  </si>
  <si>
    <t>CX QuỐC HÙNG</t>
  </si>
  <si>
    <t>HỒNG PHÚC</t>
  </si>
  <si>
    <t xml:space="preserve"> HUY HƯNG</t>
  </si>
  <si>
    <t>NAM THẮNG</t>
  </si>
  <si>
    <t>KHANG NGA (CON CHÚ HUY)</t>
  </si>
  <si>
    <t>SƠN LỘC THẠNH</t>
  </si>
  <si>
    <t>ANH TÂM D2</t>
  </si>
  <si>
    <t>HẦM GẦN CÔ XUYẾN</t>
  </si>
  <si>
    <t>SỎI BÃI RÁC</t>
  </si>
  <si>
    <t>TRẠI HEO HAI TÙNG</t>
  </si>
  <si>
    <t>HẦM BÃI RÁC - PHÚ</t>
  </si>
  <si>
    <t>XUI GIA BA ĐEN</t>
  </si>
  <si>
    <t>ANH CHÍNH NTCC</t>
  </si>
  <si>
    <t>HẦM BÃI RÁC</t>
  </si>
  <si>
    <t>ANH CHUNG</t>
  </si>
  <si>
    <t>MY MY</t>
  </si>
  <si>
    <t>DUY THỢ XÂY</t>
  </si>
  <si>
    <t>ANH TRUNG</t>
  </si>
  <si>
    <t xml:space="preserve">DỜI ĐẤT HỒNG PHÚC </t>
  </si>
  <si>
    <t>CX QUỐC HÙNG</t>
  </si>
  <si>
    <t>KHANG NGA(C.HUY)</t>
  </si>
  <si>
    <t>DỜI ĐẤT  CXQH</t>
  </si>
  <si>
    <t>XE 02890</t>
  </si>
  <si>
    <t>ĐEN</t>
  </si>
  <si>
    <t>A.LINH C.CHẤT</t>
  </si>
  <si>
    <t>A.LINH - LTMB</t>
  </si>
  <si>
    <t>A.TOÀN - NTCC</t>
  </si>
  <si>
    <t>A.TÂM - NTCC</t>
  </si>
  <si>
    <t>ĐƯỜNG B.RÁC -PHÚ</t>
  </si>
  <si>
    <t>HẦM TRÀM B.CÁT</t>
  </si>
  <si>
    <t>HẦM K.THỦY LỢI</t>
  </si>
  <si>
    <t>CTY HUY HƯNG</t>
  </si>
  <si>
    <t>DỜI ĐẤT ĐBG</t>
  </si>
  <si>
    <t xml:space="preserve">HẦM ANH TÂM </t>
  </si>
  <si>
    <t>CTY Á CHÂU</t>
  </si>
  <si>
    <t>CHÚ BA ĐEN</t>
  </si>
  <si>
    <t xml:space="preserve">HẦM KÊNH THỦY LỢI </t>
  </si>
  <si>
    <t>TÂM</t>
  </si>
  <si>
    <t xml:space="preserve">CÁT NHÀ </t>
  </si>
  <si>
    <t>ANH SƠN XD</t>
  </si>
  <si>
    <t>ĐẤT THIÊN PHÚ</t>
  </si>
  <si>
    <t>MiẾU GẦN QUÁN MỘC</t>
  </si>
  <si>
    <t>GẦN QUÁN MỘC</t>
  </si>
  <si>
    <t>CTY ViỆT THÀNH</t>
  </si>
  <si>
    <t>DŨNG</t>
  </si>
  <si>
    <t>NHUNG CỬA KHẨU</t>
  </si>
  <si>
    <t>CHÚ NGHỌ</t>
  </si>
  <si>
    <t xml:space="preserve">ANH ĐẠO </t>
  </si>
  <si>
    <t>CHÚ PHONG</t>
  </si>
  <si>
    <t>DỜI ĐẤT BÃI RÁC</t>
  </si>
  <si>
    <t>A.LINH CÀ CHẤT</t>
  </si>
  <si>
    <t>HẦM RÁC - PHÚ</t>
  </si>
  <si>
    <t xml:space="preserve">KHANG NGA </t>
  </si>
  <si>
    <t>ĐƯỜNG B.RÁC-PHÚ</t>
  </si>
  <si>
    <t>CHỞ MƯỚN L.THIỆN</t>
  </si>
  <si>
    <t>D.ĐẤT HUY HƯNG</t>
  </si>
  <si>
    <t>HẦM TRÀM BÃI CÁT</t>
  </si>
  <si>
    <t>XE 16586</t>
  </si>
  <si>
    <t>ANH NĂM CỬA SẮT</t>
  </si>
  <si>
    <t>HẦM TRÀM -BÃI CÁT</t>
  </si>
  <si>
    <t>ĐỎ</t>
  </si>
  <si>
    <t>CHÚ LỖ MUA MỦ</t>
  </si>
  <si>
    <t>PHÂN BÓN</t>
  </si>
  <si>
    <t>KẾ TRẠI HEO D2</t>
  </si>
  <si>
    <t>HẦM CAO SU</t>
  </si>
  <si>
    <t xml:space="preserve">ĐẤT/ĐÁ </t>
  </si>
  <si>
    <t>DANH</t>
  </si>
  <si>
    <t>14.58</t>
  </si>
  <si>
    <t>ĐÁ NHÀ</t>
  </si>
  <si>
    <t>CẦU NAM THÀNH</t>
  </si>
  <si>
    <t>THỌ ĐẠI ÚY</t>
  </si>
  <si>
    <t>SÓC SỎI</t>
  </si>
  <si>
    <t>ĐẤT ANH TÈO</t>
  </si>
  <si>
    <t>DỜI CÁT ĐỨC TRÍ</t>
  </si>
  <si>
    <t>TuẤN GẦN LINH TỨ</t>
  </si>
  <si>
    <t>MI SÀNG</t>
  </si>
  <si>
    <t>LIÊN SÓC SỎI</t>
  </si>
  <si>
    <t>NHUNG CPC</t>
  </si>
  <si>
    <t>A.LƯƠNG - TBP</t>
  </si>
  <si>
    <t xml:space="preserve"> KHẢI NGUYÊN</t>
  </si>
  <si>
    <t xml:space="preserve">C.MƯỚN L.THIỆN </t>
  </si>
  <si>
    <t>H.TRÀM BÃI CÁT</t>
  </si>
  <si>
    <t>ĐẤT AO Đ.BIÊN</t>
  </si>
  <si>
    <t>XE 70297</t>
  </si>
  <si>
    <t>XE 93025</t>
  </si>
  <si>
    <t>ĐỒI SỎI THIÊN PHÚ</t>
  </si>
  <si>
    <t>ANH TỚI NTCC</t>
  </si>
  <si>
    <t>CTY DUYÊN HẢI</t>
  </si>
  <si>
    <t>ANH TuẤN</t>
  </si>
  <si>
    <t xml:space="preserve">ĐỨC TRÍ </t>
  </si>
  <si>
    <t>CTY ACC</t>
  </si>
  <si>
    <t xml:space="preserve">CHÚ ĐƯỢC </t>
  </si>
  <si>
    <t>02/03/18.</t>
  </si>
  <si>
    <t>MUA BẠT XE</t>
  </si>
  <si>
    <t>CHI MUA BẠT XE</t>
  </si>
  <si>
    <t>3/3/2018.</t>
  </si>
  <si>
    <t xml:space="preserve">CẮT KIẾNG XE </t>
  </si>
  <si>
    <t>09/03/2018.</t>
  </si>
  <si>
    <t>CÂN CẦU XE</t>
  </si>
  <si>
    <t>9/3/2018.</t>
  </si>
  <si>
    <t>13/03/2018</t>
  </si>
  <si>
    <t>VÁ VỎ, HÀN BÔ</t>
  </si>
  <si>
    <t>13/03/18.</t>
  </si>
  <si>
    <t>14/03/2018</t>
  </si>
  <si>
    <t>THAY VỎ XE</t>
  </si>
  <si>
    <t>VÁ VỎ, XỊT BÔ E</t>
  </si>
  <si>
    <t>17/03/2018</t>
  </si>
  <si>
    <t>SỬA CHỮA</t>
  </si>
  <si>
    <t>HÀN BÁT NHÍP</t>
  </si>
  <si>
    <t>18/03/2018</t>
  </si>
  <si>
    <t>25/03/2018.</t>
  </si>
  <si>
    <t>SỬA MÁY LẠNH XE</t>
  </si>
  <si>
    <t>25/03/2018</t>
  </si>
  <si>
    <t>26/03/2018</t>
  </si>
  <si>
    <t>8339.</t>
  </si>
  <si>
    <t>30/03/2018</t>
  </si>
  <si>
    <t>BẢNG LƯƠNG XE THÁNG 03/2018 - 2556 + 8339</t>
  </si>
  <si>
    <t>ĐẤT</t>
  </si>
  <si>
    <t>ANH TuẤN QUÁN MỘC</t>
  </si>
  <si>
    <t>1km</t>
  </si>
  <si>
    <t>8km</t>
  </si>
  <si>
    <t>4km</t>
  </si>
  <si>
    <t>3km</t>
  </si>
  <si>
    <t>2km</t>
  </si>
  <si>
    <t>ơ</t>
  </si>
  <si>
    <t>ỨNG ĐÁ 1*2      23/02/18</t>
  </si>
  <si>
    <t xml:space="preserve"> 2km</t>
  </si>
  <si>
    <t>CỰ LY</t>
  </si>
  <si>
    <t xml:space="preserve"> 1km</t>
  </si>
  <si>
    <t>TỰ CHỊU</t>
  </si>
  <si>
    <t>AI?</t>
  </si>
  <si>
    <t>ANH CHUNG LẬP</t>
  </si>
  <si>
    <t>Ở ĐÂU</t>
  </si>
  <si>
    <t>ANH DŨNG ?</t>
  </si>
  <si>
    <t>TÍNH SỐ LƯỢNG ĐÁ CHO HẬU BIÊN GIỚI BAO NHIÊU?</t>
  </si>
  <si>
    <t>DOANH THU</t>
  </si>
  <si>
    <t xml:space="preserve">LOẠI XE </t>
  </si>
  <si>
    <t>STT</t>
  </si>
  <si>
    <t>DOANH THU  XE CƠ GIỚI THÁNG 03/2018</t>
  </si>
  <si>
    <t>HẦM LƯƠNG THỰC</t>
  </si>
  <si>
    <t>CHÚ LẮM</t>
  </si>
</sst>
</file>

<file path=xl/styles.xml><?xml version="1.0" encoding="utf-8"?>
<styleSheet xmlns="http://schemas.openxmlformats.org/spreadsheetml/2006/main">
  <numFmts count="4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_(* #,##0.0_);_(* \(#,##0.0\);_(* &quot;-&quot;??_);_(@_)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8"/>
      <name val="Times New Roman"/>
      <family val="1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11"/>
      <name val="Times New Roman"/>
      <family val="1"/>
    </font>
    <font>
      <b/>
      <sz val="22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theme="6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0" fontId="3" fillId="0" borderId="0"/>
    <xf numFmtId="0" fontId="3" fillId="0" borderId="0"/>
    <xf numFmtId="165" fontId="1" fillId="0" borderId="0" applyFont="0" applyFill="0" applyBorder="0" applyAlignment="0" applyProtection="0"/>
  </cellStyleXfs>
  <cellXfs count="361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66" fontId="2" fillId="0" borderId="0" xfId="1" applyNumberFormat="1" applyFont="1" applyAlignment="1">
      <alignment horizontal="left"/>
    </xf>
    <xf numFmtId="165" fontId="2" fillId="0" borderId="0" xfId="1" applyFont="1" applyAlignment="1">
      <alignment horizontal="left"/>
    </xf>
    <xf numFmtId="166" fontId="0" fillId="0" borderId="0" xfId="1" applyNumberFormat="1" applyFont="1" applyAlignment="1">
      <alignment horizontal="left"/>
    </xf>
    <xf numFmtId="166" fontId="0" fillId="0" borderId="0" xfId="1" applyNumberFormat="1" applyFont="1"/>
    <xf numFmtId="166" fontId="0" fillId="0" borderId="1" xfId="1" applyNumberFormat="1" applyFont="1" applyBorder="1"/>
    <xf numFmtId="0" fontId="0" fillId="0" borderId="1" xfId="0" applyBorder="1"/>
    <xf numFmtId="165" fontId="0" fillId="0" borderId="1" xfId="1" applyFont="1" applyBorder="1"/>
    <xf numFmtId="166" fontId="4" fillId="0" borderId="0" xfId="1" applyNumberFormat="1" applyFont="1" applyFill="1" applyBorder="1" applyAlignment="1" applyProtection="1">
      <alignment horizontal="left" vertical="top" wrapText="1"/>
    </xf>
    <xf numFmtId="165" fontId="0" fillId="3" borderId="1" xfId="1" applyFont="1" applyFill="1" applyBorder="1" applyAlignment="1">
      <alignment horizontal="center"/>
    </xf>
    <xf numFmtId="0" fontId="7" fillId="0" borderId="0" xfId="0" applyFont="1"/>
    <xf numFmtId="0" fontId="6" fillId="0" borderId="0" xfId="0" applyFont="1"/>
    <xf numFmtId="166" fontId="2" fillId="0" borderId="1" xfId="1" applyNumberFormat="1" applyFont="1" applyBorder="1"/>
    <xf numFmtId="166" fontId="0" fillId="0" borderId="5" xfId="1" applyNumberFormat="1" applyFont="1" applyBorder="1"/>
    <xf numFmtId="0" fontId="0" fillId="0" borderId="7" xfId="0" applyBorder="1"/>
    <xf numFmtId="0" fontId="0" fillId="0" borderId="8" xfId="0" applyBorder="1"/>
    <xf numFmtId="166" fontId="0" fillId="0" borderId="10" xfId="1" applyNumberFormat="1" applyFont="1" applyBorder="1"/>
    <xf numFmtId="0" fontId="2" fillId="0" borderId="1" xfId="0" applyFont="1" applyBorder="1"/>
    <xf numFmtId="0" fontId="0" fillId="0" borderId="2" xfId="0" applyBorder="1"/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66" fontId="8" fillId="0" borderId="4" xfId="1" applyNumberFormat="1" applyFont="1" applyBorder="1" applyAlignment="1">
      <alignment horizontal="center" vertical="center"/>
    </xf>
    <xf numFmtId="165" fontId="8" fillId="0" borderId="4" xfId="1" applyFont="1" applyBorder="1" applyAlignment="1">
      <alignment horizontal="center" vertical="center"/>
    </xf>
    <xf numFmtId="166" fontId="8" fillId="0" borderId="13" xfId="1" applyNumberFormat="1" applyFont="1" applyBorder="1" applyAlignment="1">
      <alignment horizontal="center" vertical="center"/>
    </xf>
    <xf numFmtId="0" fontId="9" fillId="0" borderId="0" xfId="0" applyFont="1"/>
    <xf numFmtId="0" fontId="8" fillId="0" borderId="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6" fontId="8" fillId="0" borderId="3" xfId="1" applyNumberFormat="1" applyFont="1" applyBorder="1" applyAlignment="1">
      <alignment horizontal="center" vertical="center"/>
    </xf>
    <xf numFmtId="165" fontId="8" fillId="0" borderId="3" xfId="1" applyFont="1" applyBorder="1" applyAlignment="1">
      <alignment horizontal="center" vertical="center"/>
    </xf>
    <xf numFmtId="166" fontId="8" fillId="0" borderId="11" xfId="1" applyNumberFormat="1" applyFont="1" applyBorder="1" applyAlignment="1">
      <alignment horizontal="center" vertical="center"/>
    </xf>
    <xf numFmtId="0" fontId="10" fillId="0" borderId="0" xfId="0" applyFont="1"/>
    <xf numFmtId="165" fontId="2" fillId="0" borderId="1" xfId="1" applyFont="1" applyBorder="1"/>
    <xf numFmtId="14" fontId="0" fillId="0" borderId="0" xfId="0" applyNumberFormat="1"/>
    <xf numFmtId="14" fontId="0" fillId="0" borderId="1" xfId="0" applyNumberFormat="1" applyBorder="1"/>
    <xf numFmtId="0" fontId="0" fillId="0" borderId="9" xfId="0" applyBorder="1"/>
    <xf numFmtId="14" fontId="0" fillId="0" borderId="3" xfId="0" applyNumberFormat="1" applyBorder="1"/>
    <xf numFmtId="0" fontId="0" fillId="0" borderId="3" xfId="0" applyBorder="1"/>
    <xf numFmtId="166" fontId="0" fillId="0" borderId="11" xfId="1" applyNumberFormat="1" applyFont="1" applyBorder="1"/>
    <xf numFmtId="14" fontId="0" fillId="0" borderId="2" xfId="0" applyNumberFormat="1" applyBorder="1"/>
    <xf numFmtId="166" fontId="11" fillId="0" borderId="5" xfId="1" applyNumberFormat="1" applyFont="1" applyBorder="1"/>
    <xf numFmtId="0" fontId="0" fillId="0" borderId="14" xfId="0" applyBorder="1"/>
    <xf numFmtId="0" fontId="0" fillId="0" borderId="1" xfId="0" applyFill="1" applyBorder="1" applyAlignment="1">
      <alignment horizontal="center"/>
    </xf>
    <xf numFmtId="0" fontId="0" fillId="0" borderId="0" xfId="0" applyFill="1"/>
    <xf numFmtId="166" fontId="0" fillId="0" borderId="1" xfId="1" applyNumberFormat="1" applyFont="1" applyFill="1" applyBorder="1" applyAlignment="1">
      <alignment horizontal="center"/>
    </xf>
    <xf numFmtId="14" fontId="0" fillId="0" borderId="1" xfId="0" applyNumberFormat="1" applyFont="1" applyBorder="1"/>
    <xf numFmtId="0" fontId="0" fillId="0" borderId="1" xfId="0" applyFont="1" applyBorder="1"/>
    <xf numFmtId="0" fontId="0" fillId="2" borderId="7" xfId="0" applyFill="1" applyBorder="1"/>
    <xf numFmtId="14" fontId="0" fillId="2" borderId="1" xfId="0" applyNumberFormat="1" applyFill="1" applyBorder="1"/>
    <xf numFmtId="0" fontId="0" fillId="2" borderId="1" xfId="0" applyFill="1" applyBorder="1"/>
    <xf numFmtId="166" fontId="0" fillId="2" borderId="5" xfId="1" applyNumberFormat="1" applyFont="1" applyFill="1" applyBorder="1"/>
    <xf numFmtId="0" fontId="0" fillId="2" borderId="0" xfId="0" applyFill="1"/>
    <xf numFmtId="165" fontId="0" fillId="0" borderId="1" xfId="1" applyFont="1" applyFill="1" applyBorder="1" applyAlignment="1">
      <alignment horizontal="center"/>
    </xf>
    <xf numFmtId="166" fontId="12" fillId="0" borderId="5" xfId="1" applyNumberFormat="1" applyFont="1" applyBorder="1"/>
    <xf numFmtId="166" fontId="12" fillId="0" borderId="10" xfId="1" applyNumberFormat="1" applyFont="1" applyBorder="1"/>
    <xf numFmtId="0" fontId="0" fillId="0" borderId="0" xfId="0" applyBorder="1"/>
    <xf numFmtId="0" fontId="9" fillId="0" borderId="0" xfId="0" applyFont="1" applyFill="1"/>
    <xf numFmtId="0" fontId="9" fillId="0" borderId="1" xfId="0" applyFont="1" applyFill="1" applyBorder="1" applyAlignment="1">
      <alignment horizontal="center"/>
    </xf>
    <xf numFmtId="0" fontId="8" fillId="0" borderId="0" xfId="0" applyFont="1" applyFill="1"/>
    <xf numFmtId="166" fontId="0" fillId="0" borderId="5" xfId="1" applyNumberFormat="1" applyFont="1" applyFill="1" applyBorder="1"/>
    <xf numFmtId="166" fontId="13" fillId="0" borderId="5" xfId="1" applyNumberFormat="1" applyFont="1" applyBorder="1"/>
    <xf numFmtId="166" fontId="13" fillId="0" borderId="10" xfId="1" applyNumberFormat="1" applyFont="1" applyBorder="1"/>
    <xf numFmtId="0" fontId="14" fillId="0" borderId="1" xfId="0" applyFont="1" applyFill="1" applyBorder="1" applyAlignment="1">
      <alignment horizontal="center"/>
    </xf>
    <xf numFmtId="166" fontId="14" fillId="0" borderId="1" xfId="1" applyNumberFormat="1" applyFont="1" applyFill="1" applyBorder="1" applyAlignment="1">
      <alignment horizontal="center"/>
    </xf>
    <xf numFmtId="165" fontId="14" fillId="0" borderId="1" xfId="1" applyFont="1" applyFill="1" applyBorder="1" applyAlignment="1">
      <alignment horizontal="center"/>
    </xf>
    <xf numFmtId="0" fontId="2" fillId="0" borderId="0" xfId="0" applyFont="1" applyFill="1"/>
    <xf numFmtId="166" fontId="9" fillId="0" borderId="1" xfId="1" applyNumberFormat="1" applyFont="1" applyBorder="1" applyAlignment="1">
      <alignment horizontal="center"/>
    </xf>
    <xf numFmtId="14" fontId="9" fillId="0" borderId="1" xfId="0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14" fillId="3" borderId="1" xfId="0" applyNumberFormat="1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165" fontId="14" fillId="3" borderId="1" xfId="1" applyFont="1" applyFill="1" applyBorder="1" applyAlignment="1">
      <alignment horizontal="center"/>
    </xf>
    <xf numFmtId="14" fontId="0" fillId="3" borderId="8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3" borderId="1" xfId="1" applyNumberFormat="1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166" fontId="8" fillId="4" borderId="1" xfId="1" applyNumberFormat="1" applyFont="1" applyFill="1" applyBorder="1" applyAlignment="1">
      <alignment horizontal="center" vertical="center"/>
    </xf>
    <xf numFmtId="165" fontId="8" fillId="4" borderId="1" xfId="1" applyNumberFormat="1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166" fontId="8" fillId="4" borderId="3" xfId="1" applyNumberFormat="1" applyFont="1" applyFill="1" applyBorder="1" applyAlignment="1">
      <alignment horizontal="center" vertical="center"/>
    </xf>
    <xf numFmtId="165" fontId="8" fillId="4" borderId="3" xfId="1" applyNumberFormat="1" applyFont="1" applyFill="1" applyBorder="1" applyAlignment="1">
      <alignment horizontal="center" vertical="center"/>
    </xf>
    <xf numFmtId="165" fontId="0" fillId="3" borderId="1" xfId="1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5" fontId="9" fillId="0" borderId="1" xfId="1" applyFont="1" applyFill="1" applyBorder="1" applyAlignment="1">
      <alignment horizontal="center"/>
    </xf>
    <xf numFmtId="165" fontId="0" fillId="3" borderId="2" xfId="0" applyNumberFormat="1" applyFont="1" applyFill="1" applyBorder="1" applyAlignment="1">
      <alignment horizontal="center"/>
    </xf>
    <xf numFmtId="166" fontId="0" fillId="3" borderId="2" xfId="0" applyNumberFormat="1" applyFont="1" applyFill="1" applyBorder="1" applyAlignment="1">
      <alignment horizontal="center"/>
    </xf>
    <xf numFmtId="166" fontId="0" fillId="0" borderId="10" xfId="0" applyNumberFormat="1" applyFont="1" applyBorder="1"/>
    <xf numFmtId="14" fontId="0" fillId="3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4" fontId="9" fillId="3" borderId="8" xfId="0" applyNumberFormat="1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0" borderId="2" xfId="0" applyFont="1" applyBorder="1"/>
    <xf numFmtId="165" fontId="9" fillId="3" borderId="2" xfId="1" applyFont="1" applyFill="1" applyBorder="1" applyAlignment="1">
      <alignment horizontal="center"/>
    </xf>
    <xf numFmtId="166" fontId="9" fillId="0" borderId="2" xfId="1" applyNumberFormat="1" applyFont="1" applyBorder="1"/>
    <xf numFmtId="0" fontId="0" fillId="0" borderId="2" xfId="0" applyFill="1" applyBorder="1" applyAlignment="1">
      <alignment horizontal="center"/>
    </xf>
    <xf numFmtId="165" fontId="0" fillId="0" borderId="2" xfId="1" applyFont="1" applyFill="1" applyBorder="1" applyAlignment="1">
      <alignment horizontal="center"/>
    </xf>
    <xf numFmtId="166" fontId="0" fillId="0" borderId="10" xfId="1" applyNumberFormat="1" applyFont="1" applyFill="1" applyBorder="1"/>
    <xf numFmtId="14" fontId="0" fillId="0" borderId="1" xfId="0" applyNumberFormat="1" applyBorder="1" applyAlignment="1">
      <alignment horizontal="left"/>
    </xf>
    <xf numFmtId="166" fontId="13" fillId="2" borderId="5" xfId="1" applyNumberFormat="1" applyFont="1" applyFill="1" applyBorder="1"/>
    <xf numFmtId="14" fontId="0" fillId="0" borderId="1" xfId="0" applyNumberFormat="1" applyFill="1" applyBorder="1"/>
    <xf numFmtId="0" fontId="0" fillId="0" borderId="1" xfId="0" applyFill="1" applyBorder="1"/>
    <xf numFmtId="14" fontId="14" fillId="0" borderId="7" xfId="0" applyNumberFormat="1" applyFont="1" applyFill="1" applyBorder="1" applyAlignment="1">
      <alignment horizontal="center"/>
    </xf>
    <xf numFmtId="14" fontId="0" fillId="0" borderId="7" xfId="0" applyNumberFormat="1" applyFill="1" applyBorder="1" applyAlignment="1">
      <alignment horizontal="center"/>
    </xf>
    <xf numFmtId="14" fontId="0" fillId="0" borderId="8" xfId="0" applyNumberFormat="1" applyFill="1" applyBorder="1" applyAlignment="1">
      <alignment horizontal="center"/>
    </xf>
    <xf numFmtId="14" fontId="9" fillId="0" borderId="7" xfId="0" applyNumberFormat="1" applyFont="1" applyFill="1" applyBorder="1" applyAlignment="1">
      <alignment horizontal="center"/>
    </xf>
    <xf numFmtId="166" fontId="9" fillId="0" borderId="1" xfId="1" applyNumberFormat="1" applyFont="1" applyFill="1" applyBorder="1" applyAlignment="1">
      <alignment horizontal="center"/>
    </xf>
    <xf numFmtId="166" fontId="9" fillId="0" borderId="3" xfId="1" applyNumberFormat="1" applyFont="1" applyFill="1" applyBorder="1" applyAlignment="1">
      <alignment horizontal="center"/>
    </xf>
    <xf numFmtId="166" fontId="9" fillId="0" borderId="5" xfId="1" applyNumberFormat="1" applyFont="1" applyFill="1" applyBorder="1"/>
    <xf numFmtId="14" fontId="9" fillId="0" borderId="8" xfId="0" applyNumberFormat="1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165" fontId="9" fillId="0" borderId="2" xfId="1" applyFont="1" applyFill="1" applyBorder="1" applyAlignment="1">
      <alignment horizontal="center"/>
    </xf>
    <xf numFmtId="166" fontId="9" fillId="0" borderId="2" xfId="1" applyNumberFormat="1" applyFont="1" applyFill="1" applyBorder="1" applyAlignment="1">
      <alignment horizontal="center"/>
    </xf>
    <xf numFmtId="166" fontId="9" fillId="0" borderId="10" xfId="1" applyNumberFormat="1" applyFont="1" applyFill="1" applyBorder="1"/>
    <xf numFmtId="0" fontId="9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9" fillId="0" borderId="5" xfId="0" applyNumberFormat="1" applyFont="1" applyFill="1" applyBorder="1"/>
    <xf numFmtId="0" fontId="9" fillId="0" borderId="1" xfId="0" applyFont="1" applyFill="1" applyBorder="1"/>
    <xf numFmtId="166" fontId="9" fillId="0" borderId="1" xfId="1" applyNumberFormat="1" applyFont="1" applyFill="1" applyBorder="1"/>
    <xf numFmtId="0" fontId="9" fillId="0" borderId="3" xfId="0" applyFont="1" applyFill="1" applyBorder="1" applyAlignment="1">
      <alignment horizontal="center"/>
    </xf>
    <xf numFmtId="165" fontId="9" fillId="0" borderId="3" xfId="1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0" fillId="0" borderId="2" xfId="0" applyFill="1" applyBorder="1"/>
    <xf numFmtId="165" fontId="0" fillId="0" borderId="10" xfId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9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66" fontId="9" fillId="0" borderId="3" xfId="1" applyNumberFormat="1" applyFont="1" applyFill="1" applyBorder="1" applyAlignment="1">
      <alignment horizontal="center" vertical="center"/>
    </xf>
    <xf numFmtId="165" fontId="9" fillId="0" borderId="3" xfId="1" applyFont="1" applyFill="1" applyBorder="1" applyAlignment="1">
      <alignment horizontal="center" vertical="center"/>
    </xf>
    <xf numFmtId="166" fontId="9" fillId="0" borderId="11" xfId="1" applyNumberFormat="1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66" fontId="8" fillId="0" borderId="4" xfId="1" applyNumberFormat="1" applyFont="1" applyFill="1" applyBorder="1" applyAlignment="1">
      <alignment horizontal="center" vertical="center"/>
    </xf>
    <xf numFmtId="166" fontId="8" fillId="0" borderId="13" xfId="1" applyNumberFormat="1" applyFont="1" applyFill="1" applyBorder="1" applyAlignment="1">
      <alignment horizontal="center" vertical="center"/>
    </xf>
    <xf numFmtId="164" fontId="9" fillId="0" borderId="3" xfId="1" applyNumberFormat="1" applyFont="1" applyFill="1" applyBorder="1" applyAlignment="1">
      <alignment horizontal="center"/>
    </xf>
    <xf numFmtId="165" fontId="9" fillId="0" borderId="1" xfId="1" applyNumberFormat="1" applyFont="1" applyFill="1" applyBorder="1" applyAlignment="1">
      <alignment horizontal="center"/>
    </xf>
    <xf numFmtId="164" fontId="9" fillId="0" borderId="1" xfId="1" applyNumberFormat="1" applyFont="1" applyFill="1" applyBorder="1" applyAlignment="1">
      <alignment horizontal="center"/>
    </xf>
    <xf numFmtId="164" fontId="9" fillId="0" borderId="2" xfId="1" applyNumberFormat="1" applyFont="1" applyFill="1" applyBorder="1" applyAlignment="1">
      <alignment horizontal="center"/>
    </xf>
    <xf numFmtId="165" fontId="8" fillId="0" borderId="4" xfId="1" applyFont="1" applyFill="1" applyBorder="1" applyAlignment="1">
      <alignment horizontal="center" vertical="center"/>
    </xf>
    <xf numFmtId="0" fontId="9" fillId="0" borderId="1" xfId="0" applyFont="1" applyBorder="1"/>
    <xf numFmtId="166" fontId="9" fillId="0" borderId="1" xfId="1" applyNumberFormat="1" applyFont="1" applyBorder="1"/>
    <xf numFmtId="0" fontId="8" fillId="0" borderId="0" xfId="0" applyFont="1" applyAlignment="1">
      <alignment horizontal="left"/>
    </xf>
    <xf numFmtId="166" fontId="8" fillId="0" borderId="0" xfId="1" applyNumberFormat="1" applyFont="1" applyAlignment="1">
      <alignment horizontal="left"/>
    </xf>
    <xf numFmtId="165" fontId="8" fillId="0" borderId="0" xfId="1" applyFont="1" applyAlignment="1">
      <alignment horizontal="left"/>
    </xf>
    <xf numFmtId="166" fontId="16" fillId="0" borderId="0" xfId="1" applyNumberFormat="1" applyFont="1" applyFill="1" applyBorder="1" applyAlignment="1" applyProtection="1">
      <alignment horizontal="left" vertical="top" wrapText="1"/>
    </xf>
    <xf numFmtId="166" fontId="9" fillId="0" borderId="0" xfId="1" applyNumberFormat="1" applyFont="1" applyAlignment="1">
      <alignment horizontal="left"/>
    </xf>
    <xf numFmtId="166" fontId="9" fillId="0" borderId="0" xfId="1" applyNumberFormat="1" applyFont="1"/>
    <xf numFmtId="14" fontId="9" fillId="0" borderId="2" xfId="0" applyNumberFormat="1" applyFont="1" applyFill="1" applyBorder="1" applyAlignment="1">
      <alignment horizontal="center"/>
    </xf>
    <xf numFmtId="165" fontId="9" fillId="0" borderId="2" xfId="0" applyNumberFormat="1" applyFont="1" applyFill="1" applyBorder="1" applyAlignment="1">
      <alignment horizontal="center"/>
    </xf>
    <xf numFmtId="164" fontId="9" fillId="0" borderId="2" xfId="0" applyNumberFormat="1" applyFont="1" applyFill="1" applyBorder="1" applyAlignment="1">
      <alignment horizontal="center"/>
    </xf>
    <xf numFmtId="166" fontId="9" fillId="0" borderId="2" xfId="0" applyNumberFormat="1" applyFont="1" applyFill="1" applyBorder="1" applyAlignment="1">
      <alignment horizontal="center"/>
    </xf>
    <xf numFmtId="166" fontId="9" fillId="0" borderId="0" xfId="1" applyNumberFormat="1" applyFont="1" applyFill="1"/>
    <xf numFmtId="0" fontId="8" fillId="0" borderId="1" xfId="0" applyFont="1" applyBorder="1"/>
    <xf numFmtId="166" fontId="8" fillId="0" borderId="1" xfId="1" applyNumberFormat="1" applyFont="1" applyBorder="1"/>
    <xf numFmtId="165" fontId="8" fillId="0" borderId="1" xfId="1" applyFont="1" applyBorder="1"/>
    <xf numFmtId="14" fontId="9" fillId="0" borderId="1" xfId="0" applyNumberFormat="1" applyFont="1" applyBorder="1"/>
    <xf numFmtId="0" fontId="9" fillId="0" borderId="1" xfId="0" applyFont="1" applyBorder="1" applyAlignment="1">
      <alignment horizontal="center"/>
    </xf>
    <xf numFmtId="166" fontId="9" fillId="0" borderId="1" xfId="1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8" fillId="0" borderId="9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66" fontId="8" fillId="0" borderId="3" xfId="1" applyNumberFormat="1" applyFont="1" applyFill="1" applyBorder="1" applyAlignment="1">
      <alignment horizontal="center" vertical="center"/>
    </xf>
    <xf numFmtId="165" fontId="8" fillId="0" borderId="3" xfId="1" applyFont="1" applyFill="1" applyBorder="1" applyAlignment="1">
      <alignment horizontal="center" vertical="center"/>
    </xf>
    <xf numFmtId="166" fontId="8" fillId="0" borderId="11" xfId="1" applyNumberFormat="1" applyFont="1" applyFill="1" applyBorder="1" applyAlignment="1">
      <alignment horizontal="center" vertical="center"/>
    </xf>
    <xf numFmtId="14" fontId="9" fillId="0" borderId="1" xfId="4" applyNumberFormat="1" applyFont="1" applyFill="1" applyBorder="1" applyAlignment="1">
      <alignment horizontal="center"/>
    </xf>
    <xf numFmtId="0" fontId="9" fillId="0" borderId="1" xfId="2" applyFont="1" applyFill="1" applyBorder="1" applyAlignment="1">
      <alignment horizontal="center"/>
    </xf>
    <xf numFmtId="166" fontId="9" fillId="0" borderId="1" xfId="4" applyNumberFormat="1" applyFont="1" applyFill="1" applyBorder="1" applyAlignment="1">
      <alignment horizontal="center"/>
    </xf>
    <xf numFmtId="165" fontId="16" fillId="0" borderId="0" xfId="1" applyFont="1" applyFill="1" applyBorder="1" applyAlignment="1" applyProtection="1">
      <alignment horizontal="left" vertical="top" wrapText="1"/>
    </xf>
    <xf numFmtId="0" fontId="10" fillId="0" borderId="0" xfId="0" applyFont="1" applyAlignment="1">
      <alignment horizontal="right"/>
    </xf>
    <xf numFmtId="165" fontId="9" fillId="0" borderId="0" xfId="1" applyFont="1"/>
    <xf numFmtId="166" fontId="9" fillId="0" borderId="3" xfId="4" applyNumberFormat="1" applyFont="1" applyFill="1" applyBorder="1" applyAlignment="1">
      <alignment horizontal="center"/>
    </xf>
    <xf numFmtId="166" fontId="8" fillId="0" borderId="1" xfId="1" applyNumberFormat="1" applyFont="1" applyFill="1" applyBorder="1" applyAlignment="1">
      <alignment horizontal="center"/>
    </xf>
    <xf numFmtId="165" fontId="9" fillId="0" borderId="0" xfId="1" applyFont="1" applyFill="1"/>
    <xf numFmtId="165" fontId="8" fillId="0" borderId="1" xfId="1" applyFont="1" applyFill="1" applyBorder="1"/>
    <xf numFmtId="166" fontId="8" fillId="0" borderId="1" xfId="1" applyNumberFormat="1" applyFont="1" applyFill="1" applyBorder="1"/>
    <xf numFmtId="166" fontId="8" fillId="0" borderId="0" xfId="1" applyNumberFormat="1" applyFont="1" applyFill="1"/>
    <xf numFmtId="165" fontId="8" fillId="0" borderId="0" xfId="1" applyFont="1" applyFill="1"/>
    <xf numFmtId="14" fontId="9" fillId="0" borderId="1" xfId="0" applyNumberFormat="1" applyFont="1" applyFill="1" applyBorder="1"/>
    <xf numFmtId="0" fontId="9" fillId="0" borderId="7" xfId="0" applyFont="1" applyFill="1" applyBorder="1" applyAlignment="1">
      <alignment horizontal="center"/>
    </xf>
    <xf numFmtId="166" fontId="9" fillId="0" borderId="1" xfId="1" applyNumberFormat="1" applyFont="1" applyFill="1" applyBorder="1" applyAlignment="1">
      <alignment horizontal="center"/>
    </xf>
    <xf numFmtId="165" fontId="9" fillId="0" borderId="5" xfId="1" applyFont="1" applyFill="1" applyBorder="1"/>
    <xf numFmtId="0" fontId="9" fillId="0" borderId="6" xfId="0" applyFont="1" applyFill="1" applyBorder="1"/>
    <xf numFmtId="0" fontId="9" fillId="0" borderId="6" xfId="0" applyFont="1" applyBorder="1" applyAlignment="1">
      <alignment horizontal="center"/>
    </xf>
    <xf numFmtId="166" fontId="8" fillId="0" borderId="0" xfId="1" applyNumberFormat="1" applyFont="1"/>
    <xf numFmtId="0" fontId="18" fillId="0" borderId="0" xfId="0" applyFont="1"/>
    <xf numFmtId="165" fontId="9" fillId="0" borderId="2" xfId="1" applyNumberFormat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14" fontId="9" fillId="3" borderId="7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165" fontId="9" fillId="3" borderId="1" xfId="1" applyFont="1" applyFill="1" applyBorder="1" applyAlignment="1">
      <alignment horizontal="center"/>
    </xf>
    <xf numFmtId="0" fontId="8" fillId="0" borderId="0" xfId="0" applyFont="1" applyFill="1" applyAlignment="1">
      <alignment horizontal="left"/>
    </xf>
    <xf numFmtId="166" fontId="8" fillId="0" borderId="0" xfId="1" applyNumberFormat="1" applyFont="1" applyFill="1" applyAlignment="1">
      <alignment horizontal="left"/>
    </xf>
    <xf numFmtId="165" fontId="8" fillId="0" borderId="0" xfId="1" applyFont="1" applyFill="1" applyAlignment="1">
      <alignment horizontal="left"/>
    </xf>
    <xf numFmtId="166" fontId="9" fillId="0" borderId="0" xfId="1" applyNumberFormat="1" applyFont="1" applyFill="1" applyAlignment="1">
      <alignment horizontal="left"/>
    </xf>
    <xf numFmtId="0" fontId="18" fillId="0" borderId="0" xfId="0" applyFont="1" applyFill="1" applyAlignment="1">
      <alignment horizontal="center"/>
    </xf>
    <xf numFmtId="165" fontId="8" fillId="0" borderId="3" xfId="1" applyNumberFormat="1" applyFont="1" applyFill="1" applyBorder="1" applyAlignment="1">
      <alignment horizontal="center" vertical="center"/>
    </xf>
    <xf numFmtId="0" fontId="9" fillId="0" borderId="2" xfId="0" applyFont="1" applyFill="1" applyBorder="1"/>
    <xf numFmtId="0" fontId="8" fillId="0" borderId="0" xfId="0" applyFont="1" applyAlignment="1">
      <alignment horizontal="center"/>
    </xf>
    <xf numFmtId="166" fontId="8" fillId="0" borderId="0" xfId="1" applyNumberFormat="1" applyFont="1" applyAlignment="1">
      <alignment horizontal="center"/>
    </xf>
    <xf numFmtId="165" fontId="8" fillId="0" borderId="0" xfId="1" applyFont="1" applyAlignment="1">
      <alignment horizontal="center"/>
    </xf>
    <xf numFmtId="0" fontId="9" fillId="0" borderId="0" xfId="0" applyFont="1" applyAlignment="1">
      <alignment horizontal="center"/>
    </xf>
    <xf numFmtId="166" fontId="9" fillId="0" borderId="0" xfId="1" applyNumberFormat="1" applyFont="1" applyAlignment="1">
      <alignment horizontal="center"/>
    </xf>
    <xf numFmtId="165" fontId="9" fillId="0" borderId="0" xfId="1" applyFont="1" applyAlignment="1">
      <alignment horizontal="center"/>
    </xf>
    <xf numFmtId="166" fontId="19" fillId="0" borderId="11" xfId="1" applyNumberFormat="1" applyFont="1" applyFill="1" applyBorder="1"/>
    <xf numFmtId="166" fontId="19" fillId="0" borderId="5" xfId="1" applyNumberFormat="1" applyFont="1" applyFill="1" applyBorder="1"/>
    <xf numFmtId="166" fontId="19" fillId="0" borderId="10" xfId="1" applyNumberFormat="1" applyFont="1" applyFill="1" applyBorder="1"/>
    <xf numFmtId="165" fontId="19" fillId="0" borderId="1" xfId="1" applyNumberFormat="1" applyFont="1" applyFill="1" applyBorder="1" applyAlignment="1">
      <alignment horizontal="center"/>
    </xf>
    <xf numFmtId="165" fontId="19" fillId="0" borderId="1" xfId="1" applyFont="1" applyFill="1" applyBorder="1" applyAlignment="1">
      <alignment horizontal="center"/>
    </xf>
    <xf numFmtId="166" fontId="19" fillId="0" borderId="1" xfId="1" applyNumberFormat="1" applyFont="1" applyFill="1" applyBorder="1" applyAlignment="1">
      <alignment horizontal="center"/>
    </xf>
    <xf numFmtId="14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66" fontId="9" fillId="0" borderId="0" xfId="1" applyNumberFormat="1" applyFont="1" applyFill="1" applyBorder="1" applyAlignment="1">
      <alignment horizontal="center"/>
    </xf>
    <xf numFmtId="165" fontId="19" fillId="0" borderId="0" xfId="1" applyNumberFormat="1" applyFont="1" applyFill="1" applyBorder="1" applyAlignment="1">
      <alignment horizontal="center"/>
    </xf>
    <xf numFmtId="165" fontId="19" fillId="0" borderId="0" xfId="1" applyFont="1" applyFill="1" applyBorder="1" applyAlignment="1">
      <alignment horizontal="center"/>
    </xf>
    <xf numFmtId="166" fontId="19" fillId="0" borderId="0" xfId="1" applyNumberFormat="1" applyFont="1" applyFill="1" applyBorder="1"/>
    <xf numFmtId="166" fontId="19" fillId="0" borderId="0" xfId="1" applyNumberFormat="1" applyFont="1" applyFill="1" applyBorder="1" applyAlignment="1">
      <alignment horizontal="center"/>
    </xf>
    <xf numFmtId="0" fontId="8" fillId="0" borderId="0" xfId="0" applyFont="1"/>
    <xf numFmtId="166" fontId="8" fillId="0" borderId="0" xfId="0" applyNumberFormat="1" applyFont="1"/>
    <xf numFmtId="166" fontId="9" fillId="0" borderId="5" xfId="1" applyNumberFormat="1" applyFont="1" applyBorder="1"/>
    <xf numFmtId="14" fontId="9" fillId="0" borderId="1" xfId="0" applyNumberFormat="1" applyFont="1" applyBorder="1" applyAlignment="1">
      <alignment horizontal="center"/>
    </xf>
    <xf numFmtId="14" fontId="9" fillId="0" borderId="2" xfId="0" applyNumberFormat="1" applyFont="1" applyBorder="1"/>
    <xf numFmtId="166" fontId="9" fillId="0" borderId="10" xfId="1" applyNumberFormat="1" applyFont="1" applyBorder="1"/>
    <xf numFmtId="166" fontId="9" fillId="0" borderId="0" xfId="0" applyNumberFormat="1" applyFont="1"/>
    <xf numFmtId="14" fontId="9" fillId="0" borderId="0" xfId="0" applyNumberFormat="1" applyFont="1" applyAlignment="1">
      <alignment horizontal="center"/>
    </xf>
    <xf numFmtId="0" fontId="9" fillId="0" borderId="5" xfId="0" applyFont="1" applyBorder="1"/>
    <xf numFmtId="166" fontId="9" fillId="0" borderId="7" xfId="0" applyNumberFormat="1" applyFont="1" applyBorder="1" applyAlignment="1">
      <alignment horizontal="center"/>
    </xf>
    <xf numFmtId="166" fontId="8" fillId="0" borderId="0" xfId="0" applyNumberFormat="1" applyFont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166" fontId="9" fillId="0" borderId="2" xfId="1" applyNumberFormat="1" applyFont="1" applyFill="1" applyBorder="1"/>
    <xf numFmtId="166" fontId="8" fillId="0" borderId="2" xfId="1" applyNumberFormat="1" applyFont="1" applyFill="1" applyBorder="1"/>
    <xf numFmtId="166" fontId="8" fillId="0" borderId="10" xfId="1" applyNumberFormat="1" applyFont="1" applyFill="1" applyBorder="1"/>
    <xf numFmtId="0" fontId="8" fillId="0" borderId="0" xfId="0" applyFont="1" applyBorder="1" applyAlignment="1">
      <alignment horizontal="center"/>
    </xf>
    <xf numFmtId="165" fontId="8" fillId="0" borderId="0" xfId="1" applyFont="1" applyBorder="1"/>
    <xf numFmtId="166" fontId="8" fillId="0" borderId="0" xfId="1" applyNumberFormat="1" applyFont="1" applyBorder="1"/>
    <xf numFmtId="165" fontId="8" fillId="0" borderId="0" xfId="1" applyFont="1"/>
    <xf numFmtId="14" fontId="8" fillId="0" borderId="0" xfId="0" applyNumberFormat="1" applyFont="1"/>
    <xf numFmtId="166" fontId="9" fillId="0" borderId="1" xfId="0" applyNumberFormat="1" applyFont="1" applyBorder="1" applyAlignment="1">
      <alignment horizontal="center"/>
    </xf>
    <xf numFmtId="165" fontId="9" fillId="0" borderId="5" xfId="1" applyFont="1" applyFill="1" applyBorder="1" applyAlignment="1">
      <alignment horizontal="center"/>
    </xf>
    <xf numFmtId="166" fontId="19" fillId="0" borderId="5" xfId="1" applyNumberFormat="1" applyFont="1" applyFill="1" applyBorder="1" applyAlignment="1">
      <alignment horizontal="center"/>
    </xf>
    <xf numFmtId="0" fontId="8" fillId="0" borderId="8" xfId="0" applyFont="1" applyFill="1" applyBorder="1"/>
    <xf numFmtId="0" fontId="8" fillId="0" borderId="2" xfId="0" applyFont="1" applyFill="1" applyBorder="1"/>
    <xf numFmtId="165" fontId="8" fillId="0" borderId="2" xfId="0" applyNumberFormat="1" applyFont="1" applyFill="1" applyBorder="1"/>
    <xf numFmtId="165" fontId="19" fillId="0" borderId="2" xfId="1" applyNumberFormat="1" applyFont="1" applyFill="1" applyBorder="1" applyAlignment="1">
      <alignment horizontal="center"/>
    </xf>
    <xf numFmtId="165" fontId="19" fillId="0" borderId="2" xfId="1" applyFont="1" applyFill="1" applyBorder="1" applyAlignment="1">
      <alignment horizontal="center"/>
    </xf>
    <xf numFmtId="166" fontId="9" fillId="0" borderId="2" xfId="0" applyNumberFormat="1" applyFont="1" applyFill="1" applyBorder="1"/>
    <xf numFmtId="166" fontId="9" fillId="0" borderId="0" xfId="0" applyNumberFormat="1" applyFont="1" applyFill="1"/>
    <xf numFmtId="0" fontId="8" fillId="0" borderId="1" xfId="0" applyFont="1" applyFill="1" applyBorder="1"/>
    <xf numFmtId="0" fontId="8" fillId="0" borderId="0" xfId="0" applyFont="1" applyFill="1" applyAlignment="1">
      <alignment horizontal="center"/>
    </xf>
    <xf numFmtId="166" fontId="9" fillId="0" borderId="1" xfId="0" applyNumberFormat="1" applyFont="1" applyFill="1" applyBorder="1" applyAlignment="1">
      <alignment horizontal="center"/>
    </xf>
    <xf numFmtId="166" fontId="8" fillId="0" borderId="0" xfId="0" applyNumberFormat="1" applyFont="1" applyFill="1"/>
    <xf numFmtId="165" fontId="9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/>
    <xf numFmtId="0" fontId="9" fillId="0" borderId="5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166" fontId="9" fillId="0" borderId="1" xfId="0" applyNumberFormat="1" applyFont="1" applyFill="1" applyBorder="1"/>
    <xf numFmtId="0" fontId="9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" xfId="0" applyFont="1" applyBorder="1" applyAlignment="1"/>
    <xf numFmtId="166" fontId="8" fillId="0" borderId="1" xfId="0" applyNumberFormat="1" applyFont="1" applyBorder="1"/>
    <xf numFmtId="166" fontId="9" fillId="0" borderId="1" xfId="1" applyNumberFormat="1" applyFont="1" applyFill="1" applyBorder="1" applyAlignment="1">
      <alignment horizontal="center"/>
    </xf>
    <xf numFmtId="167" fontId="8" fillId="0" borderId="3" xfId="1" applyNumberFormat="1" applyFont="1" applyBorder="1" applyAlignment="1">
      <alignment horizontal="center" vertical="center"/>
    </xf>
    <xf numFmtId="167" fontId="0" fillId="0" borderId="1" xfId="1" applyNumberFormat="1" applyFont="1" applyBorder="1"/>
    <xf numFmtId="167" fontId="9" fillId="0" borderId="2" xfId="0" applyNumberFormat="1" applyFont="1" applyFill="1" applyBorder="1"/>
    <xf numFmtId="166" fontId="9" fillId="2" borderId="1" xfId="1" applyNumberFormat="1" applyFont="1" applyFill="1" applyBorder="1" applyAlignment="1">
      <alignment horizontal="center"/>
    </xf>
    <xf numFmtId="166" fontId="0" fillId="0" borderId="1" xfId="0" applyNumberFormat="1" applyBorder="1"/>
    <xf numFmtId="166" fontId="9" fillId="0" borderId="1" xfId="1" applyNumberFormat="1" applyFont="1" applyFill="1" applyBorder="1" applyAlignment="1">
      <alignment horizontal="center"/>
    </xf>
    <xf numFmtId="166" fontId="2" fillId="3" borderId="1" xfId="1" applyNumberFormat="1" applyFont="1" applyFill="1" applyBorder="1" applyAlignment="1">
      <alignment horizontal="center"/>
    </xf>
    <xf numFmtId="164" fontId="9" fillId="2" borderId="1" xfId="1" applyNumberFormat="1" applyFont="1" applyFill="1" applyBorder="1" applyAlignment="1">
      <alignment horizontal="center"/>
    </xf>
    <xf numFmtId="166" fontId="9" fillId="3" borderId="3" xfId="1" applyNumberFormat="1" applyFont="1" applyFill="1" applyBorder="1" applyAlignment="1">
      <alignment horizontal="center"/>
    </xf>
    <xf numFmtId="166" fontId="9" fillId="3" borderId="1" xfId="1" applyNumberFormat="1" applyFont="1" applyFill="1" applyBorder="1" applyAlignment="1">
      <alignment horizontal="center"/>
    </xf>
    <xf numFmtId="166" fontId="9" fillId="3" borderId="2" xfId="1" applyNumberFormat="1" applyFont="1" applyFill="1" applyBorder="1" applyAlignment="1">
      <alignment horizontal="center"/>
    </xf>
    <xf numFmtId="165" fontId="9" fillId="2" borderId="1" xfId="1" applyFont="1" applyFill="1" applyBorder="1" applyAlignment="1">
      <alignment horizontal="center"/>
    </xf>
    <xf numFmtId="166" fontId="0" fillId="2" borderId="1" xfId="1" applyNumberFormat="1" applyFont="1" applyFill="1" applyBorder="1" applyAlignment="1">
      <alignment horizontal="center"/>
    </xf>
    <xf numFmtId="166" fontId="9" fillId="0" borderId="1" xfId="1" applyNumberFormat="1" applyFont="1" applyFill="1" applyBorder="1" applyAlignment="1">
      <alignment horizontal="center"/>
    </xf>
    <xf numFmtId="14" fontId="19" fillId="0" borderId="2" xfId="0" applyNumberFormat="1" applyFont="1" applyFill="1" applyBorder="1" applyAlignment="1">
      <alignment horizontal="center"/>
    </xf>
    <xf numFmtId="0" fontId="19" fillId="0" borderId="2" xfId="0" applyFont="1" applyFill="1" applyBorder="1" applyAlignment="1">
      <alignment horizontal="center"/>
    </xf>
    <xf numFmtId="165" fontId="19" fillId="0" borderId="2" xfId="0" applyNumberFormat="1" applyFont="1" applyFill="1" applyBorder="1" applyAlignment="1">
      <alignment horizontal="center"/>
    </xf>
    <xf numFmtId="164" fontId="19" fillId="0" borderId="2" xfId="0" applyNumberFormat="1" applyFont="1" applyFill="1" applyBorder="1" applyAlignment="1">
      <alignment horizontal="center"/>
    </xf>
    <xf numFmtId="166" fontId="19" fillId="0" borderId="2" xfId="0" applyNumberFormat="1" applyFont="1" applyFill="1" applyBorder="1" applyAlignment="1">
      <alignment horizontal="center"/>
    </xf>
    <xf numFmtId="166" fontId="9" fillId="0" borderId="1" xfId="1" applyNumberFormat="1" applyFont="1" applyFill="1" applyBorder="1" applyAlignment="1">
      <alignment horizontal="center"/>
    </xf>
    <xf numFmtId="165" fontId="13" fillId="0" borderId="2" xfId="0" applyNumberFormat="1" applyFont="1" applyFill="1" applyBorder="1" applyAlignment="1">
      <alignment horizontal="center"/>
    </xf>
    <xf numFmtId="166" fontId="13" fillId="0" borderId="2" xfId="0" applyNumberFormat="1" applyFont="1" applyFill="1" applyBorder="1" applyAlignment="1">
      <alignment horizontal="center"/>
    </xf>
    <xf numFmtId="166" fontId="19" fillId="0" borderId="2" xfId="0" applyNumberFormat="1" applyFont="1" applyFill="1" applyBorder="1"/>
    <xf numFmtId="166" fontId="22" fillId="0" borderId="4" xfId="1" applyNumberFormat="1" applyFont="1" applyFill="1" applyBorder="1" applyAlignment="1">
      <alignment horizontal="center" vertical="center"/>
    </xf>
    <xf numFmtId="166" fontId="19" fillId="0" borderId="0" xfId="0" applyNumberFormat="1" applyFont="1" applyFill="1"/>
    <xf numFmtId="166" fontId="9" fillId="2" borderId="1" xfId="1" applyNumberFormat="1" applyFont="1" applyFill="1" applyBorder="1"/>
    <xf numFmtId="14" fontId="19" fillId="0" borderId="8" xfId="0" applyNumberFormat="1" applyFont="1" applyFill="1" applyBorder="1" applyAlignment="1">
      <alignment horizontal="center"/>
    </xf>
    <xf numFmtId="165" fontId="2" fillId="0" borderId="1" xfId="0" applyNumberFormat="1" applyFont="1" applyBorder="1"/>
    <xf numFmtId="166" fontId="19" fillId="0" borderId="10" xfId="0" applyNumberFormat="1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3" fillId="0" borderId="0" xfId="0" applyFont="1"/>
    <xf numFmtId="166" fontId="23" fillId="0" borderId="0" xfId="1" applyNumberFormat="1" applyFont="1"/>
    <xf numFmtId="0" fontId="6" fillId="0" borderId="0" xfId="0" applyFont="1" applyAlignment="1">
      <alignment horizontal="center"/>
    </xf>
    <xf numFmtId="165" fontId="4" fillId="0" borderId="0" xfId="1" applyFont="1" applyFill="1" applyBorder="1" applyAlignment="1" applyProtection="1">
      <alignment horizontal="center" vertical="top" wrapText="1"/>
    </xf>
    <xf numFmtId="165" fontId="2" fillId="0" borderId="0" xfId="1" applyFont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9" fillId="0" borderId="9" xfId="0" applyNumberFormat="1" applyFont="1" applyFill="1" applyBorder="1" applyAlignment="1">
      <alignment horizontal="center"/>
    </xf>
    <xf numFmtId="166" fontId="0" fillId="0" borderId="2" xfId="0" applyNumberFormat="1" applyFont="1" applyBorder="1"/>
    <xf numFmtId="166" fontId="8" fillId="0" borderId="5" xfId="1" applyNumberFormat="1" applyFont="1" applyBorder="1" applyAlignment="1">
      <alignment horizontal="center"/>
    </xf>
    <xf numFmtId="166" fontId="8" fillId="0" borderId="6" xfId="1" applyNumberFormat="1" applyFont="1" applyBorder="1" applyAlignment="1">
      <alignment horizontal="center"/>
    </xf>
    <xf numFmtId="166" fontId="8" fillId="0" borderId="7" xfId="1" applyNumberFormat="1" applyFont="1" applyBorder="1" applyAlignment="1">
      <alignment horizontal="center"/>
    </xf>
    <xf numFmtId="165" fontId="9" fillId="0" borderId="5" xfId="1" applyFont="1" applyBorder="1" applyAlignment="1">
      <alignment horizontal="center"/>
    </xf>
    <xf numFmtId="165" fontId="9" fillId="0" borderId="7" xfId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166" fontId="9" fillId="0" borderId="5" xfId="1" applyNumberFormat="1" applyFont="1" applyBorder="1" applyAlignment="1">
      <alignment horizontal="center"/>
    </xf>
    <xf numFmtId="166" fontId="9" fillId="0" borderId="6" xfId="1" applyNumberFormat="1" applyFont="1" applyBorder="1" applyAlignment="1">
      <alignment horizontal="center"/>
    </xf>
    <xf numFmtId="166" fontId="9" fillId="0" borderId="7" xfId="1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166" fontId="0" fillId="0" borderId="5" xfId="1" applyNumberFormat="1" applyFont="1" applyBorder="1" applyAlignment="1">
      <alignment horizontal="center"/>
    </xf>
    <xf numFmtId="166" fontId="0" fillId="0" borderId="6" xfId="1" applyNumberFormat="1" applyFont="1" applyBorder="1" applyAlignment="1">
      <alignment horizontal="center"/>
    </xf>
    <xf numFmtId="166" fontId="0" fillId="0" borderId="7" xfId="1" applyNumberFormat="1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9" fillId="0" borderId="5" xfId="0" applyFont="1" applyBorder="1" applyAlignment="1"/>
    <xf numFmtId="0" fontId="9" fillId="0" borderId="7" xfId="0" applyFont="1" applyBorder="1" applyAlignment="1"/>
    <xf numFmtId="0" fontId="8" fillId="0" borderId="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left"/>
    </xf>
    <xf numFmtId="0" fontId="9" fillId="0" borderId="7" xfId="0" applyFont="1" applyFill="1" applyBorder="1" applyAlignment="1">
      <alignment horizontal="left"/>
    </xf>
    <xf numFmtId="166" fontId="0" fillId="0" borderId="1" xfId="1" applyNumberFormat="1" applyFont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166" fontId="5" fillId="0" borderId="0" xfId="1" applyNumberFormat="1" applyFont="1" applyAlignment="1">
      <alignment horizontal="center" vertical="center"/>
    </xf>
    <xf numFmtId="0" fontId="9" fillId="0" borderId="5" xfId="0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166" fontId="8" fillId="0" borderId="15" xfId="0" applyNumberFormat="1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166" fontId="9" fillId="0" borderId="1" xfId="1" applyNumberFormat="1" applyFont="1" applyBorder="1" applyAlignment="1">
      <alignment horizontal="center"/>
    </xf>
    <xf numFmtId="166" fontId="9" fillId="0" borderId="15" xfId="0" applyNumberFormat="1" applyFont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166" fontId="9" fillId="0" borderId="1" xfId="1" applyNumberFormat="1" applyFont="1" applyFill="1" applyBorder="1" applyAlignment="1">
      <alignment horizontal="center"/>
    </xf>
    <xf numFmtId="166" fontId="9" fillId="0" borderId="5" xfId="1" applyNumberFormat="1" applyFont="1" applyFill="1" applyBorder="1" applyAlignment="1">
      <alignment horizontal="center"/>
    </xf>
    <xf numFmtId="166" fontId="9" fillId="0" borderId="7" xfId="1" applyNumberFormat="1" applyFont="1" applyFill="1" applyBorder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14" fontId="24" fillId="0" borderId="8" xfId="0" applyNumberFormat="1" applyFont="1" applyFill="1" applyBorder="1" applyAlignment="1">
      <alignment horizontal="center"/>
    </xf>
    <xf numFmtId="0" fontId="24" fillId="0" borderId="2" xfId="0" applyFont="1" applyFill="1" applyBorder="1" applyAlignment="1">
      <alignment horizontal="center"/>
    </xf>
    <xf numFmtId="0" fontId="24" fillId="0" borderId="2" xfId="0" applyFont="1" applyFill="1" applyBorder="1"/>
    <xf numFmtId="165" fontId="24" fillId="0" borderId="2" xfId="0" applyNumberFormat="1" applyFont="1" applyFill="1" applyBorder="1" applyAlignment="1">
      <alignment horizontal="center"/>
    </xf>
    <xf numFmtId="166" fontId="24" fillId="0" borderId="2" xfId="0" applyNumberFormat="1" applyFont="1" applyFill="1" applyBorder="1" applyAlignment="1">
      <alignment horizontal="center"/>
    </xf>
  </cellXfs>
  <cellStyles count="5">
    <cellStyle name="Comma" xfId="1" builtinId="3"/>
    <cellStyle name="Comma 2" xfId="4"/>
    <cellStyle name="Normal" xfId="0" builtinId="0"/>
    <cellStyle name="Normal 2" xfId="2"/>
    <cellStyle name="Normal 3" xfId="3"/>
  </cellStyles>
  <dxfs count="3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_(* #,##0.00_);_(* \(#,##0.0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_(* #,##0.00_);_(* \(#,##0.0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8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numFmt numFmtId="166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_(* #,##0.00_);_(* \(#,##0.0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_(* #,##0.00_);_(* \(#,##0.0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_(* #,##0.00_);_(* \(#,##0.00\);_(* &quot;-&quot;??_);_(@_)"/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numFmt numFmtId="168" formatCode="m/d/yyyy"/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color auto="1"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color auto="1"/>
      </font>
      <numFmt numFmtId="166" formatCode="_(* #,##0_);_(* \(#,##0\);_(* &quot;-&quot;??_);_(@_)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6" formatCode="_(* #,##0_);_(* \(#,##0\);_(* &quot;-&quot;??_);_(@_)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8" formatCode="m/d/yyyy"/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color auto="1"/>
      </font>
      <numFmt numFmtId="166" formatCode="_(* #,##0_);_(* \(#,##0\);_(* &quot;-&quot;??_);_(@_)"/>
      <fill>
        <patternFill patternType="none">
          <bgColor auto="1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6" formatCode="_(* #,##0_);_(* \(#,##0\);_(* &quot;-&quot;??_);_(@_)"/>
      <fill>
        <patternFill patternType="none"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m/d/yyyy"/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fill>
        <patternFill patternType="solid">
          <fgColor theme="6"/>
          <bgColor theme="6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numFmt numFmtId="166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numFmt numFmtId="166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(* #,##0_);_(* \(#,##0\);_(* &quot;-&quot;_);_(@_)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numFmt numFmtId="164" formatCode="_(* #,##0_);_(* \(#,##0\);_(* &quot;-&quot;_);_(@_)"/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_(* #,##0.00_);_(* \(#,##0.0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_(* #,##0.00_);_(* \(#,##0.0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numFmt numFmtId="168" formatCode="m/d/yyyy"/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color auto="1"/>
      </font>
      <numFmt numFmtId="166" formatCode="_(* #,##0_);_(* \(#,##0\);_(* &quot;-&quot;??_);_(@_)"/>
      <fill>
        <patternFill patternType="none">
          <fgColor indexed="64"/>
          <bgColor auto="1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6" formatCode="_(* #,##0_);_(* \(#,##0\);_(* &quot;-&quot;??_);_(@_)"/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numFmt numFmtId="166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numFmt numFmtId="166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(* #,##0_);_(* \(#,##0\);_(* &quot;-&quot;_);_(@_)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numFmt numFmtId="164" formatCode="_(* #,##0_);_(* \(#,##0\);_(* &quot;-&quot;_);_(@_)"/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_(* #,##0.00_);_(* \(#,##0.0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_(* #,##0.00_);_(* \(#,##0.0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numFmt numFmtId="165" formatCode="_(* #,##0.00_);_(* \(#,##0.00\);_(* &quot;-&quot;??_);_(@_)"/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numFmt numFmtId="168" formatCode="m/d/yyyy"/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6" formatCode="_(* #,##0_);_(* \(#,##0\);_(* &quot;-&quot;??_);_(@_)"/>
      <fill>
        <patternFill patternType="none">
          <fgColor indexed="64"/>
          <bgColor auto="1"/>
        </patternFill>
      </fill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color auto="1"/>
      </font>
      <numFmt numFmtId="166" formatCode="_(* #,##0_);_(* \(#,##0\);_(* &quot;-&quot;??_);_(@_)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numFmt numFmtId="166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numFmt numFmtId="166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(* #,##0_);_(* \(#,##0\);_(* &quot;-&quot;_);_(@_)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numFmt numFmtId="164" formatCode="_(* #,##0_);_(* \(#,##0\);_(* &quot;-&quot;_);_(@_)"/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_(* #,##0.00_);_(* \(#,##0.0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_(* #,##0.00_);_(* \(#,##0.0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_(* #,##0.00_);_(* \(#,##0.00\);_(* &quot;-&quot;??_);_(@_)"/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numFmt numFmtId="168" formatCode="m/d/yyyy"/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color auto="1"/>
      </font>
      <numFmt numFmtId="166" formatCode="_(* #,##0_);_(* \(#,##0\);_(* &quot;-&quot;??_);_(@_)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6" formatCode="_(* #,##0_);_(* \(#,##0\);_(* &quot;-&quot;??_);_(@_)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6" formatCode="_(* #,##0_);_(* \(#,##0\);_(* &quot;-&quot;??_);_(@_)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6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.00_);_(* \(#,##0.00\);_(* &quot;-&quot;??_);_(@_)"/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m/d/yyyy"/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168" formatCode="m/d/yyyy"/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_(* #,##0.00_);_(* \(#,##0.0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7" formatCode="_(* #,##0.0_);_(* \(#,##0.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m/d/yyyy"/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solid">
          <fgColor indexed="64"/>
          <bgColor theme="0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m/d/yyyy"/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.00_);_(* \(#,##0.0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m/d/yyyy"/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relativeIndent="255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color auto="1"/>
      </font>
      <numFmt numFmtId="166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numFmt numFmtId="166" formatCode="_(* #,##0_);_(* \(#,##0\);_(* &quot;-&quot;??_);_(@_)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numFmt numFmtId="166" formatCode="_(* #,##0_);_(* \(#,##0\);_(* &quot;-&quot;??_);_(@_)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_(* #,##0.00_);_(* \(#,##0.0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_(* #,##0.00_);_(* \(#,##0.0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_(* #,##0.00_);_(* \(#,##0.00\);_(* &quot;-&quot;??_);_(@_)"/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6" formatCode="_(* #,##0_);_(* \(#,##0\);_(* &quot;-&quot;??_);_(@_)"/>
      <fill>
        <patternFill patternType="none">
          <fgColor indexed="64"/>
          <bgColor auto="1"/>
        </patternFill>
      </fill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color auto="1"/>
      </font>
      <numFmt numFmtId="166" formatCode="_(* #,##0_);_(* \(#,##0\);_(* &quot;-&quot;??_);_(@_)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(* #,##0_);_(* \(#,##0\);_(* &quot;-&quot;_);_(@_)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(* #,##0_);_(* \(#,##0\);_(* &quot;-&quot;_);_(@_)"/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_(* #,##0.00_);_(* \(#,##0.0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_(* #,##0.00_);_(* \(#,##0.0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m/d/yyyy"/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6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8" formatCode="m/d/yyyy"/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6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6" formatCode="_(* #,##0_);_(* \(#,##0\);_(* &quot;-&quot;??_);_(@_)"/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_(* #,##0.00_);_(* \(#,##0.0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_(* #,##0.00_);_(* \(#,##0.0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_(* #,##0.00_);_(* \(#,##0.0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_(* #,##0.00_);_(* \(#,##0.0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numFmt numFmtId="168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6" formatCode="_(* #,##0_);_(* \(#,##0\);_(* &quot;-&quot;??_);_(@_)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0:K79" totalsRowCount="1" headerRowDxfId="368" dataDxfId="367" totalsRowDxfId="365" tableBorderDxfId="366" headerRowCellStyle="Comma">
  <autoFilter ref="A10:K78"/>
  <tableColumns count="11">
    <tableColumn id="1" name="NGÀY " dataDxfId="364" totalsRowDxfId="363"/>
    <tableColumn id="2" name="NỘI DUNG " dataDxfId="362" totalsRowDxfId="361"/>
    <tableColumn id="3" name="ĐIỂM ĐẾN " dataDxfId="360" totalsRowDxfId="359"/>
    <tableColumn id="4" name="ĐẤT " dataDxfId="358" totalsRowDxfId="357"/>
    <tableColumn id="5" name="ĐÁ " dataDxfId="356" totalsRowDxfId="355"/>
    <tableColumn id="6" name="KL" dataDxfId="354" totalsRowDxfId="353" dataCellStyle="Comma"/>
    <tableColumn id="7" name="M3 " dataDxfId="352" totalsRowDxfId="351" dataCellStyle="Comma"/>
    <tableColumn id="8" name="SỐ LƯỢNG " totalsRowFunction="sum" dataDxfId="350" totalsRowDxfId="349" dataCellStyle="Comma"/>
    <tableColumn id="9" name="ĐƠN GIÁ " dataDxfId="348" totalsRowDxfId="347" dataCellStyle="Comma"/>
    <tableColumn id="10" name="THÀNH TIỀN " totalsRowFunction="sum" dataDxfId="346" totalsRowDxfId="345" dataCellStyle="Comma">
      <calculatedColumnFormula>Table1[[#This Row],[ĐƠN GIÁ ]]*Table1[[#This Row],[SỐ LƯỢNG ]]</calculatedColumnFormula>
    </tableColumn>
    <tableColumn id="11" name="LTX" totalsRowFunction="sum" dataDxfId="344" totalsRowDxfId="343" dataCellStyle="Comma">
      <calculatedColumnFormula>Table1[[#This Row],[THÀNH TIỀN ]]*10%</calculatedColumnFormula>
    </tableColumn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5" name="Table5" displayName="Table5" ref="A10:K81" totalsRowCount="1" headerRowDxfId="164" dataDxfId="162" totalsRowDxfId="160" headerRowBorderDxfId="163" tableBorderDxfId="161" totalsRowBorderDxfId="159" headerRowCellStyle="Comma">
  <autoFilter ref="A10:K80"/>
  <tableColumns count="11">
    <tableColumn id="1" name="NGÀY " dataDxfId="158" totalsRowDxfId="157"/>
    <tableColumn id="2" name="TÀI XẾ" dataDxfId="156" totalsRowDxfId="155"/>
    <tableColumn id="3" name="NỘI DUNG " dataDxfId="154" totalsRowDxfId="153"/>
    <tableColumn id="4" name="ĐIỂM ĐẾN " dataDxfId="152" totalsRowDxfId="151"/>
    <tableColumn id="5" name="ĐẤT " dataDxfId="150" totalsRowDxfId="149"/>
    <tableColumn id="6" name="ĐÁ " dataDxfId="148" totalsRowDxfId="147"/>
    <tableColumn id="7" name="M3 " dataDxfId="146" totalsRowDxfId="145" dataCellStyle="Comma">
      <calculatedColumnFormula>K11/1600</calculatedColumnFormula>
    </tableColumn>
    <tableColumn id="8" name="SỐ LƯỢNG " totalsRowFunction="custom" dataDxfId="144" totalsRowDxfId="143" dataCellStyle="Comma">
      <totalsRowFormula>SUM(H11:H80)</totalsRowFormula>
    </tableColumn>
    <tableColumn id="9" name="ĐƠN GIÁ " dataDxfId="142" totalsRowDxfId="141" dataCellStyle="Comma"/>
    <tableColumn id="10" name="THÀNH TIỀN " totalsRowFunction="sum" dataDxfId="140" totalsRowDxfId="139" dataCellStyle="Comma">
      <calculatedColumnFormula>Table5[[#This Row],[ĐƠN GIÁ ]]*Table5[[#This Row],[SỐ LƯỢNG ]]</calculatedColumnFormula>
    </tableColumn>
    <tableColumn id="11" name="LTX" totalsRowFunction="sum" dataDxfId="138" totalsRowDxfId="137" dataCellStyle="Comma">
      <calculatedColumnFormula>+Table5[[#This Row],[THÀNH TIỀN ]]*10%</calculatedColumnFormula>
    </tableColumn>
  </tableColumns>
  <tableStyleInfo name="TableStyleLight11" showFirstColumn="0" showLastColumn="0" showRowStripes="1" showColumnStripes="0"/>
</table>
</file>

<file path=xl/tables/table11.xml><?xml version="1.0" encoding="utf-8"?>
<table xmlns="http://schemas.openxmlformats.org/spreadsheetml/2006/main" id="6" name="Table6" displayName="Table6" ref="A10:K88" totalsRowCount="1" headerRowDxfId="136" dataDxfId="135" totalsRowDxfId="133" tableBorderDxfId="134" headerRowCellStyle="Comma">
  <autoFilter ref="A10:K87"/>
  <tableColumns count="11">
    <tableColumn id="1" name="NGÀY " dataDxfId="132" totalsRowDxfId="131"/>
    <tableColumn id="2" name="TÀI XẾ" dataDxfId="130" totalsRowDxfId="129"/>
    <tableColumn id="3" name="NỘI DUNG " dataDxfId="128" totalsRowDxfId="127"/>
    <tableColumn id="4" name="ĐIỂM ĐẾN " dataDxfId="126" totalsRowDxfId="125"/>
    <tableColumn id="5" name="ĐẤT " dataDxfId="124" totalsRowDxfId="123"/>
    <tableColumn id="6" name="ĐÁ " dataDxfId="122" totalsRowDxfId="121"/>
    <tableColumn id="7" name="M3 " dataDxfId="120" totalsRowDxfId="119" dataCellStyle="Comma"/>
    <tableColumn id="8" name="SỐ LƯỢNG " totalsRowFunction="custom" dataDxfId="118" totalsRowDxfId="117" dataCellStyle="Comma">
      <totalsRowFormula>SUM(H11:H87)</totalsRowFormula>
    </tableColumn>
    <tableColumn id="9" name="ĐƠN GIÁ " dataDxfId="116" totalsRowDxfId="115" dataCellStyle="Comma"/>
    <tableColumn id="10" name="THÀNH TIỀN " totalsRowFunction="sum" dataDxfId="114" totalsRowDxfId="113" dataCellStyle="Comma">
      <calculatedColumnFormula>Table6[[#This Row],[ĐƠN GIÁ ]]*Table6[[#This Row],[SỐ LƯỢNG ]]</calculatedColumnFormula>
    </tableColumn>
    <tableColumn id="11" name="LTX" totalsRowFunction="sum" dataDxfId="112" totalsRowDxfId="111" dataCellStyle="Comma">
      <calculatedColumnFormula>+Table6[[#This Row],[THÀNH TIỀN ]]*10%</calculatedColumnFormula>
    </tableColumn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id="7" name="Table7" displayName="Table7" ref="A10:K76" totalsRowCount="1" headerRowDxfId="110" dataDxfId="108" totalsRowDxfId="106" headerRowBorderDxfId="109" tableBorderDxfId="107" totalsRowBorderDxfId="105" headerRowCellStyle="Comma">
  <autoFilter ref="A10:K75"/>
  <tableColumns count="11">
    <tableColumn id="1" name="NGÀY " dataDxfId="104" totalsRowDxfId="103"/>
    <tableColumn id="2" name="TÀI XẾ" dataDxfId="102" totalsRowDxfId="101"/>
    <tableColumn id="3" name="NỘI DUNG " dataDxfId="100" totalsRowDxfId="99"/>
    <tableColumn id="4" name="ĐIỂM ĐẾN " dataDxfId="98" totalsRowDxfId="97"/>
    <tableColumn id="5" name="ĐẤT " dataDxfId="96" totalsRowDxfId="95"/>
    <tableColumn id="6" name="ĐÁ " dataDxfId="94" totalsRowDxfId="93"/>
    <tableColumn id="7" name="M3 " dataDxfId="92" totalsRowDxfId="91" dataCellStyle="Comma"/>
    <tableColumn id="8" name="SỐ LƯỢNG " totalsRowFunction="custom" dataDxfId="90" totalsRowDxfId="89" dataCellStyle="Comma">
      <totalsRowFormula>SUM(H11:H75)</totalsRowFormula>
    </tableColumn>
    <tableColumn id="9" name="ĐƠN GIÁ " dataDxfId="88" totalsRowDxfId="87" dataCellStyle="Comma"/>
    <tableColumn id="10" name="THÀNH TIỀN " totalsRowFunction="sum" dataDxfId="86" totalsRowDxfId="85" dataCellStyle="Comma">
      <calculatedColumnFormula>Table7[[#This Row],[ĐƠN GIÁ ]]*Table7[[#This Row],[SỐ LƯỢNG ]]</calculatedColumnFormula>
    </tableColumn>
    <tableColumn id="11" name="LTX" totalsRowFunction="sum" dataDxfId="84" totalsRowDxfId="83" dataCellStyle="Comma">
      <calculatedColumnFormula>+Table7[[#This Row],[THÀNH TIỀN ]]*10%</calculatedColumnFormula>
    </tableColumn>
  </tableColumns>
  <tableStyleInfo name="TableStyleLight11" showFirstColumn="0" showLastColumn="0" showRowStripes="1" showColumnStripes="0"/>
</table>
</file>

<file path=xl/tables/table13.xml><?xml version="1.0" encoding="utf-8"?>
<table xmlns="http://schemas.openxmlformats.org/spreadsheetml/2006/main" id="10" name="Table10" displayName="Table10" ref="A11:J27" totalsRowCount="1" headerRowDxfId="82" dataDxfId="80" totalsRowDxfId="78" headerRowBorderDxfId="81" tableBorderDxfId="79" totalsRowBorderDxfId="77" headerRowCellStyle="Comma">
  <autoFilter ref="A11:J26"/>
  <tableColumns count="10">
    <tableColumn id="1" name="NGÀY " dataDxfId="76" totalsRowDxfId="75"/>
    <tableColumn id="2" name="TÀI XẾ" dataDxfId="74" totalsRowDxfId="73"/>
    <tableColumn id="3" name="NỘI DUNG " dataDxfId="72" totalsRowDxfId="71"/>
    <tableColumn id="4" name="ĐIỂM ĐẾN " dataDxfId="70" totalsRowDxfId="69"/>
    <tableColumn id="5" name="ĐẤT " dataDxfId="68" totalsRowDxfId="67"/>
    <tableColumn id="6" name="ĐÁ " dataDxfId="66" totalsRowDxfId="65"/>
    <tableColumn id="7" name="M3 " dataDxfId="64" totalsRowDxfId="63"/>
    <tableColumn id="8" name="SỐ LƯỢNG " totalsRowFunction="custom" dataDxfId="62" totalsRowDxfId="61" dataCellStyle="Comma">
      <totalsRowFormula>SUM(H12:H26)</totalsRowFormula>
    </tableColumn>
    <tableColumn id="9" name="ĐƠN GIÁ " dataDxfId="60" totalsRowDxfId="59" dataCellStyle="Comma"/>
    <tableColumn id="10" name="THÀNH TIỀN " totalsRowFunction="sum" dataDxfId="58" totalsRowDxfId="57" dataCellStyle="Comma">
      <calculatedColumnFormula>Table10[[#This Row],[ĐƠN GIÁ ]]*Table10[[#This Row],[SỐ LƯỢNG ]]</calculatedColumnFormula>
    </tableColumn>
  </tableColumns>
  <tableStyleInfo name="TableStyleLight11" showFirstColumn="0" showLastColumn="0" showRowStripes="1" showColumnStripes="0"/>
</table>
</file>

<file path=xl/tables/table14.xml><?xml version="1.0" encoding="utf-8"?>
<table xmlns="http://schemas.openxmlformats.org/spreadsheetml/2006/main" id="12" name="Table12" displayName="Table12" ref="A8:J38" totalsRowCount="1" headerRowDxfId="56" dataDxfId="54" totalsRowDxfId="52" headerRowBorderDxfId="55" tableBorderDxfId="53" totalsRowBorderDxfId="51" headerRowCellStyle="Comma">
  <autoFilter ref="A8:J37"/>
  <tableColumns count="10">
    <tableColumn id="1" name="NGÀY " dataDxfId="50" totalsRowDxfId="9"/>
    <tableColumn id="2" name="TÀI XẾ" dataDxfId="49" totalsRowDxfId="8"/>
    <tableColumn id="3" name="NỘI DUNG " dataDxfId="48" totalsRowDxfId="7"/>
    <tableColumn id="4" name="ĐIỂM ĐẾN " dataDxfId="47" totalsRowDxfId="6"/>
    <tableColumn id="5" name="ĐẤT " dataDxfId="46" totalsRowDxfId="5"/>
    <tableColumn id="6" name="ĐÁ " dataDxfId="45" totalsRowDxfId="4"/>
    <tableColumn id="7" name="M3 " dataDxfId="44" totalsRowDxfId="3" dataCellStyle="Comma"/>
    <tableColumn id="8" name="SỐ LƯỢNG " totalsRowFunction="custom" dataDxfId="43" totalsRowDxfId="2" dataCellStyle="Comma">
      <totalsRowFormula>SUM(H9:H37)</totalsRowFormula>
    </tableColumn>
    <tableColumn id="9" name="ĐƠN GIÁ " dataDxfId="42" totalsRowDxfId="1" dataCellStyle="Comma"/>
    <tableColumn id="10" name="THÀNH TIỀN " totalsRowFunction="custom" dataDxfId="41" totalsRowDxfId="0" dataCellStyle="Comma">
      <calculatedColumnFormula>+Table12[[#This Row],[ĐƠN GIÁ ]]*Table12[[#This Row],[SỐ LƯỢNG ]]</calculatedColumnFormula>
      <totalsRowFormula>SUM(J9:J37)</totalsRowFormula>
    </tableColumn>
  </tableColumns>
  <tableStyleInfo name="TableStyleLight10" showFirstColumn="0" showLastColumn="0" showRowStripes="1" showColumnStripes="0"/>
</table>
</file>

<file path=xl/tables/table15.xml><?xml version="1.0" encoding="utf-8"?>
<table xmlns="http://schemas.openxmlformats.org/spreadsheetml/2006/main" id="13" name="Table13" displayName="Table13" ref="A10:I47" totalsRowCount="1" headerRowDxfId="40" dataDxfId="38" totalsRowDxfId="36" headerRowBorderDxfId="39" tableBorderDxfId="37" totalsRowBorderDxfId="35" headerRowCellStyle="Comma">
  <autoFilter ref="A10:I46">
    <filterColumn colId="7">
      <filters blank="1"/>
    </filterColumn>
  </autoFilter>
  <tableColumns count="9">
    <tableColumn id="1" name="NGÀY " dataDxfId="34" totalsRowDxfId="33"/>
    <tableColumn id="2" name="TÀI XẾ" dataDxfId="32" totalsRowDxfId="31"/>
    <tableColumn id="3" name="NỘI DUNG " dataDxfId="30" totalsRowDxfId="29"/>
    <tableColumn id="4" name="ĐIỂM ĐẾN " dataDxfId="28" totalsRowDxfId="27"/>
    <tableColumn id="5" name="ĐẤT/ĐÁ " dataDxfId="26" totalsRowDxfId="25"/>
    <tableColumn id="6" name="M3 " dataDxfId="24" totalsRowDxfId="23" dataCellStyle="Comma"/>
    <tableColumn id="7" name="SỐ LƯỢNG " totalsRowFunction="custom" dataDxfId="22" totalsRowDxfId="21" dataCellStyle="Comma">
      <totalsRowFormula>SUM(G11:G46)</totalsRowFormula>
    </tableColumn>
    <tableColumn id="8" name="ĐƠN GIÁ " dataDxfId="20" totalsRowDxfId="19" dataCellStyle="Comma"/>
    <tableColumn id="9" name="THÀNH TIỀN " totalsRowFunction="sum" dataDxfId="18" totalsRowDxfId="17" dataCellStyle="Comma">
      <calculatedColumnFormula>+Table13[[#This Row],[SỐ LƯỢNG ]]*Table13[[#This Row],[ĐƠN GIÁ ]]</calculatedColumnFormula>
    </tableColumn>
  </tableColumns>
  <tableStyleInfo name="TableStyleLight11" showFirstColumn="0" showLastColumn="0" showRowStripes="1" showColumnStripes="0"/>
</table>
</file>

<file path=xl/tables/table16.xml><?xml version="1.0" encoding="utf-8"?>
<table xmlns="http://schemas.openxmlformats.org/spreadsheetml/2006/main" id="9" name="Table9" displayName="Table9" ref="B9:F164" totalsRowShown="0" headerRowBorderDxfId="16" tableBorderDxfId="15" totalsRowBorderDxfId="14">
  <autoFilter ref="B9:F164">
    <filterColumn colId="0">
      <filters>
        <filter val="3099."/>
      </filters>
    </filterColumn>
  </autoFilter>
  <sortState ref="B65:F78">
    <sortCondition ref="C9:C149"/>
  </sortState>
  <tableColumns count="5">
    <tableColumn id="1" name="TÊN XE" dataDxfId="13"/>
    <tableColumn id="2" name="NGÀY" dataDxfId="12"/>
    <tableColumn id="3" name="CHI TIẾT" dataDxfId="11"/>
    <tableColumn id="4" name="ĐƠN GIÁ" dataDxfId="10" dataCellStyle="Comma"/>
    <tableColumn id="5" name="Column1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9:L109" totalsRowShown="0" headerRowDxfId="342" dataDxfId="340" headerRowBorderDxfId="341" tableBorderDxfId="339" totalsRowBorderDxfId="338" headerRowCellStyle="Comma">
  <autoFilter ref="A9:L109">
    <filterColumn colId="5">
      <filters blank="1"/>
    </filterColumn>
  </autoFilter>
  <tableColumns count="12">
    <tableColumn id="1" name="NGÀY " dataDxfId="337"/>
    <tableColumn id="3" name="TÀI XẾ" dataDxfId="336"/>
    <tableColumn id="4" name="NỘI DUNG " dataDxfId="335"/>
    <tableColumn id="5" name="ĐIỂM ĐẾN " dataDxfId="334"/>
    <tableColumn id="6" name="ĐẤT " dataDxfId="333"/>
    <tableColumn id="7" name="ĐÁ " dataDxfId="332"/>
    <tableColumn id="8" name="CÁT " dataDxfId="331"/>
    <tableColumn id="9" name="M3 " dataDxfId="330" dataCellStyle="Comma"/>
    <tableColumn id="10" name="SL" dataDxfId="329" dataCellStyle="Comma"/>
    <tableColumn id="11" name="ĐƠN GIÁ " dataDxfId="328" dataCellStyle="Comma"/>
    <tableColumn id="12" name="THÀNH TIỀN " dataDxfId="327" dataCellStyle="Comma"/>
    <tableColumn id="13" name="LTX" dataDxfId="326" dataCellStyle="Comma">
      <calculatedColumnFormula>+Table2[[#This Row],[THÀNH TIỀN ]]*10%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15" name="Table15" displayName="Table15" ref="A9:H67" totalsRowShown="0" headerRowDxfId="325" dataDxfId="324" tableBorderDxfId="323" headerRowCellStyle="Comma">
  <autoFilter ref="A9:H67"/>
  <tableColumns count="8">
    <tableColumn id="1" name="NGÀY " dataDxfId="322"/>
    <tableColumn id="2" name="TÀI XẾ" dataDxfId="321"/>
    <tableColumn id="3" name="NỘI DUNG " dataDxfId="320"/>
    <tableColumn id="4" name="ĐIỂM ĐẾN " dataDxfId="319"/>
    <tableColumn id="5" name="ĐẤT " dataDxfId="318"/>
    <tableColumn id="7" name="SỐ LƯỢNG " dataDxfId="317"/>
    <tableColumn id="8" name="ĐƠN GIÁ " dataDxfId="316" dataCellStyle="Comma"/>
    <tableColumn id="9" name="THÀNH TIỀN " dataDxfId="315" dataCellStyle="Comma">
      <calculatedColumnFormula>Table15[[#This Row],[ĐƠN GIÁ ]]*Table15[[#This Row],[SỐ LƯỢNG ]]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9:K72" totalsRowCount="1" headerRowDxfId="314" dataDxfId="312" headerRowBorderDxfId="313" tableBorderDxfId="311" totalsRowBorderDxfId="310" headerRowCellStyle="Comma">
  <autoFilter ref="A9:K71"/>
  <tableColumns count="11">
    <tableColumn id="1" name="NGÀY " dataDxfId="309" totalsRowDxfId="308"/>
    <tableColumn id="2" name="TÀI XẾ" dataDxfId="307" totalsRowDxfId="306"/>
    <tableColumn id="3" name="NỘI DUNG " dataDxfId="305" totalsRowDxfId="304"/>
    <tableColumn id="4" name="ĐIỂM ĐẾN " dataDxfId="303" totalsRowDxfId="302"/>
    <tableColumn id="5" name="ĐẤT " dataDxfId="301" totalsRowDxfId="300"/>
    <tableColumn id="6" name="ĐÁ " dataDxfId="299" totalsRowDxfId="298"/>
    <tableColumn id="7" name="M3 " dataDxfId="297" totalsRowDxfId="296" dataCellStyle="Comma"/>
    <tableColumn id="8" name="SỐ LƯỢNG " dataDxfId="295" totalsRowDxfId="294" dataCellStyle="Comma"/>
    <tableColumn id="9" name="ĐƠN GIÁ " dataDxfId="293" totalsRowDxfId="292" dataCellStyle="Comma"/>
    <tableColumn id="10" name="THÀNH TIỀN " totalsRowFunction="sum" dataDxfId="291" totalsRowDxfId="290" dataCellStyle="Comma">
      <calculatedColumnFormula>+Table3[[#This Row],[ĐƠN GIÁ ]]*Table3[[#This Row],[SỐ LƯỢNG ]]</calculatedColumnFormula>
    </tableColumn>
    <tableColumn id="11" name="LTX" totalsRowFunction="sum" dataDxfId="289" totalsRowDxfId="288" dataCellStyle="Comma">
      <calculatedColumnFormula>+Table3[[#This Row],[THÀNH TIỀN ]]*10%</calculatedColumnFormula>
    </tableColumn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8:L68" totalsRowCount="1" headerRowDxfId="287" dataDxfId="286" totalsRowDxfId="284" tableBorderDxfId="285" headerRowCellStyle="Comma">
  <autoFilter ref="A8:L67"/>
  <tableColumns count="12">
    <tableColumn id="1" name="NGÀY " dataDxfId="283" totalsRowDxfId="282"/>
    <tableColumn id="2" name="TÀI XẾ" dataDxfId="281" totalsRowDxfId="280"/>
    <tableColumn id="3" name="NỘI DUNG " dataDxfId="279" totalsRowDxfId="278"/>
    <tableColumn id="4" name="ĐIỂM ĐẾN " dataDxfId="277" totalsRowDxfId="276"/>
    <tableColumn id="5" name="ĐẤT " dataDxfId="275" totalsRowDxfId="274"/>
    <tableColumn id="6" name="ĐÁ " dataDxfId="273" totalsRowDxfId="272"/>
    <tableColumn id="7" name="CÁT " dataDxfId="271" totalsRowDxfId="270"/>
    <tableColumn id="8" name="M3 " dataDxfId="269" totalsRowDxfId="268" dataCellStyle="Comma"/>
    <tableColumn id="9" name="SỐ LƯỢNG " totalsRowFunction="custom" dataDxfId="267" totalsRowDxfId="266" dataCellStyle="Comma">
      <totalsRowFormula>SUM(I9:I67)</totalsRowFormula>
    </tableColumn>
    <tableColumn id="10" name="ĐƠN GIÁ " dataDxfId="265" totalsRowDxfId="264"/>
    <tableColumn id="11" name="THÀNH TIỀN " totalsRowFunction="sum" dataDxfId="263" totalsRowDxfId="262">
      <calculatedColumnFormula>Table4[[#This Row],[ĐƠN GIÁ ]]*Table4[[#This Row],[SỐ LƯỢNG ]]</calculatedColumnFormula>
    </tableColumn>
    <tableColumn id="12" name="LTX" totalsRowFunction="sum" dataDxfId="261" totalsRowDxfId="260">
      <calculatedColumnFormula>Table4[[#This Row],[THÀNH TIỀN ]]*10%</calculatedColumnFormula>
    </tableColumn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11" name="Table11" displayName="Table11" ref="A9:I52" totalsRowCount="1" headerRowDxfId="259" dataDxfId="257" headerRowBorderDxfId="258" tableBorderDxfId="256" totalsRowBorderDxfId="255" headerRowCellStyle="Comma">
  <autoFilter ref="A9:I51"/>
  <tableColumns count="9">
    <tableColumn id="1" name="NGÀY " dataDxfId="254" totalsRowDxfId="253"/>
    <tableColumn id="2" name="TÀI XẾ" dataDxfId="252" totalsRowDxfId="251"/>
    <tableColumn id="3" name="NỘI DUNG " dataDxfId="250" totalsRowDxfId="249"/>
    <tableColumn id="4" name="ĐIỂM ĐẾN " dataDxfId="248" totalsRowDxfId="247"/>
    <tableColumn id="6" name="ĐẤT" dataDxfId="246" totalsRowDxfId="245"/>
    <tableColumn id="7" name="SỐ LƯỢNG " totalsRowFunction="custom" dataDxfId="244" totalsRowDxfId="243" dataCellStyle="Comma">
      <totalsRowFormula>SUM(F10:F51)</totalsRowFormula>
    </tableColumn>
    <tableColumn id="8" name="ĐƠN GIÁ " dataDxfId="242" totalsRowDxfId="241" dataCellStyle="Comma"/>
    <tableColumn id="9" name="THÀNH TIỀN " totalsRowFunction="sum" dataDxfId="240" totalsRowDxfId="239" dataCellStyle="Comma">
      <calculatedColumnFormula>Table11[[#This Row],[ĐƠN GIÁ ]]*Table11[[#This Row],[SỐ LƯỢNG ]]</calculatedColumnFormula>
    </tableColumn>
    <tableColumn id="10" name="LTX" totalsRowFunction="sum" dataDxfId="238" totalsRowDxfId="237" dataCellStyle="Comma">
      <calculatedColumnFormula>+Table11[[#This Row],[THÀNH TIỀN ]]*10%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4" name="Table14" displayName="Table14" ref="A10:K55" totalsRowCount="1" headerRowDxfId="236" dataDxfId="234" headerRowBorderDxfId="235" tableBorderDxfId="233" totalsRowBorderDxfId="232" headerRowCellStyle="Comma">
  <autoFilter ref="A10:K54"/>
  <tableColumns count="11">
    <tableColumn id="1" name="NGÀY " dataDxfId="231" totalsRowDxfId="230"/>
    <tableColumn id="2" name="TÀI XẾ" dataDxfId="229" totalsRowDxfId="228"/>
    <tableColumn id="3" name="NỘI DUNG " dataDxfId="227" totalsRowDxfId="226"/>
    <tableColumn id="4" name="ĐIỂM ĐẾN " dataDxfId="225" totalsRowDxfId="224"/>
    <tableColumn id="5" name="ĐẤT " dataDxfId="223" totalsRowDxfId="222"/>
    <tableColumn id="6" name="ĐÁ " dataDxfId="221" totalsRowDxfId="220"/>
    <tableColumn id="7" name="CÁT " dataDxfId="219" totalsRowDxfId="218"/>
    <tableColumn id="8" name="M3 " dataDxfId="217" totalsRowDxfId="216"/>
    <tableColumn id="9" name="SỐ LƯỢNG " totalsRowFunction="custom" dataDxfId="215" dataCellStyle="Comma">
      <totalsRowFormula>SUM(I11:I54)</totalsRowFormula>
    </tableColumn>
    <tableColumn id="10" name="ĐƠN GIÁ " dataDxfId="214" totalsRowDxfId="213" dataCellStyle="Comma"/>
    <tableColumn id="11" name="THÀNH TIỀN " totalsRowFunction="sum" dataDxfId="212" totalsRowDxfId="211" dataCellStyle="Comma">
      <calculatedColumnFormula>+Table14[[#This Row],[SỐ LƯỢNG ]]*Table14[[#This Row],[ĐƠN GIÁ ]]</calculatedColumnFormula>
    </tableColumn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16" name="Table16" displayName="Table16" ref="A9:I49" totalsRowCount="1" headerRowDxfId="210" dataDxfId="208" headerRowBorderDxfId="209" tableBorderDxfId="207" totalsRowBorderDxfId="206" headerRowCellStyle="Comma">
  <autoFilter ref="A9:I48"/>
  <tableColumns count="9">
    <tableColumn id="1" name="NGÀY " dataDxfId="205" totalsRowDxfId="204"/>
    <tableColumn id="2" name="TÀI XẾ" dataDxfId="203" totalsRowDxfId="202"/>
    <tableColumn id="3" name="NỘI DUNG " dataDxfId="201" totalsRowDxfId="200"/>
    <tableColumn id="4" name="ĐIỂM ĐẾN " dataDxfId="199" totalsRowDxfId="198"/>
    <tableColumn id="5" name="ĐẤT " dataDxfId="197" totalsRowDxfId="196"/>
    <tableColumn id="11" name="CỰ LY" dataDxfId="195" totalsRowDxfId="194"/>
    <tableColumn id="6" name="SỐ LƯỢNG " dataDxfId="193" totalsRowDxfId="192" dataCellStyle="Comma"/>
    <tableColumn id="10" name="ĐƠN GIÁ " dataDxfId="191" totalsRowDxfId="190" dataCellStyle="Comma"/>
    <tableColumn id="8" name="THÀNH TIỀN " totalsRowFunction="sum" dataDxfId="189" totalsRowDxfId="188" dataCellStyle="Comma">
      <calculatedColumnFormula>+Table16[[#This Row],[ĐƠN GIÁ ]]*Table16[[#This Row],[SỐ LƯỢNG ]]</calculatedColumnFormula>
    </tableColumn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8" name="Table8" displayName="Table8" ref="A10:I63" totalsRowCount="1" headerRowDxfId="187" dataDxfId="185" headerRowBorderDxfId="186" tableBorderDxfId="184" totalsRowBorderDxfId="183" headerRowCellStyle="Comma">
  <autoFilter ref="A10:I62"/>
  <tableColumns count="9">
    <tableColumn id="1" name="NGÀY " dataDxfId="182" totalsRowDxfId="181"/>
    <tableColumn id="2" name="TÀI XẾ" dataDxfId="180" totalsRowDxfId="179"/>
    <tableColumn id="3" name="NỘI DUNG " dataDxfId="178" totalsRowDxfId="177"/>
    <tableColumn id="4" name="ĐIỂM ĐẾN " dataDxfId="176" totalsRowDxfId="175"/>
    <tableColumn id="5" name="ĐẤT " dataDxfId="174" totalsRowDxfId="173"/>
    <tableColumn id="6" name="M3 " dataDxfId="172" totalsRowDxfId="171"/>
    <tableColumn id="7" name="SỐ LƯỢNG " totalsRowFunction="custom" dataDxfId="170" totalsRowDxfId="169" dataCellStyle="Comma">
      <totalsRowFormula>SUM(G11:G62)</totalsRowFormula>
    </tableColumn>
    <tableColumn id="8" name="ĐƠN GIÁ " dataDxfId="168" totalsRowDxfId="167" dataCellStyle="Comma"/>
    <tableColumn id="9" name="THÀNH TIỀN " totalsRowFunction="sum" dataDxfId="166" totalsRowDxfId="165" dataCellStyle="Comma">
      <calculatedColumnFormula>Table8[[#This Row],[ĐƠN GIÁ ]]*Table8[[#This Row],[SỐ LƯỢNG ]]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K109"/>
  <sheetViews>
    <sheetView topLeftCell="A10" workbookViewId="0">
      <selection activeCell="B62" sqref="B62"/>
    </sheetView>
  </sheetViews>
  <sheetFormatPr defaultRowHeight="15"/>
  <cols>
    <col min="1" max="1" width="10.28515625" style="26" customWidth="1"/>
    <col min="2" max="2" width="22.140625" style="206" customWidth="1"/>
    <col min="3" max="3" width="21" style="206" customWidth="1"/>
    <col min="4" max="4" width="7" style="206" customWidth="1"/>
    <col min="5" max="5" width="6.85546875" style="206" customWidth="1"/>
    <col min="6" max="6" width="6.5703125" style="206" customWidth="1"/>
    <col min="7" max="7" width="10" style="208" customWidth="1"/>
    <col min="8" max="8" width="11.140625" style="175" customWidth="1"/>
    <col min="9" max="9" width="15.85546875" style="151" customWidth="1"/>
    <col min="10" max="10" width="14.28515625" style="151" customWidth="1"/>
    <col min="11" max="11" width="15.5703125" style="151" customWidth="1"/>
  </cols>
  <sheetData>
    <row r="1" spans="1:11">
      <c r="A1" s="146" t="s">
        <v>0</v>
      </c>
      <c r="B1" s="203"/>
      <c r="C1" s="204"/>
      <c r="D1" s="204"/>
      <c r="E1" s="204"/>
      <c r="F1" s="204"/>
      <c r="G1" s="205"/>
      <c r="H1" s="173"/>
      <c r="I1" s="150"/>
      <c r="J1" s="150"/>
      <c r="K1" s="150"/>
    </row>
    <row r="2" spans="1:11">
      <c r="A2" s="146" t="s">
        <v>1</v>
      </c>
      <c r="B2" s="203"/>
      <c r="C2" s="204"/>
      <c r="D2" s="204"/>
      <c r="E2" s="204"/>
      <c r="F2" s="204"/>
      <c r="G2" s="205"/>
      <c r="H2" s="173"/>
      <c r="I2" s="150"/>
      <c r="J2" s="150"/>
      <c r="K2" s="150"/>
    </row>
    <row r="3" spans="1:11">
      <c r="A3" s="146" t="s">
        <v>2</v>
      </c>
      <c r="B3" s="203"/>
      <c r="C3" s="204"/>
      <c r="D3" s="204"/>
      <c r="E3" s="204"/>
      <c r="F3" s="204"/>
      <c r="G3" s="205"/>
      <c r="H3" s="173"/>
      <c r="I3" s="150"/>
      <c r="J3" s="150"/>
      <c r="K3" s="150"/>
    </row>
    <row r="4" spans="1:11">
      <c r="A4" s="146" t="s">
        <v>3</v>
      </c>
      <c r="B4" s="203"/>
      <c r="C4" s="204"/>
      <c r="D4" s="204"/>
      <c r="E4" s="204"/>
      <c r="F4" s="204"/>
      <c r="G4" s="205"/>
      <c r="H4" s="173"/>
      <c r="I4" s="150"/>
      <c r="J4" s="150"/>
      <c r="K4" s="150"/>
    </row>
    <row r="5" spans="1:11">
      <c r="A5" s="316" t="s">
        <v>221</v>
      </c>
      <c r="B5" s="316"/>
      <c r="C5" s="316"/>
      <c r="D5" s="316"/>
      <c r="E5" s="316"/>
      <c r="F5" s="316"/>
      <c r="G5" s="316"/>
      <c r="H5" s="316"/>
      <c r="I5" s="316"/>
      <c r="J5" s="316"/>
      <c r="K5" s="316"/>
    </row>
    <row r="6" spans="1:11">
      <c r="A6" s="316"/>
      <c r="B6" s="316"/>
      <c r="C6" s="316"/>
      <c r="D6" s="316"/>
      <c r="E6" s="316"/>
      <c r="F6" s="316"/>
      <c r="G6" s="316"/>
      <c r="H6" s="316"/>
      <c r="I6" s="316"/>
      <c r="J6" s="316"/>
      <c r="K6" s="316"/>
    </row>
    <row r="7" spans="1:11">
      <c r="A7" s="316"/>
      <c r="B7" s="316"/>
      <c r="C7" s="316"/>
      <c r="D7" s="316"/>
      <c r="E7" s="316"/>
      <c r="F7" s="316"/>
      <c r="G7" s="316"/>
      <c r="H7" s="316"/>
      <c r="I7" s="316"/>
      <c r="J7" s="316"/>
      <c r="K7" s="316"/>
    </row>
    <row r="8" spans="1:11" ht="21">
      <c r="A8" s="317" t="s">
        <v>4</v>
      </c>
      <c r="B8" s="317"/>
      <c r="C8" s="317"/>
      <c r="D8" s="317"/>
      <c r="E8" s="317"/>
      <c r="F8" s="317"/>
      <c r="G8" s="317"/>
      <c r="H8" s="317"/>
      <c r="I8" s="317"/>
      <c r="J8" s="317"/>
      <c r="K8" s="317"/>
    </row>
    <row r="9" spans="1:11">
      <c r="A9" s="206"/>
      <c r="C9" s="207"/>
      <c r="H9" s="208"/>
      <c r="I9" s="207"/>
      <c r="J9" s="207"/>
      <c r="K9" s="207"/>
    </row>
    <row r="10" spans="1:11" s="26" customFormat="1">
      <c r="A10" s="21" t="s">
        <v>5</v>
      </c>
      <c r="B10" s="22" t="s">
        <v>7</v>
      </c>
      <c r="C10" s="23" t="s">
        <v>8</v>
      </c>
      <c r="D10" s="22" t="s">
        <v>9</v>
      </c>
      <c r="E10" s="22" t="s">
        <v>10</v>
      </c>
      <c r="F10" s="22" t="s">
        <v>33</v>
      </c>
      <c r="G10" s="24" t="s">
        <v>12</v>
      </c>
      <c r="H10" s="24" t="s">
        <v>13</v>
      </c>
      <c r="I10" s="23" t="s">
        <v>14</v>
      </c>
      <c r="J10" s="23" t="s">
        <v>15</v>
      </c>
      <c r="K10" s="25" t="s">
        <v>16</v>
      </c>
    </row>
    <row r="11" spans="1:11" s="44" customFormat="1">
      <c r="A11" s="68">
        <v>43160</v>
      </c>
      <c r="B11" s="58" t="s">
        <v>231</v>
      </c>
      <c r="C11" s="58" t="s">
        <v>232</v>
      </c>
      <c r="D11" s="58"/>
      <c r="E11" s="58" t="s">
        <v>233</v>
      </c>
      <c r="F11" s="185"/>
      <c r="G11" s="58">
        <v>13.81</v>
      </c>
      <c r="H11" s="89">
        <v>1</v>
      </c>
      <c r="I11" s="209">
        <v>1000000</v>
      </c>
      <c r="J11" s="185">
        <f>Table1[[#This Row],[ĐƠN GIÁ ]]*Table1[[#This Row],[SỐ LƯỢNG ]]</f>
        <v>1000000</v>
      </c>
      <c r="K11" s="209">
        <f>Table1[[#This Row],[THÀNH TIỀN ]]*10%</f>
        <v>100000</v>
      </c>
    </row>
    <row r="12" spans="1:11" s="44" customFormat="1">
      <c r="A12" s="68">
        <v>43160</v>
      </c>
      <c r="B12" s="58" t="s">
        <v>231</v>
      </c>
      <c r="C12" s="58" t="s">
        <v>234</v>
      </c>
      <c r="D12" s="58"/>
      <c r="E12" s="58" t="s">
        <v>235</v>
      </c>
      <c r="F12" s="185"/>
      <c r="G12" s="140">
        <f>F12/1350</f>
        <v>0</v>
      </c>
      <c r="H12" s="89">
        <v>1</v>
      </c>
      <c r="I12" s="210">
        <v>1100000</v>
      </c>
      <c r="J12" s="185">
        <f>Table1[[#This Row],[ĐƠN GIÁ ]]*Table1[[#This Row],[SỐ LƯỢNG ]]</f>
        <v>1100000</v>
      </c>
      <c r="K12" s="210">
        <f>Table1[[#This Row],[THÀNH TIỀN ]]*10%</f>
        <v>110000</v>
      </c>
    </row>
    <row r="13" spans="1:11" s="44" customFormat="1">
      <c r="A13" s="68">
        <v>43160</v>
      </c>
      <c r="B13" s="58" t="s">
        <v>236</v>
      </c>
      <c r="C13" s="58" t="s">
        <v>237</v>
      </c>
      <c r="D13" s="58" t="s">
        <v>238</v>
      </c>
      <c r="E13" s="58"/>
      <c r="F13" s="185"/>
      <c r="G13" s="140"/>
      <c r="H13" s="89">
        <v>10</v>
      </c>
      <c r="I13" s="210">
        <v>150000</v>
      </c>
      <c r="J13" s="185">
        <f>Table1[[#This Row],[ĐƠN GIÁ ]]*Table1[[#This Row],[SỐ LƯỢNG ]]</f>
        <v>1500000</v>
      </c>
      <c r="K13" s="210">
        <f>Table1[[#This Row],[THÀNH TIỀN ]]*10%</f>
        <v>150000</v>
      </c>
    </row>
    <row r="14" spans="1:11" s="44" customFormat="1">
      <c r="A14" s="68">
        <v>43161</v>
      </c>
      <c r="B14" s="58" t="s">
        <v>239</v>
      </c>
      <c r="C14" s="58" t="s">
        <v>240</v>
      </c>
      <c r="D14" s="58"/>
      <c r="E14" s="58" t="s">
        <v>233</v>
      </c>
      <c r="F14" s="185"/>
      <c r="G14" s="140">
        <f>F14/1600</f>
        <v>0</v>
      </c>
      <c r="H14" s="89">
        <v>1</v>
      </c>
      <c r="I14" s="210">
        <v>300000</v>
      </c>
      <c r="J14" s="185">
        <f>Table1[[#This Row],[ĐƠN GIÁ ]]*Table1[[#This Row],[SỐ LƯỢNG ]]</f>
        <v>300000</v>
      </c>
      <c r="K14" s="210">
        <f>Table1[[#This Row],[THÀNH TIỀN ]]*10%</f>
        <v>30000</v>
      </c>
    </row>
    <row r="15" spans="1:11" s="44" customFormat="1">
      <c r="A15" s="68">
        <v>43161</v>
      </c>
      <c r="B15" s="58" t="s">
        <v>241</v>
      </c>
      <c r="C15" s="58" t="s">
        <v>242</v>
      </c>
      <c r="D15" s="58"/>
      <c r="E15" s="58"/>
      <c r="F15" s="185"/>
      <c r="G15" s="140"/>
      <c r="H15" s="89">
        <v>17</v>
      </c>
      <c r="I15" s="210">
        <f>6.0875*24000</f>
        <v>146100</v>
      </c>
      <c r="J15" s="185">
        <f>Table1[[#This Row],[ĐƠN GIÁ ]]*Table1[[#This Row],[SỐ LƯỢNG ]]</f>
        <v>2483700</v>
      </c>
      <c r="K15" s="210">
        <f>Table1[[#This Row],[THÀNH TIỀN ]]*10%</f>
        <v>248370</v>
      </c>
    </row>
    <row r="16" spans="1:11" s="44" customFormat="1">
      <c r="A16" s="68">
        <v>43161</v>
      </c>
      <c r="B16" s="58" t="s">
        <v>241</v>
      </c>
      <c r="C16" s="58" t="s">
        <v>240</v>
      </c>
      <c r="D16" s="58"/>
      <c r="E16" s="58"/>
      <c r="F16" s="185"/>
      <c r="G16" s="140"/>
      <c r="H16" s="89">
        <v>27</v>
      </c>
      <c r="I16" s="210">
        <v>100000</v>
      </c>
      <c r="J16" s="185">
        <f>Table1[[#This Row],[ĐƠN GIÁ ]]*Table1[[#This Row],[SỐ LƯỢNG ]]</f>
        <v>2700000</v>
      </c>
      <c r="K16" s="210">
        <f>Table1[[#This Row],[THÀNH TIỀN ]]*10%</f>
        <v>270000</v>
      </c>
    </row>
    <row r="17" spans="1:11" s="44" customFormat="1">
      <c r="A17" s="68">
        <v>43162</v>
      </c>
      <c r="B17" s="58" t="s">
        <v>231</v>
      </c>
      <c r="C17" s="58" t="s">
        <v>232</v>
      </c>
      <c r="D17" s="58"/>
      <c r="E17" s="58" t="s">
        <v>235</v>
      </c>
      <c r="F17" s="185"/>
      <c r="G17" s="58">
        <v>13.6</v>
      </c>
      <c r="H17" s="89">
        <v>1</v>
      </c>
      <c r="I17" s="209">
        <v>1000000</v>
      </c>
      <c r="J17" s="185">
        <f>Table1[[#This Row],[ĐƠN GIÁ ]]*Table1[[#This Row],[SỐ LƯỢNG ]]</f>
        <v>1000000</v>
      </c>
      <c r="K17" s="210">
        <f>Table1[[#This Row],[THÀNH TIỀN ]]*10%</f>
        <v>100000</v>
      </c>
    </row>
    <row r="18" spans="1:11" s="44" customFormat="1">
      <c r="A18" s="68">
        <v>43162</v>
      </c>
      <c r="B18" s="58" t="s">
        <v>241</v>
      </c>
      <c r="C18" s="58" t="s">
        <v>240</v>
      </c>
      <c r="D18" s="58"/>
      <c r="E18" s="58"/>
      <c r="F18" s="185"/>
      <c r="G18" s="140"/>
      <c r="H18" s="89">
        <v>14</v>
      </c>
      <c r="I18" s="210">
        <v>100000</v>
      </c>
      <c r="J18" s="185">
        <f>Table1[[#This Row],[ĐƠN GIÁ ]]*Table1[[#This Row],[SỐ LƯỢNG ]]</f>
        <v>1400000</v>
      </c>
      <c r="K18" s="210">
        <f>Table1[[#This Row],[THÀNH TIỀN ]]*10%</f>
        <v>140000</v>
      </c>
    </row>
    <row r="19" spans="1:11" s="44" customFormat="1">
      <c r="A19" s="68">
        <v>43162</v>
      </c>
      <c r="B19" s="58" t="s">
        <v>241</v>
      </c>
      <c r="C19" s="58" t="s">
        <v>242</v>
      </c>
      <c r="D19" s="58"/>
      <c r="E19" s="58"/>
      <c r="F19" s="185"/>
      <c r="G19" s="140"/>
      <c r="H19" s="89">
        <v>9</v>
      </c>
      <c r="I19" s="210">
        <f>6.453*24000</f>
        <v>154872</v>
      </c>
      <c r="J19" s="185">
        <f>Table1[[#This Row],[ĐƠN GIÁ ]]*Table1[[#This Row],[SỐ LƯỢNG ]]</f>
        <v>1393848</v>
      </c>
      <c r="K19" s="210">
        <f>Table1[[#This Row],[THÀNH TIỀN ]]*10%</f>
        <v>139384.80000000002</v>
      </c>
    </row>
    <row r="20" spans="1:11" s="44" customFormat="1">
      <c r="A20" s="68">
        <v>43163</v>
      </c>
      <c r="B20" s="58" t="s">
        <v>241</v>
      </c>
      <c r="C20" s="58" t="s">
        <v>242</v>
      </c>
      <c r="D20" s="58"/>
      <c r="E20" s="58"/>
      <c r="F20" s="185"/>
      <c r="G20" s="140"/>
      <c r="H20" s="89">
        <v>14</v>
      </c>
      <c r="I20" s="210">
        <f>6.305*24000</f>
        <v>151320</v>
      </c>
      <c r="J20" s="185">
        <f>Table1[[#This Row],[ĐƠN GIÁ ]]*Table1[[#This Row],[SỐ LƯỢNG ]]</f>
        <v>2118480</v>
      </c>
      <c r="K20" s="210">
        <f>Table1[[#This Row],[THÀNH TIỀN ]]*10%</f>
        <v>211848</v>
      </c>
    </row>
    <row r="21" spans="1:11" s="44" customFormat="1">
      <c r="A21" s="68">
        <v>43163</v>
      </c>
      <c r="B21" s="58" t="s">
        <v>243</v>
      </c>
      <c r="C21" s="58" t="s">
        <v>244</v>
      </c>
      <c r="D21" s="58" t="s">
        <v>238</v>
      </c>
      <c r="E21" s="58"/>
      <c r="F21" s="185"/>
      <c r="G21" s="140"/>
      <c r="H21" s="89">
        <v>10</v>
      </c>
      <c r="I21" s="210">
        <v>150000</v>
      </c>
      <c r="J21" s="185">
        <f>Table1[[#This Row],[ĐƠN GIÁ ]]*Table1[[#This Row],[SỐ LƯỢNG ]]</f>
        <v>1500000</v>
      </c>
      <c r="K21" s="210">
        <f>Table1[[#This Row],[THÀNH TIỀN ]]*10%</f>
        <v>150000</v>
      </c>
    </row>
    <row r="22" spans="1:11" s="44" customFormat="1">
      <c r="A22" s="68">
        <v>43164</v>
      </c>
      <c r="B22" s="58" t="s">
        <v>231</v>
      </c>
      <c r="C22" s="58" t="s">
        <v>245</v>
      </c>
      <c r="D22" s="58"/>
      <c r="E22" s="58" t="s">
        <v>235</v>
      </c>
      <c r="F22" s="185"/>
      <c r="G22" s="140">
        <v>14</v>
      </c>
      <c r="H22" s="89">
        <v>1</v>
      </c>
      <c r="I22" s="210">
        <v>1200000</v>
      </c>
      <c r="J22" s="185">
        <f>Table1[[#This Row],[ĐƠN GIÁ ]]*Table1[[#This Row],[SỐ LƯỢNG ]]</f>
        <v>1200000</v>
      </c>
      <c r="K22" s="210">
        <f>Table1[[#This Row],[THÀNH TIỀN ]]*10%</f>
        <v>120000</v>
      </c>
    </row>
    <row r="23" spans="1:11" s="44" customFormat="1">
      <c r="A23" s="68">
        <v>43164</v>
      </c>
      <c r="B23" s="58" t="s">
        <v>236</v>
      </c>
      <c r="C23" s="58" t="s">
        <v>232</v>
      </c>
      <c r="D23" s="58" t="s">
        <v>238</v>
      </c>
      <c r="E23" s="58"/>
      <c r="F23" s="185"/>
      <c r="G23" s="140"/>
      <c r="H23" s="89">
        <v>2</v>
      </c>
      <c r="I23" s="210">
        <v>150000</v>
      </c>
      <c r="J23" s="185">
        <f>Table1[[#This Row],[ĐƠN GIÁ ]]*Table1[[#This Row],[SỐ LƯỢNG ]]</f>
        <v>300000</v>
      </c>
      <c r="K23" s="210">
        <f>Table1[[#This Row],[THÀNH TIỀN ]]*10%</f>
        <v>30000</v>
      </c>
    </row>
    <row r="24" spans="1:11" s="44" customFormat="1">
      <c r="A24" s="68">
        <v>43164</v>
      </c>
      <c r="B24" s="58" t="s">
        <v>243</v>
      </c>
      <c r="C24" s="58" t="s">
        <v>244</v>
      </c>
      <c r="D24" s="58" t="s">
        <v>238</v>
      </c>
      <c r="E24" s="58"/>
      <c r="F24" s="185"/>
      <c r="G24" s="140"/>
      <c r="H24" s="89">
        <v>19</v>
      </c>
      <c r="I24" s="210">
        <v>150000</v>
      </c>
      <c r="J24" s="185">
        <f>Table1[[#This Row],[ĐƠN GIÁ ]]*Table1[[#This Row],[SỐ LƯỢNG ]]</f>
        <v>2850000</v>
      </c>
      <c r="K24" s="210">
        <f>Table1[[#This Row],[THÀNH TIỀN ]]*10%</f>
        <v>285000</v>
      </c>
    </row>
    <row r="25" spans="1:11" s="44" customFormat="1">
      <c r="A25" s="68">
        <v>43165</v>
      </c>
      <c r="B25" s="58" t="s">
        <v>236</v>
      </c>
      <c r="C25" s="58" t="s">
        <v>246</v>
      </c>
      <c r="D25" s="58" t="s">
        <v>238</v>
      </c>
      <c r="E25" s="58"/>
      <c r="F25" s="185"/>
      <c r="G25" s="140"/>
      <c r="H25" s="89">
        <v>13</v>
      </c>
      <c r="I25" s="210">
        <v>180000</v>
      </c>
      <c r="J25" s="185">
        <f>Table1[[#This Row],[ĐƠN GIÁ ]]*Table1[[#This Row],[SỐ LƯỢNG ]]</f>
        <v>2340000</v>
      </c>
      <c r="K25" s="210">
        <f>Table1[[#This Row],[THÀNH TIỀN ]]*10%</f>
        <v>234000</v>
      </c>
    </row>
    <row r="26" spans="1:11" s="66" customFormat="1">
      <c r="A26" s="68">
        <v>43165</v>
      </c>
      <c r="B26" s="58" t="s">
        <v>236</v>
      </c>
      <c r="C26" s="58" t="s">
        <v>237</v>
      </c>
      <c r="D26" s="58" t="s">
        <v>238</v>
      </c>
      <c r="E26" s="58"/>
      <c r="F26" s="185"/>
      <c r="G26" s="140"/>
      <c r="H26" s="89">
        <v>1</v>
      </c>
      <c r="I26" s="210">
        <v>120000</v>
      </c>
      <c r="J26" s="185">
        <f>Table1[[#This Row],[ĐƠN GIÁ ]]*Table1[[#This Row],[SỐ LƯỢNG ]]</f>
        <v>120000</v>
      </c>
      <c r="K26" s="210">
        <f>Table1[[#This Row],[THÀNH TIỀN ]]*10%</f>
        <v>12000</v>
      </c>
    </row>
    <row r="27" spans="1:11" s="44" customFormat="1">
      <c r="A27" s="68">
        <v>43165</v>
      </c>
      <c r="B27" s="58" t="s">
        <v>231</v>
      </c>
      <c r="C27" s="58" t="s">
        <v>232</v>
      </c>
      <c r="D27" s="58"/>
      <c r="E27" s="58" t="s">
        <v>233</v>
      </c>
      <c r="F27" s="185"/>
      <c r="G27" s="58">
        <v>13.05</v>
      </c>
      <c r="H27" s="89">
        <v>1</v>
      </c>
      <c r="I27" s="210">
        <v>1000000</v>
      </c>
      <c r="J27" s="185">
        <f>Table1[[#This Row],[ĐƠN GIÁ ]]*Table1[[#This Row],[SỐ LƯỢNG ]]</f>
        <v>1000000</v>
      </c>
      <c r="K27" s="210">
        <f>Table1[[#This Row],[THÀNH TIỀN ]]*10%</f>
        <v>100000</v>
      </c>
    </row>
    <row r="28" spans="1:11" s="44" customFormat="1">
      <c r="A28" s="68">
        <v>43166</v>
      </c>
      <c r="B28" s="58" t="s">
        <v>243</v>
      </c>
      <c r="C28" s="58" t="s">
        <v>244</v>
      </c>
      <c r="D28" s="58" t="s">
        <v>238</v>
      </c>
      <c r="E28" s="58"/>
      <c r="F28" s="185"/>
      <c r="G28" s="140"/>
      <c r="H28" s="89">
        <v>6</v>
      </c>
      <c r="I28" s="210">
        <v>180000</v>
      </c>
      <c r="J28" s="185">
        <f>Table1[[#This Row],[ĐƠN GIÁ ]]*Table1[[#This Row],[SỐ LƯỢNG ]]</f>
        <v>1080000</v>
      </c>
      <c r="K28" s="210">
        <f>Table1[[#This Row],[THÀNH TIỀN ]]*10%</f>
        <v>108000</v>
      </c>
    </row>
    <row r="29" spans="1:11" s="44" customFormat="1">
      <c r="A29" s="68">
        <v>43166</v>
      </c>
      <c r="B29" s="58" t="s">
        <v>243</v>
      </c>
      <c r="C29" s="58" t="s">
        <v>247</v>
      </c>
      <c r="D29" s="58" t="s">
        <v>238</v>
      </c>
      <c r="E29" s="58"/>
      <c r="F29" s="185"/>
      <c r="G29" s="140"/>
      <c r="H29" s="89">
        <v>1</v>
      </c>
      <c r="I29" s="210">
        <v>180000</v>
      </c>
      <c r="J29" s="185">
        <f>Table1[[#This Row],[ĐƠN GIÁ ]]*Table1[[#This Row],[SỐ LƯỢNG ]]</f>
        <v>180000</v>
      </c>
      <c r="K29" s="210">
        <f>Table1[[#This Row],[THÀNH TIỀN ]]*10%</f>
        <v>18000</v>
      </c>
    </row>
    <row r="30" spans="1:11" s="44" customFormat="1">
      <c r="A30" s="68">
        <v>43166</v>
      </c>
      <c r="B30" s="58" t="s">
        <v>243</v>
      </c>
      <c r="C30" s="58" t="s">
        <v>246</v>
      </c>
      <c r="D30" s="58" t="s">
        <v>238</v>
      </c>
      <c r="E30" s="58"/>
      <c r="F30" s="185"/>
      <c r="G30" s="140"/>
      <c r="H30" s="89">
        <v>14</v>
      </c>
      <c r="I30" s="210">
        <v>180000</v>
      </c>
      <c r="J30" s="185">
        <f>Table1[[#This Row],[ĐƠN GIÁ ]]*Table1[[#This Row],[SỐ LƯỢNG ]]</f>
        <v>2520000</v>
      </c>
      <c r="K30" s="210">
        <f>Table1[[#This Row],[THÀNH TIỀN ]]*10%</f>
        <v>252000</v>
      </c>
    </row>
    <row r="31" spans="1:11" s="44" customFormat="1">
      <c r="A31" s="68">
        <v>43167</v>
      </c>
      <c r="B31" s="58" t="s">
        <v>248</v>
      </c>
      <c r="C31" s="58" t="s">
        <v>242</v>
      </c>
      <c r="D31" s="58"/>
      <c r="E31" s="58"/>
      <c r="F31" s="185"/>
      <c r="G31" s="140"/>
      <c r="H31" s="89">
        <v>25</v>
      </c>
      <c r="I31" s="210">
        <v>100000</v>
      </c>
      <c r="J31" s="185">
        <f>Table1[[#This Row],[ĐƠN GIÁ ]]*Table1[[#This Row],[SỐ LƯỢNG ]]</f>
        <v>2500000</v>
      </c>
      <c r="K31" s="210">
        <f>Table1[[#This Row],[THÀNH TIỀN ]]*10%</f>
        <v>250000</v>
      </c>
    </row>
    <row r="32" spans="1:11" s="44" customFormat="1">
      <c r="A32" s="68">
        <v>43168</v>
      </c>
      <c r="B32" s="58" t="s">
        <v>231</v>
      </c>
      <c r="C32" s="58" t="s">
        <v>249</v>
      </c>
      <c r="D32" s="58"/>
      <c r="E32" s="58" t="s">
        <v>250</v>
      </c>
      <c r="F32" s="185"/>
      <c r="G32" s="140">
        <v>15</v>
      </c>
      <c r="H32" s="89">
        <v>1</v>
      </c>
      <c r="I32" s="210">
        <v>1100000</v>
      </c>
      <c r="J32" s="185">
        <f>Table1[[#This Row],[ĐƠN GIÁ ]]*Table1[[#This Row],[SỐ LƯỢNG ]]</f>
        <v>1100000</v>
      </c>
      <c r="K32" s="210">
        <f>Table1[[#This Row],[THÀNH TIỀN ]]*10%</f>
        <v>110000</v>
      </c>
    </row>
    <row r="33" spans="1:11" s="44" customFormat="1">
      <c r="A33" s="68">
        <v>43168</v>
      </c>
      <c r="B33" s="58" t="s">
        <v>251</v>
      </c>
      <c r="C33" s="58" t="s">
        <v>237</v>
      </c>
      <c r="D33" s="58" t="s">
        <v>238</v>
      </c>
      <c r="E33" s="58"/>
      <c r="F33" s="185"/>
      <c r="G33" s="140"/>
      <c r="H33" s="89">
        <v>1</v>
      </c>
      <c r="I33" s="210">
        <v>230000</v>
      </c>
      <c r="J33" s="185">
        <f>Table1[[#This Row],[ĐƠN GIÁ ]]*Table1[[#This Row],[SỐ LƯỢNG ]]</f>
        <v>230000</v>
      </c>
      <c r="K33" s="210">
        <f>Table1[[#This Row],[THÀNH TIỀN ]]*10%</f>
        <v>23000</v>
      </c>
    </row>
    <row r="34" spans="1:11" s="44" customFormat="1">
      <c r="A34" s="68">
        <v>43168</v>
      </c>
      <c r="B34" s="58" t="s">
        <v>252</v>
      </c>
      <c r="C34" s="58" t="s">
        <v>242</v>
      </c>
      <c r="D34" s="58" t="s">
        <v>238</v>
      </c>
      <c r="E34" s="58"/>
      <c r="F34" s="185"/>
      <c r="G34" s="140"/>
      <c r="H34" s="89">
        <v>27</v>
      </c>
      <c r="I34" s="210">
        <v>90000</v>
      </c>
      <c r="J34" s="185">
        <f>Table1[[#This Row],[ĐƠN GIÁ ]]*Table1[[#This Row],[SỐ LƯỢNG ]]</f>
        <v>2430000</v>
      </c>
      <c r="K34" s="210">
        <f>Table1[[#This Row],[THÀNH TIỀN ]]*10%</f>
        <v>243000</v>
      </c>
    </row>
    <row r="35" spans="1:11" s="44" customFormat="1">
      <c r="A35" s="68">
        <v>43168</v>
      </c>
      <c r="B35" s="58" t="s">
        <v>253</v>
      </c>
      <c r="C35" s="58" t="s">
        <v>254</v>
      </c>
      <c r="D35" s="58" t="s">
        <v>238</v>
      </c>
      <c r="E35" s="58"/>
      <c r="F35" s="185"/>
      <c r="G35" s="140"/>
      <c r="H35" s="89">
        <v>1</v>
      </c>
      <c r="I35" s="210">
        <v>200000</v>
      </c>
      <c r="J35" s="185">
        <f>Table1[[#This Row],[ĐƠN GIÁ ]]*Table1[[#This Row],[SỐ LƯỢNG ]]</f>
        <v>200000</v>
      </c>
      <c r="K35" s="210">
        <f>Table1[[#This Row],[THÀNH TIỀN ]]*10%</f>
        <v>20000</v>
      </c>
    </row>
    <row r="36" spans="1:11" s="44" customFormat="1">
      <c r="A36" s="68">
        <v>43168</v>
      </c>
      <c r="B36" s="58" t="s">
        <v>253</v>
      </c>
      <c r="C36" s="58" t="s">
        <v>232</v>
      </c>
      <c r="D36" s="58" t="s">
        <v>238</v>
      </c>
      <c r="E36" s="58"/>
      <c r="F36" s="185"/>
      <c r="G36" s="140"/>
      <c r="H36" s="89">
        <v>1</v>
      </c>
      <c r="I36" s="210">
        <v>200000</v>
      </c>
      <c r="J36" s="185">
        <f>Table1[[#This Row],[ĐƠN GIÁ ]]*Table1[[#This Row],[SỐ LƯỢNG ]]</f>
        <v>200000</v>
      </c>
      <c r="K36" s="210">
        <f>Table1[[#This Row],[THÀNH TIỀN ]]*10%</f>
        <v>20000</v>
      </c>
    </row>
    <row r="37" spans="1:11" s="44" customFormat="1">
      <c r="A37" s="68">
        <v>43169</v>
      </c>
      <c r="B37" s="58" t="s">
        <v>231</v>
      </c>
      <c r="C37" s="58" t="s">
        <v>245</v>
      </c>
      <c r="D37" s="58"/>
      <c r="E37" s="58" t="s">
        <v>235</v>
      </c>
      <c r="F37" s="185"/>
      <c r="G37" s="140">
        <v>14</v>
      </c>
      <c r="H37" s="89">
        <v>1</v>
      </c>
      <c r="I37" s="210">
        <v>1200000</v>
      </c>
      <c r="J37" s="185">
        <f>Table1[[#This Row],[ĐƠN GIÁ ]]*Table1[[#This Row],[SỐ LƯỢNG ]]</f>
        <v>1200000</v>
      </c>
      <c r="K37" s="210">
        <f>Table1[[#This Row],[THÀNH TIỀN ]]*10%</f>
        <v>120000</v>
      </c>
    </row>
    <row r="38" spans="1:11" s="44" customFormat="1">
      <c r="A38" s="68">
        <v>43169</v>
      </c>
      <c r="B38" s="58" t="s">
        <v>236</v>
      </c>
      <c r="C38" s="58" t="s">
        <v>255</v>
      </c>
      <c r="D38" s="58" t="s">
        <v>238</v>
      </c>
      <c r="E38" s="58"/>
      <c r="F38" s="185"/>
      <c r="G38" s="140"/>
      <c r="H38" s="89">
        <v>5</v>
      </c>
      <c r="I38" s="210">
        <v>350000</v>
      </c>
      <c r="J38" s="185">
        <f>Table1[[#This Row],[ĐƠN GIÁ ]]*Table1[[#This Row],[SỐ LƯỢNG ]]</f>
        <v>1750000</v>
      </c>
      <c r="K38" s="210">
        <f>Table1[[#This Row],[THÀNH TIỀN ]]*10%</f>
        <v>175000</v>
      </c>
    </row>
    <row r="39" spans="1:11" s="44" customFormat="1">
      <c r="A39" s="68">
        <v>43169</v>
      </c>
      <c r="B39" s="58" t="s">
        <v>236</v>
      </c>
      <c r="C39" s="58" t="s">
        <v>246</v>
      </c>
      <c r="D39" s="58" t="s">
        <v>238</v>
      </c>
      <c r="E39" s="58"/>
      <c r="F39" s="185"/>
      <c r="G39" s="140"/>
      <c r="H39" s="89">
        <v>4</v>
      </c>
      <c r="I39" s="210">
        <v>190000</v>
      </c>
      <c r="J39" s="185">
        <f>Table1[[#This Row],[ĐƠN GIÁ ]]*Table1[[#This Row],[SỐ LƯỢNG ]]</f>
        <v>760000</v>
      </c>
      <c r="K39" s="210">
        <f>Table1[[#This Row],[THÀNH TIỀN ]]*10%</f>
        <v>76000</v>
      </c>
    </row>
    <row r="40" spans="1:11" s="44" customFormat="1">
      <c r="A40" s="68">
        <v>43169</v>
      </c>
      <c r="B40" s="58" t="s">
        <v>236</v>
      </c>
      <c r="C40" s="58" t="s">
        <v>256</v>
      </c>
      <c r="D40" s="58" t="s">
        <v>238</v>
      </c>
      <c r="E40" s="58"/>
      <c r="F40" s="185"/>
      <c r="G40" s="140"/>
      <c r="H40" s="89">
        <v>7</v>
      </c>
      <c r="I40" s="210">
        <v>350000</v>
      </c>
      <c r="J40" s="185">
        <f>Table1[[#This Row],[ĐƠN GIÁ ]]*Table1[[#This Row],[SỐ LƯỢNG ]]</f>
        <v>2450000</v>
      </c>
      <c r="K40" s="210">
        <f>Table1[[#This Row],[THÀNH TIỀN ]]*10%</f>
        <v>245000</v>
      </c>
    </row>
    <row r="41" spans="1:11" s="44" customFormat="1">
      <c r="A41" s="68">
        <v>43170</v>
      </c>
      <c r="B41" s="58" t="s">
        <v>236</v>
      </c>
      <c r="C41" s="58" t="s">
        <v>246</v>
      </c>
      <c r="D41" s="58" t="s">
        <v>238</v>
      </c>
      <c r="E41" s="58"/>
      <c r="F41" s="185"/>
      <c r="G41" s="140"/>
      <c r="H41" s="89">
        <v>1</v>
      </c>
      <c r="I41" s="210">
        <v>190000</v>
      </c>
      <c r="J41" s="185">
        <f>Table1[[#This Row],[ĐƠN GIÁ ]]*Table1[[#This Row],[SỐ LƯỢNG ]]</f>
        <v>190000</v>
      </c>
      <c r="K41" s="210">
        <f>Table1[[#This Row],[THÀNH TIỀN ]]*10%</f>
        <v>19000</v>
      </c>
    </row>
    <row r="42" spans="1:11" s="44" customFormat="1">
      <c r="A42" s="68">
        <v>43170</v>
      </c>
      <c r="B42" s="58" t="s">
        <v>243</v>
      </c>
      <c r="C42" s="58" t="s">
        <v>246</v>
      </c>
      <c r="D42" s="58" t="s">
        <v>238</v>
      </c>
      <c r="E42" s="58"/>
      <c r="F42" s="185"/>
      <c r="G42" s="140"/>
      <c r="H42" s="89">
        <v>14</v>
      </c>
      <c r="I42" s="210">
        <v>180000</v>
      </c>
      <c r="J42" s="185">
        <f>Table1[[#This Row],[ĐƠN GIÁ ]]*Table1[[#This Row],[SỐ LƯỢNG ]]</f>
        <v>2520000</v>
      </c>
      <c r="K42" s="210">
        <f>Table1[[#This Row],[THÀNH TIỀN ]]*10%</f>
        <v>252000</v>
      </c>
    </row>
    <row r="43" spans="1:11" s="44" customFormat="1">
      <c r="A43" s="68">
        <v>43170</v>
      </c>
      <c r="B43" s="58" t="s">
        <v>257</v>
      </c>
      <c r="C43" s="58" t="s">
        <v>249</v>
      </c>
      <c r="D43" s="58"/>
      <c r="E43" s="58" t="s">
        <v>235</v>
      </c>
      <c r="F43" s="185"/>
      <c r="G43" s="140">
        <v>14</v>
      </c>
      <c r="H43" s="89">
        <v>1</v>
      </c>
      <c r="I43" s="210">
        <v>1200000</v>
      </c>
      <c r="J43" s="185">
        <f>Table1[[#This Row],[ĐƠN GIÁ ]]*Table1[[#This Row],[SỐ LƯỢNG ]]</f>
        <v>1200000</v>
      </c>
      <c r="K43" s="210">
        <f>Table1[[#This Row],[THÀNH TIỀN ]]*10%</f>
        <v>120000</v>
      </c>
    </row>
    <row r="44" spans="1:11" s="44" customFormat="1">
      <c r="A44" s="68">
        <v>43171</v>
      </c>
      <c r="B44" s="58" t="s">
        <v>231</v>
      </c>
      <c r="C44" s="58" t="s">
        <v>245</v>
      </c>
      <c r="D44" s="58"/>
      <c r="E44" s="58" t="s">
        <v>235</v>
      </c>
      <c r="F44" s="185"/>
      <c r="G44" s="140">
        <v>28</v>
      </c>
      <c r="H44" s="89">
        <v>2</v>
      </c>
      <c r="I44" s="210">
        <v>1200000</v>
      </c>
      <c r="J44" s="185">
        <f>Table1[[#This Row],[ĐƠN GIÁ ]]*Table1[[#This Row],[SỐ LƯỢNG ]]</f>
        <v>2400000</v>
      </c>
      <c r="K44" s="210">
        <f>Table1[[#This Row],[THÀNH TIỀN ]]*10%</f>
        <v>240000</v>
      </c>
    </row>
    <row r="45" spans="1:11" s="44" customFormat="1">
      <c r="A45" s="68">
        <v>43171</v>
      </c>
      <c r="B45" s="58" t="s">
        <v>243</v>
      </c>
      <c r="C45" s="58" t="s">
        <v>246</v>
      </c>
      <c r="D45" s="58" t="s">
        <v>238</v>
      </c>
      <c r="E45" s="58"/>
      <c r="F45" s="185"/>
      <c r="G45" s="140"/>
      <c r="H45" s="89">
        <v>6</v>
      </c>
      <c r="I45" s="210">
        <v>180000</v>
      </c>
      <c r="J45" s="185">
        <f>Table1[[#This Row],[ĐƠN GIÁ ]]*Table1[[#This Row],[SỐ LƯỢNG ]]</f>
        <v>1080000</v>
      </c>
      <c r="K45" s="210">
        <f>Table1[[#This Row],[THÀNH TIỀN ]]*10%</f>
        <v>108000</v>
      </c>
    </row>
    <row r="46" spans="1:11" s="44" customFormat="1">
      <c r="A46" s="68">
        <v>43171</v>
      </c>
      <c r="B46" s="58" t="s">
        <v>258</v>
      </c>
      <c r="C46" s="58" t="s">
        <v>259</v>
      </c>
      <c r="D46" s="58" t="s">
        <v>238</v>
      </c>
      <c r="E46" s="58"/>
      <c r="F46" s="185"/>
      <c r="G46" s="140"/>
      <c r="H46" s="89">
        <v>4</v>
      </c>
      <c r="I46" s="210">
        <v>230000</v>
      </c>
      <c r="J46" s="185">
        <f>Table1[[#This Row],[ĐƠN GIÁ ]]*Table1[[#This Row],[SỐ LƯỢNG ]]</f>
        <v>920000</v>
      </c>
      <c r="K46" s="210">
        <f>Table1[[#This Row],[THÀNH TIỀN ]]*10%</f>
        <v>92000</v>
      </c>
    </row>
    <row r="47" spans="1:11" s="44" customFormat="1">
      <c r="A47" s="68">
        <v>43172</v>
      </c>
      <c r="B47" s="58" t="s">
        <v>231</v>
      </c>
      <c r="C47" s="58" t="s">
        <v>260</v>
      </c>
      <c r="D47" s="58"/>
      <c r="E47" s="58" t="s">
        <v>261</v>
      </c>
      <c r="F47" s="185"/>
      <c r="G47" s="140"/>
      <c r="H47" s="89">
        <v>3</v>
      </c>
      <c r="I47" s="210">
        <v>1200000</v>
      </c>
      <c r="J47" s="185">
        <f>Table1[[#This Row],[ĐƠN GIÁ ]]*Table1[[#This Row],[SỐ LƯỢNG ]]</f>
        <v>3600000</v>
      </c>
      <c r="K47" s="210">
        <f>Table1[[#This Row],[THÀNH TIỀN ]]*10%</f>
        <v>360000</v>
      </c>
    </row>
    <row r="48" spans="1:11" s="44" customFormat="1">
      <c r="A48" s="68">
        <v>43174</v>
      </c>
      <c r="B48" s="58" t="s">
        <v>231</v>
      </c>
      <c r="C48" s="58" t="s">
        <v>260</v>
      </c>
      <c r="D48" s="58"/>
      <c r="E48" s="58" t="s">
        <v>261</v>
      </c>
      <c r="F48" s="185"/>
      <c r="G48" s="140"/>
      <c r="H48" s="89">
        <v>1</v>
      </c>
      <c r="I48" s="210">
        <v>1200000</v>
      </c>
      <c r="J48" s="185">
        <f>Table1[[#This Row],[ĐƠN GIÁ ]]*Table1[[#This Row],[SỐ LƯỢNG ]]</f>
        <v>1200000</v>
      </c>
      <c r="K48" s="210">
        <f>Table1[[#This Row],[THÀNH TIỀN ]]*10%</f>
        <v>120000</v>
      </c>
    </row>
    <row r="49" spans="1:11" s="44" customFormat="1">
      <c r="A49" s="68">
        <v>43174</v>
      </c>
      <c r="B49" s="58" t="s">
        <v>243</v>
      </c>
      <c r="C49" s="58" t="s">
        <v>260</v>
      </c>
      <c r="D49" s="58" t="s">
        <v>238</v>
      </c>
      <c r="E49" s="58"/>
      <c r="F49" s="185"/>
      <c r="G49" s="140"/>
      <c r="H49" s="89">
        <v>20</v>
      </c>
      <c r="I49" s="210">
        <v>180000</v>
      </c>
      <c r="J49" s="185">
        <f>Table1[[#This Row],[ĐƠN GIÁ ]]*Table1[[#This Row],[SỐ LƯỢNG ]]</f>
        <v>3600000</v>
      </c>
      <c r="K49" s="210">
        <f>Table1[[#This Row],[THÀNH TIỀN ]]*10%</f>
        <v>360000</v>
      </c>
    </row>
    <row r="50" spans="1:11" s="44" customFormat="1">
      <c r="A50" s="68">
        <v>43174</v>
      </c>
      <c r="B50" s="58" t="s">
        <v>258</v>
      </c>
      <c r="C50" s="58" t="s">
        <v>262</v>
      </c>
      <c r="D50" s="58" t="s">
        <v>238</v>
      </c>
      <c r="E50" s="58"/>
      <c r="F50" s="185"/>
      <c r="G50" s="140"/>
      <c r="H50" s="89">
        <v>1</v>
      </c>
      <c r="I50" s="210">
        <v>180000</v>
      </c>
      <c r="J50" s="185">
        <f>Table1[[#This Row],[ĐƠN GIÁ ]]*Table1[[#This Row],[SỐ LƯỢNG ]]</f>
        <v>180000</v>
      </c>
      <c r="K50" s="210">
        <f>Table1[[#This Row],[THÀNH TIỀN ]]*10%</f>
        <v>18000</v>
      </c>
    </row>
    <row r="51" spans="1:11" s="44" customFormat="1">
      <c r="A51" s="68">
        <v>43175</v>
      </c>
      <c r="B51" s="58" t="s">
        <v>231</v>
      </c>
      <c r="C51" s="58" t="s">
        <v>232</v>
      </c>
      <c r="D51" s="58"/>
      <c r="E51" s="58" t="s">
        <v>233</v>
      </c>
      <c r="F51" s="185"/>
      <c r="G51" s="58">
        <v>15.51</v>
      </c>
      <c r="H51" s="89">
        <v>1</v>
      </c>
      <c r="I51" s="210">
        <v>1000000</v>
      </c>
      <c r="J51" s="185">
        <f>Table1[[#This Row],[ĐƠN GIÁ ]]*Table1[[#This Row],[SỐ LƯỢNG ]]</f>
        <v>1000000</v>
      </c>
      <c r="K51" s="210">
        <f>Table1[[#This Row],[THÀNH TIỀN ]]*10%</f>
        <v>100000</v>
      </c>
    </row>
    <row r="52" spans="1:11" s="44" customFormat="1">
      <c r="A52" s="68">
        <v>43175</v>
      </c>
      <c r="B52" s="58" t="s">
        <v>263</v>
      </c>
      <c r="C52" s="58" t="s">
        <v>264</v>
      </c>
      <c r="D52" s="58" t="s">
        <v>238</v>
      </c>
      <c r="E52" s="58"/>
      <c r="F52" s="185"/>
      <c r="G52" s="140"/>
      <c r="H52" s="89">
        <v>1</v>
      </c>
      <c r="I52" s="210">
        <v>230000</v>
      </c>
      <c r="J52" s="185">
        <f>Table1[[#This Row],[ĐƠN GIÁ ]]*Table1[[#This Row],[SỐ LƯỢNG ]]</f>
        <v>230000</v>
      </c>
      <c r="K52" s="210">
        <f>Table1[[#This Row],[THÀNH TIỀN ]]*10%</f>
        <v>23000</v>
      </c>
    </row>
    <row r="53" spans="1:11" s="44" customFormat="1">
      <c r="A53" s="68">
        <v>43176</v>
      </c>
      <c r="B53" s="58" t="s">
        <v>231</v>
      </c>
      <c r="C53" s="58" t="s">
        <v>245</v>
      </c>
      <c r="D53" s="58"/>
      <c r="E53" s="58" t="s">
        <v>235</v>
      </c>
      <c r="F53" s="185"/>
      <c r="G53" s="140">
        <v>14.3</v>
      </c>
      <c r="H53" s="89">
        <v>1</v>
      </c>
      <c r="I53" s="210">
        <v>1200000</v>
      </c>
      <c r="J53" s="185">
        <f>Table1[[#This Row],[ĐƠN GIÁ ]]*Table1[[#This Row],[SỐ LƯỢNG ]]</f>
        <v>1200000</v>
      </c>
      <c r="K53" s="210">
        <f>Table1[[#This Row],[THÀNH TIỀN ]]*10%</f>
        <v>120000</v>
      </c>
    </row>
    <row r="54" spans="1:11" s="44" customFormat="1">
      <c r="A54" s="68">
        <v>43176</v>
      </c>
      <c r="B54" s="58" t="s">
        <v>236</v>
      </c>
      <c r="C54" s="58" t="s">
        <v>260</v>
      </c>
      <c r="D54" s="58" t="s">
        <v>238</v>
      </c>
      <c r="E54" s="58"/>
      <c r="F54" s="185"/>
      <c r="G54" s="140"/>
      <c r="H54" s="89">
        <v>13</v>
      </c>
      <c r="I54" s="210">
        <v>190000</v>
      </c>
      <c r="J54" s="185">
        <f>Table1[[#This Row],[ĐƠN GIÁ ]]*Table1[[#This Row],[SỐ LƯỢNG ]]</f>
        <v>2470000</v>
      </c>
      <c r="K54" s="210">
        <f>Table1[[#This Row],[THÀNH TIỀN ]]*10%</f>
        <v>247000</v>
      </c>
    </row>
    <row r="55" spans="1:11" s="44" customFormat="1">
      <c r="A55" s="68">
        <v>43177</v>
      </c>
      <c r="B55" s="58" t="s">
        <v>265</v>
      </c>
      <c r="C55" s="58" t="s">
        <v>266</v>
      </c>
      <c r="D55" s="58" t="s">
        <v>238</v>
      </c>
      <c r="E55" s="58"/>
      <c r="F55" s="185"/>
      <c r="G55" s="140"/>
      <c r="H55" s="89">
        <v>16</v>
      </c>
      <c r="I55" s="210">
        <v>180000</v>
      </c>
      <c r="J55" s="185">
        <f>Table1[[#This Row],[ĐƠN GIÁ ]]*Table1[[#This Row],[SỐ LƯỢNG ]]</f>
        <v>2880000</v>
      </c>
      <c r="K55" s="210">
        <f>Table1[[#This Row],[THÀNH TIỀN ]]*10%</f>
        <v>288000</v>
      </c>
    </row>
    <row r="56" spans="1:11" s="44" customFormat="1">
      <c r="A56" s="68">
        <v>43177</v>
      </c>
      <c r="B56" s="58" t="s">
        <v>231</v>
      </c>
      <c r="C56" s="58" t="s">
        <v>232</v>
      </c>
      <c r="D56" s="58"/>
      <c r="E56" s="58" t="s">
        <v>233</v>
      </c>
      <c r="F56" s="185"/>
      <c r="G56" s="58">
        <v>14.89</v>
      </c>
      <c r="H56" s="89">
        <v>1</v>
      </c>
      <c r="I56" s="210">
        <v>1000000</v>
      </c>
      <c r="J56" s="185">
        <f>Table1[[#This Row],[ĐƠN GIÁ ]]*Table1[[#This Row],[SỐ LƯỢNG ]]</f>
        <v>1000000</v>
      </c>
      <c r="K56" s="210">
        <f>Table1[[#This Row],[THÀNH TIỀN ]]*10%</f>
        <v>100000</v>
      </c>
    </row>
    <row r="57" spans="1:11" s="44" customFormat="1">
      <c r="A57" s="68">
        <v>43178</v>
      </c>
      <c r="B57" s="58" t="s">
        <v>265</v>
      </c>
      <c r="C57" s="58" t="s">
        <v>266</v>
      </c>
      <c r="D57" s="58" t="s">
        <v>238</v>
      </c>
      <c r="E57" s="58"/>
      <c r="F57" s="185"/>
      <c r="G57" s="140"/>
      <c r="H57" s="89">
        <v>5</v>
      </c>
      <c r="I57" s="210">
        <v>180000</v>
      </c>
      <c r="J57" s="185">
        <f>Table1[[#This Row],[ĐƠN GIÁ ]]*Table1[[#This Row],[SỐ LƯỢNG ]]</f>
        <v>900000</v>
      </c>
      <c r="K57" s="210">
        <f>Table1[[#This Row],[THÀNH TIỀN ]]*10%</f>
        <v>90000</v>
      </c>
    </row>
    <row r="58" spans="1:11" s="44" customFormat="1">
      <c r="A58" s="68">
        <v>43178</v>
      </c>
      <c r="B58" s="58" t="s">
        <v>231</v>
      </c>
      <c r="C58" s="58" t="s">
        <v>232</v>
      </c>
      <c r="D58" s="58"/>
      <c r="E58" s="58"/>
      <c r="F58" s="185"/>
      <c r="G58" s="58">
        <v>15.16</v>
      </c>
      <c r="H58" s="89">
        <v>1</v>
      </c>
      <c r="I58" s="210">
        <v>1000000</v>
      </c>
      <c r="J58" s="185">
        <f>Table1[[#This Row],[ĐƠN GIÁ ]]*Table1[[#This Row],[SỐ LƯỢNG ]]</f>
        <v>1000000</v>
      </c>
      <c r="K58" s="210">
        <f>Table1[[#This Row],[THÀNH TIỀN ]]*10%</f>
        <v>100000</v>
      </c>
    </row>
    <row r="59" spans="1:11" s="44" customFormat="1">
      <c r="A59" s="68">
        <v>43179</v>
      </c>
      <c r="B59" s="58" t="s">
        <v>257</v>
      </c>
      <c r="C59" s="58" t="s">
        <v>267</v>
      </c>
      <c r="D59" s="58" t="s">
        <v>268</v>
      </c>
      <c r="E59" s="58" t="s">
        <v>235</v>
      </c>
      <c r="F59" s="185"/>
      <c r="G59" s="140">
        <v>14.506666666666666</v>
      </c>
      <c r="H59" s="89">
        <v>1</v>
      </c>
      <c r="I59" s="210">
        <v>1200000</v>
      </c>
      <c r="J59" s="185">
        <f>Table1[[#This Row],[ĐƠN GIÁ ]]*Table1[[#This Row],[SỐ LƯỢNG ]]</f>
        <v>1200000</v>
      </c>
      <c r="K59" s="210">
        <f>Table1[[#This Row],[THÀNH TIỀN ]]*10%</f>
        <v>120000</v>
      </c>
    </row>
    <row r="60" spans="1:11" s="44" customFormat="1">
      <c r="A60" s="68">
        <v>43179</v>
      </c>
      <c r="B60" s="58" t="s">
        <v>257</v>
      </c>
      <c r="C60" s="58" t="s">
        <v>232</v>
      </c>
      <c r="D60" s="58"/>
      <c r="E60" s="58" t="s">
        <v>235</v>
      </c>
      <c r="F60" s="185"/>
      <c r="G60" s="58">
        <v>22</v>
      </c>
      <c r="H60" s="89">
        <v>2</v>
      </c>
      <c r="I60" s="210">
        <v>1000000</v>
      </c>
      <c r="J60" s="185">
        <f>Table1[[#This Row],[ĐƠN GIÁ ]]*Table1[[#This Row],[SỐ LƯỢNG ]]</f>
        <v>2000000</v>
      </c>
      <c r="K60" s="210">
        <f>Table1[[#This Row],[THÀNH TIỀN ]]*10%</f>
        <v>200000</v>
      </c>
    </row>
    <row r="61" spans="1:11" s="44" customFormat="1">
      <c r="A61" s="68">
        <v>43180</v>
      </c>
      <c r="B61" s="58" t="s">
        <v>257</v>
      </c>
      <c r="C61" s="58" t="s">
        <v>269</v>
      </c>
      <c r="D61" s="58"/>
      <c r="E61" s="58" t="s">
        <v>270</v>
      </c>
      <c r="F61" s="185"/>
      <c r="G61" s="140">
        <f>11.9+14</f>
        <v>25.9</v>
      </c>
      <c r="H61" s="89">
        <v>2</v>
      </c>
      <c r="I61" s="210">
        <v>1200000</v>
      </c>
      <c r="J61" s="185">
        <f>Table1[[#This Row],[ĐƠN GIÁ ]]*Table1[[#This Row],[SỐ LƯỢNG ]]</f>
        <v>2400000</v>
      </c>
      <c r="K61" s="210">
        <f>Table1[[#This Row],[THÀNH TIỀN ]]*10%</f>
        <v>240000</v>
      </c>
    </row>
    <row r="62" spans="1:11" s="44" customFormat="1">
      <c r="A62" s="68">
        <v>43180</v>
      </c>
      <c r="B62" s="58" t="s">
        <v>257</v>
      </c>
      <c r="C62" s="58" t="s">
        <v>232</v>
      </c>
      <c r="D62" s="58"/>
      <c r="E62" s="58" t="s">
        <v>271</v>
      </c>
      <c r="F62" s="185"/>
      <c r="G62" s="58">
        <v>13</v>
      </c>
      <c r="H62" s="89">
        <v>1</v>
      </c>
      <c r="I62" s="210">
        <v>1000000</v>
      </c>
      <c r="J62" s="185">
        <f>Table1[[#This Row],[ĐƠN GIÁ ]]*Table1[[#This Row],[SỐ LƯỢNG ]]</f>
        <v>1000000</v>
      </c>
      <c r="K62" s="210">
        <f>Table1[[#This Row],[THÀNH TIỀN ]]*10%</f>
        <v>100000</v>
      </c>
    </row>
    <row r="63" spans="1:11" s="57" customFormat="1">
      <c r="A63" s="110">
        <v>43181</v>
      </c>
      <c r="B63" s="58" t="s">
        <v>272</v>
      </c>
      <c r="C63" s="58" t="s">
        <v>269</v>
      </c>
      <c r="D63" s="58"/>
      <c r="E63" s="58"/>
      <c r="F63" s="58"/>
      <c r="G63" s="58" t="s">
        <v>504</v>
      </c>
      <c r="H63" s="89">
        <v>2</v>
      </c>
      <c r="I63" s="210">
        <v>150000</v>
      </c>
      <c r="J63" s="266">
        <f>Table1[[#This Row],[ĐƠN GIÁ ]]*Table1[[#This Row],[SỐ LƯỢNG ]]</f>
        <v>300000</v>
      </c>
      <c r="K63" s="113">
        <f>Table1[[#This Row],[THÀNH TIỀN ]]*10%</f>
        <v>30000</v>
      </c>
    </row>
    <row r="64" spans="1:11" s="57" customFormat="1">
      <c r="A64" s="110">
        <v>43181</v>
      </c>
      <c r="B64" s="58" t="s">
        <v>272</v>
      </c>
      <c r="C64" s="58" t="s">
        <v>269</v>
      </c>
      <c r="D64" s="58"/>
      <c r="E64" s="58"/>
      <c r="F64" s="58"/>
      <c r="G64" s="58" t="s">
        <v>500</v>
      </c>
      <c r="H64" s="89">
        <v>4</v>
      </c>
      <c r="I64" s="210">
        <v>100000</v>
      </c>
      <c r="J64" s="266">
        <f>Table1[[#This Row],[ĐƠN GIÁ ]]*Table1[[#This Row],[SỐ LƯỢNG ]]</f>
        <v>400000</v>
      </c>
      <c r="K64" s="113">
        <f>Table1[[#This Row],[THÀNH TIỀN ]]*10%</f>
        <v>40000</v>
      </c>
    </row>
    <row r="65" spans="1:11" s="44" customFormat="1">
      <c r="A65" s="68">
        <v>43182</v>
      </c>
      <c r="B65" s="58" t="s">
        <v>257</v>
      </c>
      <c r="C65" s="58" t="s">
        <v>269</v>
      </c>
      <c r="D65" s="58"/>
      <c r="E65" s="58" t="s">
        <v>270</v>
      </c>
      <c r="F65" s="185"/>
      <c r="G65" s="140">
        <v>28</v>
      </c>
      <c r="H65" s="89">
        <v>2</v>
      </c>
      <c r="I65" s="210">
        <v>1200000</v>
      </c>
      <c r="J65" s="185">
        <f>Table1[[#This Row],[ĐƠN GIÁ ]]*Table1[[#This Row],[SỐ LƯỢNG ]]</f>
        <v>2400000</v>
      </c>
      <c r="K65" s="210">
        <f>Table1[[#This Row],[THÀNH TIỀN ]]*10%</f>
        <v>240000</v>
      </c>
    </row>
    <row r="66" spans="1:11" s="44" customFormat="1">
      <c r="A66" s="68">
        <v>43183</v>
      </c>
      <c r="B66" s="58" t="s">
        <v>257</v>
      </c>
      <c r="C66" s="58" t="s">
        <v>232</v>
      </c>
      <c r="D66" s="58"/>
      <c r="E66" s="58" t="s">
        <v>271</v>
      </c>
      <c r="F66" s="185"/>
      <c r="G66" s="58">
        <v>12.5</v>
      </c>
      <c r="H66" s="89">
        <v>1</v>
      </c>
      <c r="I66" s="210">
        <v>1000000</v>
      </c>
      <c r="J66" s="185">
        <f>Table1[[#This Row],[ĐƠN GIÁ ]]*Table1[[#This Row],[SỐ LƯỢNG ]]</f>
        <v>1000000</v>
      </c>
      <c r="K66" s="210">
        <f>Table1[[#This Row],[THÀNH TIỀN ]]*10%</f>
        <v>100000</v>
      </c>
    </row>
    <row r="67" spans="1:11" s="44" customFormat="1">
      <c r="A67" s="68">
        <v>43184</v>
      </c>
      <c r="B67" s="58" t="s">
        <v>257</v>
      </c>
      <c r="C67" s="58" t="s">
        <v>269</v>
      </c>
      <c r="D67" s="58"/>
      <c r="E67" s="58" t="s">
        <v>270</v>
      </c>
      <c r="F67" s="185"/>
      <c r="G67" s="140">
        <v>42</v>
      </c>
      <c r="H67" s="89">
        <v>3</v>
      </c>
      <c r="I67" s="210">
        <v>1200000</v>
      </c>
      <c r="J67" s="185">
        <f>Table1[[#This Row],[ĐƠN GIÁ ]]*Table1[[#This Row],[SỐ LƯỢNG ]]</f>
        <v>3600000</v>
      </c>
      <c r="K67" s="210">
        <f>Table1[[#This Row],[THÀNH TIỀN ]]*10%</f>
        <v>360000</v>
      </c>
    </row>
    <row r="68" spans="1:11" s="44" customFormat="1">
      <c r="A68" s="68">
        <v>43184</v>
      </c>
      <c r="B68" s="58" t="s">
        <v>257</v>
      </c>
      <c r="C68" s="58" t="s">
        <v>232</v>
      </c>
      <c r="D68" s="58"/>
      <c r="E68" s="58" t="s">
        <v>250</v>
      </c>
      <c r="F68" s="185"/>
      <c r="G68" s="58">
        <v>12.5</v>
      </c>
      <c r="H68" s="89">
        <v>1</v>
      </c>
      <c r="I68" s="210">
        <v>1000000</v>
      </c>
      <c r="J68" s="185">
        <f>Table1[[#This Row],[ĐƠN GIÁ ]]*Table1[[#This Row],[SỐ LƯỢNG ]]</f>
        <v>1000000</v>
      </c>
      <c r="K68" s="210">
        <f>Table1[[#This Row],[THÀNH TIỀN ]]*10%</f>
        <v>100000</v>
      </c>
    </row>
    <row r="69" spans="1:11" s="44" customFormat="1">
      <c r="A69" s="68">
        <v>43185</v>
      </c>
      <c r="B69" s="58" t="s">
        <v>257</v>
      </c>
      <c r="C69" s="58" t="s">
        <v>269</v>
      </c>
      <c r="D69" s="58"/>
      <c r="E69" s="58" t="s">
        <v>270</v>
      </c>
      <c r="F69" s="185"/>
      <c r="G69" s="140">
        <v>42</v>
      </c>
      <c r="H69" s="89">
        <v>3</v>
      </c>
      <c r="I69" s="210">
        <v>1200000</v>
      </c>
      <c r="J69" s="185">
        <f>Table1[[#This Row],[ĐƠN GIÁ ]]*Table1[[#This Row],[SỐ LƯỢNG ]]</f>
        <v>3600000</v>
      </c>
      <c r="K69" s="210">
        <f>Table1[[#This Row],[THÀNH TIỀN ]]*10%</f>
        <v>360000</v>
      </c>
    </row>
    <row r="70" spans="1:11" s="44" customFormat="1">
      <c r="A70" s="68">
        <v>43185</v>
      </c>
      <c r="B70" s="58" t="s">
        <v>257</v>
      </c>
      <c r="C70" s="58" t="s">
        <v>232</v>
      </c>
      <c r="D70" s="58"/>
      <c r="E70" s="58" t="s">
        <v>271</v>
      </c>
      <c r="F70" s="185"/>
      <c r="G70" s="58">
        <v>12.5</v>
      </c>
      <c r="H70" s="89">
        <v>1</v>
      </c>
      <c r="I70" s="210">
        <v>1000000</v>
      </c>
      <c r="J70" s="185">
        <f>Table1[[#This Row],[ĐƠN GIÁ ]]*Table1[[#This Row],[SỐ LƯỢNG ]]</f>
        <v>1000000</v>
      </c>
      <c r="K70" s="210">
        <f>Table1[[#This Row],[THÀNH TIỀN ]]*10%</f>
        <v>100000</v>
      </c>
    </row>
    <row r="71" spans="1:11" s="44" customFormat="1">
      <c r="A71" s="68">
        <v>43185</v>
      </c>
      <c r="B71" s="58" t="s">
        <v>273</v>
      </c>
      <c r="C71" s="58" t="s">
        <v>274</v>
      </c>
      <c r="D71" s="58"/>
      <c r="E71" s="58" t="s">
        <v>233</v>
      </c>
      <c r="F71" s="185"/>
      <c r="G71" s="140"/>
      <c r="H71" s="89">
        <v>1</v>
      </c>
      <c r="I71" s="210">
        <v>200000</v>
      </c>
      <c r="J71" s="185">
        <f>Table1[[#This Row],[ĐƠN GIÁ ]]*Table1[[#This Row],[SỐ LƯỢNG ]]</f>
        <v>200000</v>
      </c>
      <c r="K71" s="210">
        <f>Table1[[#This Row],[THÀNH TIỀN ]]*10%</f>
        <v>20000</v>
      </c>
    </row>
    <row r="72" spans="1:11" s="44" customFormat="1">
      <c r="A72" s="68">
        <v>43186</v>
      </c>
      <c r="B72" s="58" t="s">
        <v>257</v>
      </c>
      <c r="C72" s="58" t="s">
        <v>269</v>
      </c>
      <c r="D72" s="58"/>
      <c r="E72" s="58" t="s">
        <v>270</v>
      </c>
      <c r="F72" s="185"/>
      <c r="G72" s="140">
        <v>42</v>
      </c>
      <c r="H72" s="89">
        <v>3</v>
      </c>
      <c r="I72" s="210">
        <v>1200000</v>
      </c>
      <c r="J72" s="185">
        <f>Table1[[#This Row],[ĐƠN GIÁ ]]*Table1[[#This Row],[SỐ LƯỢNG ]]</f>
        <v>3600000</v>
      </c>
      <c r="K72" s="210">
        <f>Table1[[#This Row],[THÀNH TIỀN ]]*10%</f>
        <v>360000</v>
      </c>
    </row>
    <row r="73" spans="1:11" s="44" customFormat="1">
      <c r="A73" s="68">
        <v>43187</v>
      </c>
      <c r="B73" s="58" t="s">
        <v>275</v>
      </c>
      <c r="C73" s="58" t="s">
        <v>269</v>
      </c>
      <c r="D73" s="58"/>
      <c r="E73" s="58" t="s">
        <v>500</v>
      </c>
      <c r="F73" s="185"/>
      <c r="G73" s="140"/>
      <c r="H73" s="89">
        <v>17</v>
      </c>
      <c r="I73" s="210">
        <v>100000</v>
      </c>
      <c r="J73" s="185">
        <f>Table1[[#This Row],[ĐƠN GIÁ ]]*Table1[[#This Row],[SỐ LƯỢNG ]]</f>
        <v>1700000</v>
      </c>
      <c r="K73" s="210">
        <f>Table1[[#This Row],[THÀNH TIỀN ]]*10%</f>
        <v>170000</v>
      </c>
    </row>
    <row r="74" spans="1:11" s="44" customFormat="1">
      <c r="A74" s="68">
        <v>43187</v>
      </c>
      <c r="B74" s="58" t="s">
        <v>257</v>
      </c>
      <c r="C74" s="58" t="s">
        <v>269</v>
      </c>
      <c r="D74" s="58"/>
      <c r="E74" s="58" t="s">
        <v>270</v>
      </c>
      <c r="F74" s="185"/>
      <c r="G74" s="140">
        <v>14</v>
      </c>
      <c r="H74" s="89">
        <v>1</v>
      </c>
      <c r="I74" s="210">
        <v>1100000</v>
      </c>
      <c r="J74" s="185">
        <f>Table1[[#This Row],[ĐƠN GIÁ ]]*Table1[[#This Row],[SỐ LƯỢNG ]]</f>
        <v>1100000</v>
      </c>
      <c r="K74" s="210">
        <f>Table1[[#This Row],[THÀNH TIỀN ]]*10%</f>
        <v>110000</v>
      </c>
    </row>
    <row r="75" spans="1:11" s="44" customFormat="1">
      <c r="A75" s="68">
        <v>43188</v>
      </c>
      <c r="B75" s="58" t="s">
        <v>276</v>
      </c>
      <c r="C75" s="58" t="s">
        <v>277</v>
      </c>
      <c r="D75" s="58"/>
      <c r="E75" s="58" t="s">
        <v>235</v>
      </c>
      <c r="F75" s="185"/>
      <c r="G75" s="140">
        <v>14.17</v>
      </c>
      <c r="H75" s="89">
        <v>1</v>
      </c>
      <c r="I75" s="210">
        <v>80000</v>
      </c>
      <c r="J75" s="185">
        <f>Table1[[#This Row],[ĐƠN GIÁ ]]*Table1[[#This Row],[SỐ LƯỢNG ]]</f>
        <v>80000</v>
      </c>
      <c r="K75" s="210">
        <f>Table1[[#This Row],[THÀNH TIỀN ]]*10%</f>
        <v>8000</v>
      </c>
    </row>
    <row r="76" spans="1:11" s="44" customFormat="1">
      <c r="A76" s="68">
        <v>43189</v>
      </c>
      <c r="B76" s="58" t="s">
        <v>257</v>
      </c>
      <c r="C76" s="58" t="s">
        <v>269</v>
      </c>
      <c r="D76" s="58"/>
      <c r="E76" s="58" t="s">
        <v>270</v>
      </c>
      <c r="F76" s="185"/>
      <c r="G76" s="140">
        <v>56</v>
      </c>
      <c r="H76" s="89">
        <v>4</v>
      </c>
      <c r="I76" s="210">
        <v>1100000</v>
      </c>
      <c r="J76" s="185">
        <f>Table1[[#This Row],[ĐƠN GIÁ ]]*Table1[[#This Row],[SỐ LƯỢNG ]]</f>
        <v>4400000</v>
      </c>
      <c r="K76" s="210">
        <f>Table1[[#This Row],[THÀNH TIỀN ]]*10%</f>
        <v>440000</v>
      </c>
    </row>
    <row r="77" spans="1:11" s="44" customFormat="1">
      <c r="A77" s="68">
        <v>43189</v>
      </c>
      <c r="B77" s="58" t="s">
        <v>278</v>
      </c>
      <c r="C77" s="58" t="s">
        <v>279</v>
      </c>
      <c r="D77" s="58" t="s">
        <v>238</v>
      </c>
      <c r="E77" s="58"/>
      <c r="F77" s="185"/>
      <c r="G77" s="140"/>
      <c r="H77" s="89">
        <v>5</v>
      </c>
      <c r="I77" s="211">
        <v>230000</v>
      </c>
      <c r="J77" s="185">
        <f>Table1[[#This Row],[ĐƠN GIÁ ]]*Table1[[#This Row],[SỐ LƯỢNG ]]</f>
        <v>1150000</v>
      </c>
      <c r="K77" s="211">
        <f>Table1[[#This Row],[THÀNH TIỀN ]]*10%</f>
        <v>115000</v>
      </c>
    </row>
    <row r="78" spans="1:11" s="44" customFormat="1">
      <c r="A78" s="68">
        <v>43190</v>
      </c>
      <c r="B78" s="58" t="s">
        <v>257</v>
      </c>
      <c r="C78" s="58" t="s">
        <v>471</v>
      </c>
      <c r="D78" s="58"/>
      <c r="E78" s="58" t="s">
        <v>250</v>
      </c>
      <c r="F78" s="185"/>
      <c r="G78" s="212">
        <v>73.5</v>
      </c>
      <c r="H78" s="213">
        <v>5</v>
      </c>
      <c r="I78" s="210">
        <v>1100000</v>
      </c>
      <c r="J78" s="214">
        <f>Table1[[#This Row],[ĐƠN GIÁ ]]*Table1[[#This Row],[SỐ LƯỢNG ]]</f>
        <v>5500000</v>
      </c>
      <c r="K78" s="210">
        <f>Table1[[#This Row],[THÀNH TIỀN ]]*10%</f>
        <v>550000</v>
      </c>
    </row>
    <row r="79" spans="1:11" s="44" customFormat="1">
      <c r="A79" s="152"/>
      <c r="B79" s="115"/>
      <c r="C79" s="115"/>
      <c r="D79" s="115"/>
      <c r="E79" s="115"/>
      <c r="F79" s="155"/>
      <c r="G79" s="153"/>
      <c r="H79" s="153">
        <f>SUBTOTAL(109,[[SỐ LƯỢNG ]])</f>
        <v>388</v>
      </c>
      <c r="I79" s="153"/>
      <c r="J79" s="155">
        <f>SUBTOTAL(109,[[THÀNH TIỀN ]])</f>
        <v>106106028</v>
      </c>
      <c r="K79" s="155">
        <f>SUBTOTAL(109,[LTX])</f>
        <v>10610602.800000001</v>
      </c>
    </row>
    <row r="80" spans="1:11" s="44" customFormat="1">
      <c r="A80" s="215"/>
      <c r="B80" s="216"/>
      <c r="C80" s="216"/>
      <c r="D80" s="216"/>
      <c r="E80" s="216"/>
      <c r="F80" s="217"/>
      <c r="G80" s="218"/>
      <c r="H80" s="219"/>
      <c r="I80" s="220"/>
      <c r="J80" s="221"/>
      <c r="K80" s="220"/>
    </row>
    <row r="82" spans="1:11">
      <c r="C82" s="313" t="s">
        <v>34</v>
      </c>
      <c r="D82" s="314"/>
      <c r="E82" s="314"/>
      <c r="F82" s="314"/>
      <c r="G82" s="315"/>
      <c r="H82" s="157"/>
      <c r="I82" s="158">
        <f>+Table1[[#Totals],[THÀNH TIỀN ]]</f>
        <v>106106028</v>
      </c>
    </row>
    <row r="83" spans="1:11">
      <c r="C83" s="313" t="s">
        <v>35</v>
      </c>
      <c r="D83" s="314"/>
      <c r="E83" s="314"/>
      <c r="F83" s="314"/>
      <c r="G83" s="315"/>
      <c r="H83" s="157"/>
      <c r="I83" s="158">
        <f>+Table1[[#Totals],[LTX]]</f>
        <v>10610602.800000001</v>
      </c>
    </row>
    <row r="84" spans="1:11">
      <c r="C84" s="313" t="s">
        <v>36</v>
      </c>
      <c r="D84" s="314"/>
      <c r="E84" s="314"/>
      <c r="F84" s="314"/>
      <c r="G84" s="315"/>
      <c r="H84" s="157"/>
      <c r="I84" s="158">
        <v>2000000</v>
      </c>
    </row>
    <row r="85" spans="1:11" s="2" customFormat="1">
      <c r="A85" s="222"/>
      <c r="B85" s="203"/>
      <c r="C85" s="313" t="s">
        <v>100</v>
      </c>
      <c r="D85" s="314"/>
      <c r="E85" s="314"/>
      <c r="F85" s="314"/>
      <c r="G85" s="315"/>
      <c r="H85" s="159"/>
      <c r="I85" s="158">
        <f>C103</f>
        <v>3237000</v>
      </c>
      <c r="J85" s="189"/>
      <c r="K85" s="189"/>
    </row>
    <row r="86" spans="1:11" s="2" customFormat="1">
      <c r="A86" s="222"/>
      <c r="B86" s="203"/>
      <c r="C86" s="313" t="s">
        <v>111</v>
      </c>
      <c r="D86" s="314"/>
      <c r="E86" s="314"/>
      <c r="F86" s="314"/>
      <c r="G86" s="315"/>
      <c r="H86" s="159"/>
      <c r="I86" s="158">
        <f>I99</f>
        <v>27648000</v>
      </c>
      <c r="J86" s="189"/>
      <c r="K86" s="189"/>
    </row>
    <row r="87" spans="1:11" s="2" customFormat="1">
      <c r="A87" s="222"/>
      <c r="B87" s="203"/>
      <c r="C87" s="313" t="s">
        <v>112</v>
      </c>
      <c r="D87" s="314"/>
      <c r="E87" s="314"/>
      <c r="F87" s="314"/>
      <c r="G87" s="315"/>
      <c r="H87" s="159"/>
      <c r="I87" s="158">
        <f>+I82-I83-I84-I85-I86</f>
        <v>62610425.200000003</v>
      </c>
      <c r="J87" s="189"/>
      <c r="K87" s="189"/>
    </row>
    <row r="90" spans="1:11" s="2" customFormat="1">
      <c r="A90" s="222" t="s">
        <v>169</v>
      </c>
      <c r="B90" s="203"/>
      <c r="C90" s="203"/>
      <c r="D90" s="189"/>
      <c r="E90" s="189"/>
      <c r="F90" s="189" t="s">
        <v>170</v>
      </c>
      <c r="G90" s="222"/>
      <c r="H90" s="222"/>
      <c r="I90" s="222"/>
      <c r="J90" s="223"/>
      <c r="K90" s="222"/>
    </row>
    <row r="91" spans="1:11">
      <c r="A91" s="160" t="s">
        <v>149</v>
      </c>
      <c r="B91" s="144" t="s">
        <v>148</v>
      </c>
      <c r="C91" s="224">
        <v>420000</v>
      </c>
      <c r="D91" s="151"/>
      <c r="E91" s="151"/>
      <c r="F91" s="225" t="s">
        <v>280</v>
      </c>
      <c r="G91" s="321" t="s">
        <v>281</v>
      </c>
      <c r="H91" s="322"/>
      <c r="I91" s="318">
        <v>3500000</v>
      </c>
      <c r="J91" s="319"/>
      <c r="K91" s="320"/>
    </row>
    <row r="92" spans="1:11">
      <c r="A92" s="160" t="s">
        <v>174</v>
      </c>
      <c r="B92" s="144" t="s">
        <v>175</v>
      </c>
      <c r="C92" s="224">
        <v>120000</v>
      </c>
      <c r="F92" s="225" t="s">
        <v>282</v>
      </c>
      <c r="G92" s="321" t="s">
        <v>283</v>
      </c>
      <c r="H92" s="322"/>
      <c r="I92" s="318">
        <v>4500000</v>
      </c>
      <c r="J92" s="319"/>
      <c r="K92" s="320"/>
    </row>
    <row r="93" spans="1:11">
      <c r="A93" s="160" t="s">
        <v>174</v>
      </c>
      <c r="B93" s="144" t="s">
        <v>176</v>
      </c>
      <c r="C93" s="224">
        <v>9000</v>
      </c>
      <c r="F93" s="225" t="s">
        <v>282</v>
      </c>
      <c r="G93" s="321" t="s">
        <v>284</v>
      </c>
      <c r="H93" s="322"/>
      <c r="I93" s="318">
        <v>50000</v>
      </c>
      <c r="J93" s="319"/>
      <c r="K93" s="320"/>
    </row>
    <row r="94" spans="1:11">
      <c r="A94" s="160" t="s">
        <v>174</v>
      </c>
      <c r="B94" s="144" t="s">
        <v>177</v>
      </c>
      <c r="C94" s="224">
        <v>8000</v>
      </c>
      <c r="F94" s="68" t="s">
        <v>285</v>
      </c>
      <c r="G94" s="321" t="s">
        <v>286</v>
      </c>
      <c r="H94" s="322"/>
      <c r="I94" s="318">
        <v>4100000</v>
      </c>
      <c r="J94" s="319"/>
      <c r="K94" s="320"/>
    </row>
    <row r="95" spans="1:11">
      <c r="A95" s="226" t="s">
        <v>174</v>
      </c>
      <c r="B95" s="97" t="s">
        <v>178</v>
      </c>
      <c r="C95" s="227">
        <v>24000</v>
      </c>
      <c r="F95" s="68" t="s">
        <v>287</v>
      </c>
      <c r="G95" s="321" t="s">
        <v>288</v>
      </c>
      <c r="H95" s="322"/>
      <c r="I95" s="318">
        <v>5498000</v>
      </c>
      <c r="J95" s="319"/>
      <c r="K95" s="320"/>
    </row>
    <row r="96" spans="1:11">
      <c r="A96" s="226" t="s">
        <v>174</v>
      </c>
      <c r="B96" s="144" t="s">
        <v>179</v>
      </c>
      <c r="C96" s="224">
        <v>12000</v>
      </c>
      <c r="F96" s="68" t="s">
        <v>182</v>
      </c>
      <c r="G96" s="321" t="s">
        <v>289</v>
      </c>
      <c r="H96" s="322"/>
      <c r="I96" s="318">
        <v>4000000</v>
      </c>
      <c r="J96" s="319"/>
      <c r="K96" s="320"/>
    </row>
    <row r="97" spans="1:11">
      <c r="A97" s="226" t="s">
        <v>174</v>
      </c>
      <c r="B97" s="144" t="s">
        <v>180</v>
      </c>
      <c r="C97" s="224">
        <v>14000</v>
      </c>
      <c r="F97" s="68" t="s">
        <v>204</v>
      </c>
      <c r="G97" s="321" t="s">
        <v>290</v>
      </c>
      <c r="H97" s="322"/>
      <c r="I97" s="318">
        <v>3000000</v>
      </c>
      <c r="J97" s="319"/>
      <c r="K97" s="320"/>
    </row>
    <row r="98" spans="1:11">
      <c r="A98" s="226" t="s">
        <v>174</v>
      </c>
      <c r="B98" s="144" t="s">
        <v>181</v>
      </c>
      <c r="C98" s="224">
        <v>200000</v>
      </c>
      <c r="F98" s="68" t="s">
        <v>291</v>
      </c>
      <c r="G98" s="321" t="s">
        <v>290</v>
      </c>
      <c r="H98" s="322"/>
      <c r="I98" s="318">
        <v>3000000</v>
      </c>
      <c r="J98" s="319"/>
      <c r="K98" s="320"/>
    </row>
    <row r="99" spans="1:11">
      <c r="A99" s="226" t="s">
        <v>127</v>
      </c>
      <c r="B99" s="144" t="s">
        <v>128</v>
      </c>
      <c r="C99" s="224">
        <v>700000</v>
      </c>
      <c r="F99" s="161"/>
      <c r="G99" s="311"/>
      <c r="H99" s="312"/>
      <c r="I99" s="308">
        <f>SUM(I91:I98)</f>
        <v>27648000</v>
      </c>
      <c r="J99" s="309"/>
      <c r="K99" s="310"/>
    </row>
    <row r="100" spans="1:11">
      <c r="A100" s="226" t="s">
        <v>127</v>
      </c>
      <c r="B100" s="97" t="s">
        <v>129</v>
      </c>
      <c r="C100" s="227">
        <v>30000</v>
      </c>
      <c r="G100" s="26"/>
      <c r="H100" s="26"/>
      <c r="I100" s="26"/>
      <c r="J100" s="228"/>
      <c r="K100" s="26"/>
    </row>
    <row r="101" spans="1:11">
      <c r="A101" s="226" t="s">
        <v>127</v>
      </c>
      <c r="B101" s="97" t="s">
        <v>130</v>
      </c>
      <c r="C101" s="227">
        <v>1400000</v>
      </c>
      <c r="F101" s="222" t="s">
        <v>171</v>
      </c>
      <c r="G101" s="206"/>
      <c r="H101" s="229"/>
      <c r="I101" s="26"/>
      <c r="J101" s="228"/>
      <c r="K101" s="26"/>
    </row>
    <row r="102" spans="1:11">
      <c r="A102" s="160" t="s">
        <v>196</v>
      </c>
      <c r="B102" s="144" t="s">
        <v>45</v>
      </c>
      <c r="C102" s="224">
        <v>300000</v>
      </c>
      <c r="F102" s="225"/>
      <c r="G102" s="161"/>
      <c r="H102" s="162"/>
      <c r="I102" s="26"/>
      <c r="J102" s="228"/>
      <c r="K102" s="26"/>
    </row>
    <row r="103" spans="1:11">
      <c r="A103" s="230"/>
      <c r="B103" s="188"/>
      <c r="C103" s="231">
        <f>SUM(C91:C102)</f>
        <v>3237000</v>
      </c>
      <c r="F103" s="225"/>
      <c r="G103" s="161"/>
      <c r="H103" s="162"/>
      <c r="I103" s="26"/>
      <c r="J103" s="228"/>
      <c r="K103" s="26"/>
    </row>
    <row r="104" spans="1:11">
      <c r="F104" s="225"/>
      <c r="G104" s="161"/>
      <c r="H104" s="162"/>
      <c r="I104" s="26"/>
      <c r="J104" s="228"/>
      <c r="K104" s="26"/>
    </row>
    <row r="105" spans="1:11">
      <c r="C105" s="232">
        <f>SUM(H102:H109)</f>
        <v>0</v>
      </c>
      <c r="F105" s="225"/>
      <c r="G105" s="161"/>
      <c r="H105" s="162"/>
      <c r="I105" s="26"/>
      <c r="J105" s="228"/>
      <c r="K105" s="26"/>
    </row>
    <row r="106" spans="1:11">
      <c r="F106" s="225"/>
      <c r="G106" s="161"/>
      <c r="H106" s="162"/>
      <c r="I106" s="26"/>
      <c r="J106" s="228"/>
      <c r="K106" s="26"/>
    </row>
    <row r="107" spans="1:11">
      <c r="F107" s="225"/>
      <c r="G107" s="161"/>
      <c r="H107" s="162"/>
      <c r="I107" s="26"/>
      <c r="J107" s="228"/>
      <c r="K107" s="26"/>
    </row>
    <row r="108" spans="1:11">
      <c r="F108" s="225"/>
      <c r="G108" s="161"/>
      <c r="H108" s="162"/>
      <c r="I108" s="26"/>
      <c r="J108" s="228"/>
      <c r="K108" s="26"/>
    </row>
    <row r="109" spans="1:11">
      <c r="F109" s="225"/>
      <c r="G109" s="161"/>
      <c r="H109" s="162"/>
    </row>
  </sheetData>
  <mergeCells count="26">
    <mergeCell ref="I92:K92"/>
    <mergeCell ref="I91:K91"/>
    <mergeCell ref="I93:K93"/>
    <mergeCell ref="I94:K94"/>
    <mergeCell ref="I95:K95"/>
    <mergeCell ref="G94:H94"/>
    <mergeCell ref="G95:H95"/>
    <mergeCell ref="G96:H96"/>
    <mergeCell ref="G97:H97"/>
    <mergeCell ref="G98:H98"/>
    <mergeCell ref="I99:K99"/>
    <mergeCell ref="G99:H99"/>
    <mergeCell ref="C87:G87"/>
    <mergeCell ref="C84:G84"/>
    <mergeCell ref="A5:K7"/>
    <mergeCell ref="A8:K8"/>
    <mergeCell ref="C85:G85"/>
    <mergeCell ref="C86:G86"/>
    <mergeCell ref="C83:G83"/>
    <mergeCell ref="C82:G82"/>
    <mergeCell ref="I96:K96"/>
    <mergeCell ref="I97:K97"/>
    <mergeCell ref="I98:K98"/>
    <mergeCell ref="G91:H91"/>
    <mergeCell ref="G92:H92"/>
    <mergeCell ref="G93:H93"/>
  </mergeCells>
  <pageMargins left="0.7" right="0.7" top="0.75" bottom="0.75" header="0.3" footer="0.3"/>
  <pageSetup paperSize="9" orientation="landscape" horizontalDpi="300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C000"/>
  </sheetPr>
  <dimension ref="A1:M115"/>
  <sheetViews>
    <sheetView topLeftCell="A67" workbookViewId="0">
      <selection activeCell="D70" sqref="D70"/>
    </sheetView>
  </sheetViews>
  <sheetFormatPr defaultRowHeight="15"/>
  <cols>
    <col min="1" max="1" width="13.140625" style="26" customWidth="1"/>
    <col min="2" max="2" width="7.28515625" style="26" customWidth="1"/>
    <col min="3" max="3" width="18.28515625" style="26" bestFit="1" customWidth="1"/>
    <col min="4" max="4" width="26.140625" style="26" customWidth="1"/>
    <col min="5" max="5" width="7.42578125" style="26" customWidth="1"/>
    <col min="6" max="6" width="7.28515625" style="26" customWidth="1"/>
    <col min="7" max="7" width="8" style="26" customWidth="1"/>
    <col min="8" max="8" width="9.42578125" style="26" customWidth="1"/>
    <col min="9" max="9" width="11.5703125" style="26" customWidth="1"/>
    <col min="10" max="10" width="11.7109375" style="228" customWidth="1"/>
    <col min="11" max="11" width="11.5703125" style="26" customWidth="1"/>
  </cols>
  <sheetData>
    <row r="1" spans="1:11">
      <c r="A1" s="146" t="s">
        <v>0</v>
      </c>
      <c r="B1" s="146"/>
      <c r="C1" s="146"/>
      <c r="D1" s="147"/>
      <c r="E1" s="147"/>
      <c r="F1" s="147"/>
      <c r="G1" s="148"/>
      <c r="H1" s="149"/>
      <c r="I1" s="150"/>
      <c r="J1" s="150"/>
      <c r="K1" s="150"/>
    </row>
    <row r="2" spans="1:11">
      <c r="A2" s="146" t="s">
        <v>1</v>
      </c>
      <c r="B2" s="146"/>
      <c r="C2" s="146"/>
      <c r="D2" s="147"/>
      <c r="E2" s="147"/>
      <c r="F2" s="147"/>
      <c r="G2" s="148"/>
      <c r="H2" s="149"/>
      <c r="I2" s="150"/>
      <c r="J2" s="150"/>
      <c r="K2" s="150"/>
    </row>
    <row r="3" spans="1:11">
      <c r="A3" s="146" t="s">
        <v>2</v>
      </c>
      <c r="B3" s="146"/>
      <c r="C3" s="146"/>
      <c r="D3" s="147"/>
      <c r="E3" s="147"/>
      <c r="F3" s="147"/>
      <c r="G3" s="148"/>
      <c r="H3" s="149"/>
      <c r="I3" s="150"/>
      <c r="J3" s="150"/>
      <c r="K3" s="150"/>
    </row>
    <row r="4" spans="1:11">
      <c r="A4" s="146" t="s">
        <v>3</v>
      </c>
      <c r="B4" s="146"/>
      <c r="C4" s="146"/>
      <c r="D4" s="147"/>
      <c r="E4" s="147"/>
      <c r="F4" s="147"/>
      <c r="G4" s="148"/>
      <c r="H4" s="149"/>
      <c r="I4" s="150"/>
      <c r="J4" s="150"/>
      <c r="K4" s="150"/>
    </row>
    <row r="5" spans="1:11">
      <c r="A5" s="316" t="s">
        <v>222</v>
      </c>
      <c r="B5" s="316"/>
      <c r="C5" s="316"/>
      <c r="D5" s="316"/>
      <c r="E5" s="316"/>
      <c r="F5" s="316"/>
      <c r="G5" s="316"/>
      <c r="H5" s="316"/>
      <c r="I5" s="316"/>
      <c r="J5" s="316"/>
      <c r="K5" s="316"/>
    </row>
    <row r="6" spans="1:11">
      <c r="A6" s="316"/>
      <c r="B6" s="316"/>
      <c r="C6" s="316"/>
      <c r="D6" s="316"/>
      <c r="E6" s="316"/>
      <c r="F6" s="316"/>
      <c r="G6" s="316"/>
      <c r="H6" s="316"/>
      <c r="I6" s="316"/>
      <c r="J6" s="316"/>
      <c r="K6" s="316"/>
    </row>
    <row r="7" spans="1:11">
      <c r="A7" s="316"/>
      <c r="B7" s="316"/>
      <c r="C7" s="316"/>
      <c r="D7" s="316"/>
      <c r="E7" s="316"/>
      <c r="F7" s="316"/>
      <c r="G7" s="316"/>
      <c r="H7" s="316"/>
      <c r="I7" s="316"/>
      <c r="J7" s="316"/>
      <c r="K7" s="316"/>
    </row>
    <row r="8" spans="1:11" ht="18.75">
      <c r="D8" s="190" t="s">
        <v>30</v>
      </c>
    </row>
    <row r="10" spans="1:11" s="26" customFormat="1">
      <c r="A10" s="27" t="s">
        <v>5</v>
      </c>
      <c r="B10" s="28" t="s">
        <v>6</v>
      </c>
      <c r="C10" s="28" t="s">
        <v>7</v>
      </c>
      <c r="D10" s="29" t="s">
        <v>8</v>
      </c>
      <c r="E10" s="28" t="s">
        <v>9</v>
      </c>
      <c r="F10" s="28" t="s">
        <v>10</v>
      </c>
      <c r="G10" s="30" t="s">
        <v>12</v>
      </c>
      <c r="H10" s="29" t="s">
        <v>13</v>
      </c>
      <c r="I10" s="29" t="s">
        <v>14</v>
      </c>
      <c r="J10" s="29" t="s">
        <v>15</v>
      </c>
      <c r="K10" s="31" t="s">
        <v>16</v>
      </c>
    </row>
    <row r="11" spans="1:11" s="44" customFormat="1">
      <c r="A11" s="68">
        <v>43160</v>
      </c>
      <c r="B11" s="58" t="s">
        <v>418</v>
      </c>
      <c r="C11" s="124" t="s">
        <v>367</v>
      </c>
      <c r="D11" s="124" t="s">
        <v>412</v>
      </c>
      <c r="E11" s="58" t="s">
        <v>238</v>
      </c>
      <c r="F11" s="124"/>
      <c r="G11" s="257">
        <f t="shared" ref="G11:G43" si="0">K11/1600</f>
        <v>78.75</v>
      </c>
      <c r="H11" s="89">
        <v>14</v>
      </c>
      <c r="I11" s="139">
        <v>90000</v>
      </c>
      <c r="J11" s="185">
        <f>Table5[[#This Row],[ĐƠN GIÁ ]]*Table5[[#This Row],[SỐ LƯỢNG ]]</f>
        <v>1260000</v>
      </c>
      <c r="K11" s="185">
        <f>+Table5[[#This Row],[THÀNH TIỀN ]]*10%</f>
        <v>126000</v>
      </c>
    </row>
    <row r="12" spans="1:11" s="44" customFormat="1">
      <c r="A12" s="68">
        <v>43160</v>
      </c>
      <c r="B12" s="58" t="s">
        <v>418</v>
      </c>
      <c r="C12" s="58" t="s">
        <v>231</v>
      </c>
      <c r="D12" s="58" t="s">
        <v>232</v>
      </c>
      <c r="E12" s="58"/>
      <c r="F12" s="58" t="s">
        <v>233</v>
      </c>
      <c r="G12" s="257">
        <f t="shared" si="0"/>
        <v>125</v>
      </c>
      <c r="H12" s="89">
        <v>2</v>
      </c>
      <c r="I12" s="141">
        <v>1000000</v>
      </c>
      <c r="J12" s="185">
        <f>Table5[[#This Row],[ĐƠN GIÁ ]]*Table5[[#This Row],[SỐ LƯỢNG ]]</f>
        <v>2000000</v>
      </c>
      <c r="K12" s="185">
        <f>+Table5[[#This Row],[THÀNH TIỀN ]]*10%</f>
        <v>200000</v>
      </c>
    </row>
    <row r="13" spans="1:11" s="44" customFormat="1">
      <c r="A13" s="68">
        <v>43161</v>
      </c>
      <c r="B13" s="58" t="s">
        <v>418</v>
      </c>
      <c r="C13" s="58" t="s">
        <v>419</v>
      </c>
      <c r="D13" s="58" t="s">
        <v>240</v>
      </c>
      <c r="E13" s="58"/>
      <c r="F13" s="58" t="s">
        <v>233</v>
      </c>
      <c r="G13" s="140">
        <f t="shared" si="0"/>
        <v>18.75</v>
      </c>
      <c r="H13" s="89">
        <v>1</v>
      </c>
      <c r="I13" s="141">
        <v>300000</v>
      </c>
      <c r="J13" s="185">
        <f>Table5[[#This Row],[ĐƠN GIÁ ]]*Table5[[#This Row],[SỐ LƯỢNG ]]</f>
        <v>300000</v>
      </c>
      <c r="K13" s="185">
        <f>+Table5[[#This Row],[THÀNH TIỀN ]]*10%</f>
        <v>30000</v>
      </c>
    </row>
    <row r="14" spans="1:11" s="44" customFormat="1">
      <c r="A14" s="68">
        <v>43161</v>
      </c>
      <c r="B14" s="58" t="s">
        <v>418</v>
      </c>
      <c r="C14" s="58" t="s">
        <v>241</v>
      </c>
      <c r="D14" s="58" t="s">
        <v>242</v>
      </c>
      <c r="E14" s="58"/>
      <c r="F14" s="58"/>
      <c r="G14" s="257">
        <f t="shared" si="0"/>
        <v>155.23124999999999</v>
      </c>
      <c r="H14" s="89">
        <v>17</v>
      </c>
      <c r="I14" s="141">
        <f>24000*6.0875</f>
        <v>146100</v>
      </c>
      <c r="J14" s="185">
        <f>Table5[[#This Row],[ĐƠN GIÁ ]]*Table5[[#This Row],[SỐ LƯỢNG ]]</f>
        <v>2483700</v>
      </c>
      <c r="K14" s="185">
        <f>+Table5[[#This Row],[THÀNH TIỀN ]]*10%</f>
        <v>248370</v>
      </c>
    </row>
    <row r="15" spans="1:11" s="44" customFormat="1">
      <c r="A15" s="68">
        <v>43161</v>
      </c>
      <c r="B15" s="58" t="s">
        <v>418</v>
      </c>
      <c r="C15" s="58" t="s">
        <v>241</v>
      </c>
      <c r="D15" s="58" t="s">
        <v>240</v>
      </c>
      <c r="E15" s="58"/>
      <c r="F15" s="58"/>
      <c r="G15" s="257">
        <f t="shared" si="0"/>
        <v>168.75</v>
      </c>
      <c r="H15" s="89">
        <v>27</v>
      </c>
      <c r="I15" s="141">
        <v>100000</v>
      </c>
      <c r="J15" s="185">
        <f>Table5[[#This Row],[ĐƠN GIÁ ]]*Table5[[#This Row],[SỐ LƯỢNG ]]</f>
        <v>2700000</v>
      </c>
      <c r="K15" s="185">
        <f>+Table5[[#This Row],[THÀNH TIỀN ]]*10%</f>
        <v>270000</v>
      </c>
    </row>
    <row r="16" spans="1:11" s="44" customFormat="1">
      <c r="A16" s="68">
        <v>43162</v>
      </c>
      <c r="B16" s="58" t="s">
        <v>418</v>
      </c>
      <c r="C16" s="58" t="s">
        <v>231</v>
      </c>
      <c r="D16" s="58" t="s">
        <v>232</v>
      </c>
      <c r="E16" s="58"/>
      <c r="F16" s="58" t="s">
        <v>235</v>
      </c>
      <c r="G16" s="213">
        <f t="shared" si="0"/>
        <v>62.5</v>
      </c>
      <c r="H16" s="89">
        <v>1</v>
      </c>
      <c r="I16" s="141">
        <v>1000000</v>
      </c>
      <c r="J16" s="185">
        <f>Table5[[#This Row],[ĐƠN GIÁ ]]*Table5[[#This Row],[SỐ LƯỢNG ]]</f>
        <v>1000000</v>
      </c>
      <c r="K16" s="185">
        <f>+Table5[[#This Row],[THÀNH TIỀN ]]*10%</f>
        <v>100000</v>
      </c>
    </row>
    <row r="17" spans="1:13" s="44" customFormat="1">
      <c r="A17" s="68">
        <v>43162</v>
      </c>
      <c r="B17" s="58" t="s">
        <v>418</v>
      </c>
      <c r="C17" s="58" t="s">
        <v>231</v>
      </c>
      <c r="D17" s="58" t="s">
        <v>240</v>
      </c>
      <c r="E17" s="58"/>
      <c r="F17" s="58" t="s">
        <v>235</v>
      </c>
      <c r="G17" s="213">
        <f t="shared" si="0"/>
        <v>68.75</v>
      </c>
      <c r="H17" s="89">
        <v>1</v>
      </c>
      <c r="I17" s="141">
        <v>1100000</v>
      </c>
      <c r="J17" s="185">
        <f>Table5[[#This Row],[ĐƠN GIÁ ]]*Table5[[#This Row],[SỐ LƯỢNG ]]</f>
        <v>1100000</v>
      </c>
      <c r="K17" s="185">
        <f>+Table5[[#This Row],[THÀNH TIỀN ]]*10%</f>
        <v>110000</v>
      </c>
    </row>
    <row r="18" spans="1:13" s="44" customFormat="1">
      <c r="A18" s="68">
        <v>43162</v>
      </c>
      <c r="B18" s="58" t="s">
        <v>418</v>
      </c>
      <c r="C18" s="58" t="s">
        <v>243</v>
      </c>
      <c r="D18" s="58" t="s">
        <v>350</v>
      </c>
      <c r="E18" s="58" t="s">
        <v>238</v>
      </c>
      <c r="F18" s="58"/>
      <c r="G18" s="257">
        <f t="shared" si="0"/>
        <v>56.25</v>
      </c>
      <c r="H18" s="89">
        <v>5</v>
      </c>
      <c r="I18" s="141">
        <v>180000</v>
      </c>
      <c r="J18" s="185">
        <f>Table5[[#This Row],[ĐƠN GIÁ ]]*Table5[[#This Row],[SỐ LƯỢNG ]]</f>
        <v>900000</v>
      </c>
      <c r="K18" s="185">
        <f>+Table5[[#This Row],[THÀNH TIỀN ]]*10%</f>
        <v>90000</v>
      </c>
    </row>
    <row r="19" spans="1:13" s="44" customFormat="1">
      <c r="A19" s="68">
        <v>43163</v>
      </c>
      <c r="B19" s="58" t="s">
        <v>418</v>
      </c>
      <c r="C19" s="58" t="s">
        <v>241</v>
      </c>
      <c r="D19" s="58" t="s">
        <v>242</v>
      </c>
      <c r="E19" s="58"/>
      <c r="F19" s="58"/>
      <c r="G19" s="257">
        <f t="shared" si="0"/>
        <v>94.575000000000003</v>
      </c>
      <c r="H19" s="89">
        <v>10</v>
      </c>
      <c r="I19" s="141">
        <f>6.305*24000</f>
        <v>151320</v>
      </c>
      <c r="J19" s="185">
        <f>Table5[[#This Row],[ĐƠN GIÁ ]]*Table5[[#This Row],[SỐ LƯỢNG ]]</f>
        <v>1513200</v>
      </c>
      <c r="K19" s="185">
        <f>+Table5[[#This Row],[THÀNH TIỀN ]]*10%</f>
        <v>151320</v>
      </c>
      <c r="M19" s="44">
        <v>6.3049999999999997</v>
      </c>
    </row>
    <row r="20" spans="1:13" s="44" customFormat="1">
      <c r="A20" s="68">
        <v>43163</v>
      </c>
      <c r="B20" s="58" t="s">
        <v>418</v>
      </c>
      <c r="C20" s="58" t="s">
        <v>243</v>
      </c>
      <c r="D20" s="58" t="s">
        <v>246</v>
      </c>
      <c r="E20" s="58" t="s">
        <v>238</v>
      </c>
      <c r="F20" s="58"/>
      <c r="G20" s="257">
        <f t="shared" si="0"/>
        <v>22.5</v>
      </c>
      <c r="H20" s="89">
        <v>2</v>
      </c>
      <c r="I20" s="141">
        <v>180000</v>
      </c>
      <c r="J20" s="185">
        <f>Table5[[#This Row],[ĐƠN GIÁ ]]*Table5[[#This Row],[SỐ LƯỢNG ]]</f>
        <v>360000</v>
      </c>
      <c r="K20" s="185">
        <f>+Table5[[#This Row],[THÀNH TIỀN ]]*10%</f>
        <v>36000</v>
      </c>
    </row>
    <row r="21" spans="1:13" s="44" customFormat="1">
      <c r="A21" s="68">
        <v>43163</v>
      </c>
      <c r="B21" s="58" t="s">
        <v>418</v>
      </c>
      <c r="C21" s="58" t="s">
        <v>243</v>
      </c>
      <c r="D21" s="58" t="s">
        <v>244</v>
      </c>
      <c r="E21" s="58" t="s">
        <v>238</v>
      </c>
      <c r="F21" s="58"/>
      <c r="G21" s="257">
        <f t="shared" si="0"/>
        <v>103.125</v>
      </c>
      <c r="H21" s="89">
        <v>11</v>
      </c>
      <c r="I21" s="141">
        <v>150000</v>
      </c>
      <c r="J21" s="185">
        <f>Table5[[#This Row],[ĐƠN GIÁ ]]*Table5[[#This Row],[SỐ LƯỢNG ]]</f>
        <v>1650000</v>
      </c>
      <c r="K21" s="185">
        <f>+Table5[[#This Row],[THÀNH TIỀN ]]*10%</f>
        <v>165000</v>
      </c>
    </row>
    <row r="22" spans="1:13" s="44" customFormat="1">
      <c r="A22" s="68">
        <v>43164</v>
      </c>
      <c r="B22" s="58" t="s">
        <v>418</v>
      </c>
      <c r="C22" s="58" t="s">
        <v>348</v>
      </c>
      <c r="D22" s="58" t="s">
        <v>420</v>
      </c>
      <c r="E22" s="58" t="s">
        <v>238</v>
      </c>
      <c r="F22" s="58"/>
      <c r="G22" s="257">
        <f t="shared" si="0"/>
        <v>21.875</v>
      </c>
      <c r="H22" s="89">
        <v>1</v>
      </c>
      <c r="I22" s="141">
        <v>350000</v>
      </c>
      <c r="J22" s="185">
        <f>Table5[[#This Row],[ĐƠN GIÁ ]]*Table5[[#This Row],[SỐ LƯỢNG ]]</f>
        <v>350000</v>
      </c>
      <c r="K22" s="185">
        <f>+Table5[[#This Row],[THÀNH TIỀN ]]*10%</f>
        <v>35000</v>
      </c>
    </row>
    <row r="23" spans="1:13" s="44" customFormat="1">
      <c r="A23" s="68">
        <v>43164</v>
      </c>
      <c r="B23" s="58" t="s">
        <v>418</v>
      </c>
      <c r="C23" s="58" t="s">
        <v>348</v>
      </c>
      <c r="D23" s="58" t="s">
        <v>232</v>
      </c>
      <c r="E23" s="58" t="s">
        <v>238</v>
      </c>
      <c r="F23" s="58"/>
      <c r="G23" s="257">
        <f t="shared" si="0"/>
        <v>9.375</v>
      </c>
      <c r="H23" s="89">
        <v>1</v>
      </c>
      <c r="I23" s="141">
        <v>150000</v>
      </c>
      <c r="J23" s="185">
        <f>Table5[[#This Row],[ĐƠN GIÁ ]]*Table5[[#This Row],[SỐ LƯỢNG ]]</f>
        <v>150000</v>
      </c>
      <c r="K23" s="185">
        <f>+Table5[[#This Row],[THÀNH TIỀN ]]*10%</f>
        <v>15000</v>
      </c>
    </row>
    <row r="24" spans="1:13" s="44" customFormat="1">
      <c r="A24" s="68">
        <v>43164</v>
      </c>
      <c r="B24" s="58" t="s">
        <v>418</v>
      </c>
      <c r="C24" s="58" t="s">
        <v>243</v>
      </c>
      <c r="D24" s="58" t="s">
        <v>244</v>
      </c>
      <c r="E24" s="58" t="s">
        <v>238</v>
      </c>
      <c r="F24" s="58"/>
      <c r="G24" s="257">
        <f t="shared" si="0"/>
        <v>168.75</v>
      </c>
      <c r="H24" s="89">
        <v>18</v>
      </c>
      <c r="I24" s="141">
        <v>150000</v>
      </c>
      <c r="J24" s="185">
        <f>Table5[[#This Row],[ĐƠN GIÁ ]]*Table5[[#This Row],[SỐ LƯỢNG ]]</f>
        <v>2700000</v>
      </c>
      <c r="K24" s="185">
        <f>+Table5[[#This Row],[THÀNH TIỀN ]]*10%</f>
        <v>270000</v>
      </c>
    </row>
    <row r="25" spans="1:13" s="44" customFormat="1">
      <c r="A25" s="68">
        <v>43165</v>
      </c>
      <c r="B25" s="58" t="s">
        <v>418</v>
      </c>
      <c r="C25" s="58" t="s">
        <v>348</v>
      </c>
      <c r="D25" s="58" t="s">
        <v>246</v>
      </c>
      <c r="E25" s="58" t="s">
        <v>238</v>
      </c>
      <c r="F25" s="58"/>
      <c r="G25" s="257">
        <f t="shared" si="0"/>
        <v>59.375</v>
      </c>
      <c r="H25" s="89">
        <v>5</v>
      </c>
      <c r="I25" s="141">
        <v>190000</v>
      </c>
      <c r="J25" s="185">
        <f>Table5[[#This Row],[ĐƠN GIÁ ]]*Table5[[#This Row],[SỐ LƯỢNG ]]</f>
        <v>950000</v>
      </c>
      <c r="K25" s="185">
        <f>+Table5[[#This Row],[THÀNH TIỀN ]]*10%</f>
        <v>95000</v>
      </c>
    </row>
    <row r="26" spans="1:13" s="44" customFormat="1">
      <c r="A26" s="68">
        <v>43165</v>
      </c>
      <c r="B26" s="58" t="s">
        <v>418</v>
      </c>
      <c r="C26" s="58" t="s">
        <v>348</v>
      </c>
      <c r="D26" s="58" t="s">
        <v>232</v>
      </c>
      <c r="E26" s="58" t="s">
        <v>238</v>
      </c>
      <c r="F26" s="58"/>
      <c r="G26" s="257">
        <f t="shared" si="0"/>
        <v>75</v>
      </c>
      <c r="H26" s="89">
        <v>8</v>
      </c>
      <c r="I26" s="141">
        <v>150000</v>
      </c>
      <c r="J26" s="185">
        <f>Table5[[#This Row],[ĐƠN GIÁ ]]*Table5[[#This Row],[SỐ LƯỢNG ]]</f>
        <v>1200000</v>
      </c>
      <c r="K26" s="185">
        <f>+Table5[[#This Row],[THÀNH TIỀN ]]*10%</f>
        <v>120000</v>
      </c>
    </row>
    <row r="27" spans="1:13" s="44" customFormat="1">
      <c r="A27" s="68">
        <v>43166</v>
      </c>
      <c r="B27" s="58" t="s">
        <v>418</v>
      </c>
      <c r="C27" s="58" t="s">
        <v>243</v>
      </c>
      <c r="D27" s="58" t="s">
        <v>244</v>
      </c>
      <c r="E27" s="58" t="s">
        <v>238</v>
      </c>
      <c r="F27" s="58"/>
      <c r="G27" s="257">
        <f t="shared" si="0"/>
        <v>56.25</v>
      </c>
      <c r="H27" s="89">
        <v>6</v>
      </c>
      <c r="I27" s="141">
        <v>150000</v>
      </c>
      <c r="J27" s="185">
        <f>Table5[[#This Row],[ĐƠN GIÁ ]]*Table5[[#This Row],[SỐ LƯỢNG ]]</f>
        <v>900000</v>
      </c>
      <c r="K27" s="185">
        <f>+Table5[[#This Row],[THÀNH TIỀN ]]*10%</f>
        <v>90000</v>
      </c>
    </row>
    <row r="28" spans="1:13" s="44" customFormat="1">
      <c r="A28" s="68">
        <v>43166</v>
      </c>
      <c r="B28" s="58" t="s">
        <v>418</v>
      </c>
      <c r="C28" s="58" t="s">
        <v>243</v>
      </c>
      <c r="D28" s="58" t="s">
        <v>246</v>
      </c>
      <c r="E28" s="58" t="s">
        <v>238</v>
      </c>
      <c r="F28" s="58"/>
      <c r="G28" s="257">
        <f t="shared" si="0"/>
        <v>112.5</v>
      </c>
      <c r="H28" s="89">
        <v>10</v>
      </c>
      <c r="I28" s="141">
        <v>180000</v>
      </c>
      <c r="J28" s="185">
        <f>Table5[[#This Row],[ĐƠN GIÁ ]]*Table5[[#This Row],[SỐ LƯỢNG ]]</f>
        <v>1800000</v>
      </c>
      <c r="K28" s="185">
        <f>+Table5[[#This Row],[THÀNH TIỀN ]]*10%</f>
        <v>180000</v>
      </c>
    </row>
    <row r="29" spans="1:13" s="44" customFormat="1">
      <c r="A29" s="68">
        <v>43167</v>
      </c>
      <c r="B29" s="58" t="s">
        <v>418</v>
      </c>
      <c r="C29" s="58" t="s">
        <v>243</v>
      </c>
      <c r="D29" s="58" t="s">
        <v>246</v>
      </c>
      <c r="E29" s="58" t="s">
        <v>238</v>
      </c>
      <c r="F29" s="58"/>
      <c r="G29" s="257">
        <f t="shared" si="0"/>
        <v>180</v>
      </c>
      <c r="H29" s="89">
        <v>16</v>
      </c>
      <c r="I29" s="141">
        <v>180000</v>
      </c>
      <c r="J29" s="185">
        <f>Table5[[#This Row],[ĐƠN GIÁ ]]*Table5[[#This Row],[SỐ LƯỢNG ]]</f>
        <v>2880000</v>
      </c>
      <c r="K29" s="185">
        <f>+Table5[[#This Row],[THÀNH TIỀN ]]*10%</f>
        <v>288000</v>
      </c>
    </row>
    <row r="30" spans="1:13" s="44" customFormat="1">
      <c r="A30" s="68">
        <v>43167</v>
      </c>
      <c r="B30" s="58" t="s">
        <v>418</v>
      </c>
      <c r="C30" s="58" t="s">
        <v>421</v>
      </c>
      <c r="D30" s="58" t="s">
        <v>264</v>
      </c>
      <c r="E30" s="58" t="s">
        <v>238</v>
      </c>
      <c r="F30" s="58"/>
      <c r="G30" s="257">
        <f t="shared" si="0"/>
        <v>14.375</v>
      </c>
      <c r="H30" s="89">
        <v>1</v>
      </c>
      <c r="I30" s="141">
        <v>230000</v>
      </c>
      <c r="J30" s="185">
        <f>Table5[[#This Row],[ĐƠN GIÁ ]]*Table5[[#This Row],[SỐ LƯỢNG ]]</f>
        <v>230000</v>
      </c>
      <c r="K30" s="185">
        <f>+Table5[[#This Row],[THÀNH TIỀN ]]*10%</f>
        <v>23000</v>
      </c>
    </row>
    <row r="31" spans="1:13" s="44" customFormat="1">
      <c r="A31" s="68">
        <v>43168</v>
      </c>
      <c r="B31" s="58" t="s">
        <v>418</v>
      </c>
      <c r="C31" s="58" t="s">
        <v>367</v>
      </c>
      <c r="D31" s="58" t="s">
        <v>412</v>
      </c>
      <c r="E31" s="58" t="s">
        <v>238</v>
      </c>
      <c r="F31" s="58"/>
      <c r="G31" s="257">
        <f t="shared" si="0"/>
        <v>33.75</v>
      </c>
      <c r="H31" s="89">
        <v>6</v>
      </c>
      <c r="I31" s="141">
        <v>90000</v>
      </c>
      <c r="J31" s="185">
        <f>Table5[[#This Row],[ĐƠN GIÁ ]]*Table5[[#This Row],[SỐ LƯỢNG ]]</f>
        <v>540000</v>
      </c>
      <c r="K31" s="185">
        <f>+Table5[[#This Row],[THÀNH TIỀN ]]*10%</f>
        <v>54000</v>
      </c>
    </row>
    <row r="32" spans="1:13" s="44" customFormat="1">
      <c r="A32" s="68">
        <v>43168</v>
      </c>
      <c r="B32" s="58" t="s">
        <v>418</v>
      </c>
      <c r="C32" s="58" t="s">
        <v>370</v>
      </c>
      <c r="D32" s="58" t="s">
        <v>234</v>
      </c>
      <c r="E32" s="58" t="s">
        <v>238</v>
      </c>
      <c r="F32" s="58"/>
      <c r="G32" s="257">
        <f t="shared" si="0"/>
        <v>175</v>
      </c>
      <c r="H32" s="89">
        <v>28</v>
      </c>
      <c r="I32" s="141">
        <v>100000</v>
      </c>
      <c r="J32" s="185">
        <f>Table5[[#This Row],[ĐƠN GIÁ ]]*Table5[[#This Row],[SỐ LƯỢNG ]]</f>
        <v>2800000</v>
      </c>
      <c r="K32" s="185">
        <f>+Table5[[#This Row],[THÀNH TIỀN ]]*10%</f>
        <v>280000</v>
      </c>
    </row>
    <row r="33" spans="1:11" s="44" customFormat="1">
      <c r="A33" s="68">
        <v>43169</v>
      </c>
      <c r="B33" s="58" t="s">
        <v>418</v>
      </c>
      <c r="C33" s="58" t="s">
        <v>231</v>
      </c>
      <c r="D33" s="58" t="s">
        <v>245</v>
      </c>
      <c r="E33" s="58"/>
      <c r="F33" s="58" t="s">
        <v>235</v>
      </c>
      <c r="G33" s="140">
        <v>28.5</v>
      </c>
      <c r="H33" s="89">
        <v>2</v>
      </c>
      <c r="I33" s="141">
        <v>1200000</v>
      </c>
      <c r="J33" s="185">
        <f>Table5[[#This Row],[ĐƠN GIÁ ]]*Table5[[#This Row],[SỐ LƯỢNG ]]</f>
        <v>2400000</v>
      </c>
      <c r="K33" s="185">
        <f>+Table5[[#This Row],[THÀNH TIỀN ]]*10%</f>
        <v>240000</v>
      </c>
    </row>
    <row r="34" spans="1:11" s="44" customFormat="1">
      <c r="A34" s="68">
        <v>43169</v>
      </c>
      <c r="B34" s="58" t="s">
        <v>418</v>
      </c>
      <c r="C34" s="58" t="s">
        <v>241</v>
      </c>
      <c r="D34" s="58" t="s">
        <v>371</v>
      </c>
      <c r="E34" s="58"/>
      <c r="F34" s="58"/>
      <c r="G34" s="257">
        <f t="shared" si="0"/>
        <v>78.75</v>
      </c>
      <c r="H34" s="89">
        <v>7</v>
      </c>
      <c r="I34" s="141">
        <v>180000</v>
      </c>
      <c r="J34" s="185">
        <f>Table5[[#This Row],[ĐƠN GIÁ ]]*Table5[[#This Row],[SỐ LƯỢNG ]]</f>
        <v>1260000</v>
      </c>
      <c r="K34" s="185">
        <f>+Table5[[#This Row],[THÀNH TIỀN ]]*10%</f>
        <v>126000</v>
      </c>
    </row>
    <row r="35" spans="1:11" s="44" customFormat="1">
      <c r="A35" s="68">
        <v>43169</v>
      </c>
      <c r="B35" s="58" t="s">
        <v>418</v>
      </c>
      <c r="C35" s="58" t="s">
        <v>275</v>
      </c>
      <c r="D35" s="58" t="s">
        <v>342</v>
      </c>
      <c r="E35" s="58" t="s">
        <v>503</v>
      </c>
      <c r="F35" s="58"/>
      <c r="G35" s="257">
        <f t="shared" si="0"/>
        <v>35.625</v>
      </c>
      <c r="H35" s="89">
        <v>3</v>
      </c>
      <c r="I35" s="141">
        <v>190000</v>
      </c>
      <c r="J35" s="185">
        <f>Table5[[#This Row],[ĐƠN GIÁ ]]*Table5[[#This Row],[SỐ LƯỢNG ]]</f>
        <v>570000</v>
      </c>
      <c r="K35" s="185">
        <f>+Table5[[#This Row],[THÀNH TIỀN ]]*10%</f>
        <v>57000</v>
      </c>
    </row>
    <row r="36" spans="1:11" s="44" customFormat="1">
      <c r="A36" s="68">
        <v>43169</v>
      </c>
      <c r="B36" s="58" t="s">
        <v>418</v>
      </c>
      <c r="C36" s="58" t="s">
        <v>275</v>
      </c>
      <c r="D36" s="58" t="s">
        <v>342</v>
      </c>
      <c r="E36" s="58" t="s">
        <v>504</v>
      </c>
      <c r="F36" s="58"/>
      <c r="G36" s="257">
        <f t="shared" ref="G36" si="1">K36/1600</f>
        <v>28.125</v>
      </c>
      <c r="H36" s="89">
        <v>3</v>
      </c>
      <c r="I36" s="141">
        <v>150000</v>
      </c>
      <c r="J36" s="266">
        <f>Table5[[#This Row],[ĐƠN GIÁ ]]*Table5[[#This Row],[SỐ LƯỢNG ]]</f>
        <v>450000</v>
      </c>
      <c r="K36" s="266">
        <f>+Table5[[#This Row],[THÀNH TIỀN ]]*10%</f>
        <v>45000</v>
      </c>
    </row>
    <row r="37" spans="1:11" s="44" customFormat="1">
      <c r="A37" s="68">
        <v>43170</v>
      </c>
      <c r="B37" s="58" t="s">
        <v>418</v>
      </c>
      <c r="C37" s="58" t="s">
        <v>343</v>
      </c>
      <c r="D37" s="58" t="s">
        <v>244</v>
      </c>
      <c r="E37" s="58" t="s">
        <v>238</v>
      </c>
      <c r="F37" s="58"/>
      <c r="G37" s="257">
        <f t="shared" si="0"/>
        <v>67.5</v>
      </c>
      <c r="H37" s="89">
        <v>6</v>
      </c>
      <c r="I37" s="141">
        <v>180000</v>
      </c>
      <c r="J37" s="185">
        <f>Table5[[#This Row],[ĐƠN GIÁ ]]*Table5[[#This Row],[SỐ LƯỢNG ]]</f>
        <v>1080000</v>
      </c>
      <c r="K37" s="185">
        <f>+Table5[[#This Row],[THÀNH TIỀN ]]*10%</f>
        <v>108000</v>
      </c>
    </row>
    <row r="38" spans="1:11" s="44" customFormat="1">
      <c r="A38" s="68">
        <v>43170</v>
      </c>
      <c r="B38" s="58" t="s">
        <v>418</v>
      </c>
      <c r="C38" s="58" t="s">
        <v>421</v>
      </c>
      <c r="D38" s="58" t="s">
        <v>264</v>
      </c>
      <c r="E38" s="58" t="s">
        <v>238</v>
      </c>
      <c r="F38" s="58"/>
      <c r="G38" s="257">
        <f t="shared" si="0"/>
        <v>28.75</v>
      </c>
      <c r="H38" s="89">
        <v>2</v>
      </c>
      <c r="I38" s="141">
        <v>230000</v>
      </c>
      <c r="J38" s="185">
        <f>Table5[[#This Row],[ĐƠN GIÁ ]]*Table5[[#This Row],[SỐ LƯỢNG ]]</f>
        <v>460000</v>
      </c>
      <c r="K38" s="185">
        <f>+Table5[[#This Row],[THÀNH TIỀN ]]*10%</f>
        <v>46000</v>
      </c>
    </row>
    <row r="39" spans="1:11" s="44" customFormat="1">
      <c r="A39" s="68">
        <v>43170</v>
      </c>
      <c r="B39" s="58" t="s">
        <v>418</v>
      </c>
      <c r="C39" s="58" t="s">
        <v>243</v>
      </c>
      <c r="D39" s="58" t="s">
        <v>246</v>
      </c>
      <c r="E39" s="58" t="s">
        <v>238</v>
      </c>
      <c r="F39" s="58"/>
      <c r="G39" s="257">
        <f t="shared" si="0"/>
        <v>90</v>
      </c>
      <c r="H39" s="89">
        <v>8</v>
      </c>
      <c r="I39" s="141">
        <v>180000</v>
      </c>
      <c r="J39" s="185">
        <f>Table5[[#This Row],[ĐƠN GIÁ ]]*Table5[[#This Row],[SỐ LƯỢNG ]]</f>
        <v>1440000</v>
      </c>
      <c r="K39" s="185">
        <f>+Table5[[#This Row],[THÀNH TIỀN ]]*10%</f>
        <v>144000</v>
      </c>
    </row>
    <row r="40" spans="1:11" s="66" customFormat="1">
      <c r="A40" s="68">
        <v>43171</v>
      </c>
      <c r="B40" s="58" t="s">
        <v>418</v>
      </c>
      <c r="C40" s="58" t="s">
        <v>258</v>
      </c>
      <c r="D40" s="58" t="s">
        <v>259</v>
      </c>
      <c r="E40" s="58" t="s">
        <v>238</v>
      </c>
      <c r="F40" s="233"/>
      <c r="G40" s="257">
        <f t="shared" si="0"/>
        <v>115</v>
      </c>
      <c r="H40" s="89">
        <v>8</v>
      </c>
      <c r="I40" s="141">
        <v>230000</v>
      </c>
      <c r="J40" s="185">
        <f>Table5[[#This Row],[ĐƠN GIÁ ]]*Table5[[#This Row],[SỐ LƯỢNG ]]</f>
        <v>1840000</v>
      </c>
      <c r="K40" s="185">
        <f>+Table5[[#This Row],[THÀNH TIỀN ]]*10%</f>
        <v>184000</v>
      </c>
    </row>
    <row r="41" spans="1:11" s="44" customFormat="1">
      <c r="A41" s="68">
        <v>43171</v>
      </c>
      <c r="B41" s="58" t="s">
        <v>418</v>
      </c>
      <c r="C41" s="58" t="s">
        <v>243</v>
      </c>
      <c r="D41" s="58" t="s">
        <v>246</v>
      </c>
      <c r="E41" s="58" t="s">
        <v>238</v>
      </c>
      <c r="F41" s="58"/>
      <c r="G41" s="257">
        <f t="shared" si="0"/>
        <v>90</v>
      </c>
      <c r="H41" s="89">
        <v>8</v>
      </c>
      <c r="I41" s="141">
        <v>180000</v>
      </c>
      <c r="J41" s="185">
        <f>Table5[[#This Row],[ĐƠN GIÁ ]]*Table5[[#This Row],[SỐ LƯỢNG ]]</f>
        <v>1440000</v>
      </c>
      <c r="K41" s="185">
        <f>+Table5[[#This Row],[THÀNH TIỀN ]]*10%</f>
        <v>144000</v>
      </c>
    </row>
    <row r="42" spans="1:11" s="44" customFormat="1">
      <c r="A42" s="68">
        <v>43172</v>
      </c>
      <c r="B42" s="58" t="s">
        <v>418</v>
      </c>
      <c r="C42" s="58" t="s">
        <v>258</v>
      </c>
      <c r="D42" s="58" t="s">
        <v>422</v>
      </c>
      <c r="E42" s="58" t="s">
        <v>238</v>
      </c>
      <c r="F42" s="58"/>
      <c r="G42" s="257">
        <f t="shared" si="0"/>
        <v>28.75</v>
      </c>
      <c r="H42" s="89">
        <v>2</v>
      </c>
      <c r="I42" s="141">
        <v>230000</v>
      </c>
      <c r="J42" s="185">
        <f>Table5[[#This Row],[ĐƠN GIÁ ]]*Table5[[#This Row],[SỐ LƯỢNG ]]</f>
        <v>460000</v>
      </c>
      <c r="K42" s="185">
        <f>+Table5[[#This Row],[THÀNH TIỀN ]]*10%</f>
        <v>46000</v>
      </c>
    </row>
    <row r="43" spans="1:11" s="44" customFormat="1">
      <c r="A43" s="68">
        <v>43172</v>
      </c>
      <c r="B43" s="58" t="s">
        <v>418</v>
      </c>
      <c r="C43" s="58" t="s">
        <v>258</v>
      </c>
      <c r="D43" s="58" t="s">
        <v>423</v>
      </c>
      <c r="E43" s="58" t="s">
        <v>238</v>
      </c>
      <c r="F43" s="58"/>
      <c r="G43" s="257">
        <f t="shared" si="0"/>
        <v>28.75</v>
      </c>
      <c r="H43" s="89">
        <v>2</v>
      </c>
      <c r="I43" s="141">
        <v>230000</v>
      </c>
      <c r="J43" s="185">
        <f>Table5[[#This Row],[ĐƠN GIÁ ]]*Table5[[#This Row],[SỐ LƯỢNG ]]</f>
        <v>460000</v>
      </c>
      <c r="K43" s="185">
        <f>+Table5[[#This Row],[THÀNH TIỀN ]]*10%</f>
        <v>46000</v>
      </c>
    </row>
    <row r="44" spans="1:11" s="44" customFormat="1">
      <c r="A44" s="68">
        <v>43172</v>
      </c>
      <c r="B44" s="58" t="s">
        <v>418</v>
      </c>
      <c r="C44" s="58" t="s">
        <v>258</v>
      </c>
      <c r="D44" s="58" t="s">
        <v>260</v>
      </c>
      <c r="E44" s="58" t="s">
        <v>238</v>
      </c>
      <c r="F44" s="58"/>
      <c r="G44" s="257">
        <f t="shared" ref="G44:G80" si="2">K44/1600</f>
        <v>43.125</v>
      </c>
      <c r="H44" s="89">
        <v>3</v>
      </c>
      <c r="I44" s="141">
        <v>230000</v>
      </c>
      <c r="J44" s="185">
        <f>Table5[[#This Row],[ĐƠN GIÁ ]]*Table5[[#This Row],[SỐ LƯỢNG ]]</f>
        <v>690000</v>
      </c>
      <c r="K44" s="185">
        <f>+Table5[[#This Row],[THÀNH TIỀN ]]*10%</f>
        <v>69000</v>
      </c>
    </row>
    <row r="45" spans="1:11" s="44" customFormat="1">
      <c r="A45" s="68">
        <v>43172</v>
      </c>
      <c r="B45" s="58" t="s">
        <v>418</v>
      </c>
      <c r="C45" s="58" t="s">
        <v>231</v>
      </c>
      <c r="D45" s="58" t="s">
        <v>245</v>
      </c>
      <c r="E45" s="58"/>
      <c r="F45" s="58" t="s">
        <v>235</v>
      </c>
      <c r="G45" s="140">
        <v>14</v>
      </c>
      <c r="H45" s="89">
        <v>1</v>
      </c>
      <c r="I45" s="141">
        <v>1200000</v>
      </c>
      <c r="J45" s="185">
        <f>Table5[[#This Row],[ĐƠN GIÁ ]]*Table5[[#This Row],[SỐ LƯỢNG ]]</f>
        <v>1200000</v>
      </c>
      <c r="K45" s="185">
        <f>+Table5[[#This Row],[THÀNH TIỀN ]]*10%</f>
        <v>120000</v>
      </c>
    </row>
    <row r="46" spans="1:11" s="44" customFormat="1">
      <c r="A46" s="68">
        <v>43173</v>
      </c>
      <c r="B46" s="58" t="s">
        <v>418</v>
      </c>
      <c r="C46" s="58" t="s">
        <v>258</v>
      </c>
      <c r="D46" s="58" t="s">
        <v>262</v>
      </c>
      <c r="E46" s="58" t="s">
        <v>238</v>
      </c>
      <c r="F46" s="58"/>
      <c r="G46" s="257">
        <f t="shared" si="2"/>
        <v>201.25</v>
      </c>
      <c r="H46" s="89">
        <v>14</v>
      </c>
      <c r="I46" s="141">
        <v>230000</v>
      </c>
      <c r="J46" s="185">
        <f>Table5[[#This Row],[ĐƠN GIÁ ]]*Table5[[#This Row],[SỐ LƯỢNG ]]</f>
        <v>3220000</v>
      </c>
      <c r="K46" s="185">
        <f>+Table5[[#This Row],[THÀNH TIỀN ]]*10%</f>
        <v>322000</v>
      </c>
    </row>
    <row r="47" spans="1:11" s="44" customFormat="1">
      <c r="A47" s="68">
        <v>43173</v>
      </c>
      <c r="B47" s="58" t="s">
        <v>418</v>
      </c>
      <c r="C47" s="58" t="s">
        <v>258</v>
      </c>
      <c r="D47" s="58" t="s">
        <v>260</v>
      </c>
      <c r="E47" s="58" t="s">
        <v>238</v>
      </c>
      <c r="F47" s="58"/>
      <c r="G47" s="257">
        <f t="shared" si="2"/>
        <v>71.875</v>
      </c>
      <c r="H47" s="89">
        <v>5</v>
      </c>
      <c r="I47" s="141">
        <v>230000</v>
      </c>
      <c r="J47" s="185">
        <f>Table5[[#This Row],[ĐƠN GIÁ ]]*Table5[[#This Row],[SỐ LƯỢNG ]]</f>
        <v>1150000</v>
      </c>
      <c r="K47" s="185">
        <f>+Table5[[#This Row],[THÀNH TIỀN ]]*10%</f>
        <v>115000</v>
      </c>
    </row>
    <row r="48" spans="1:11" s="44" customFormat="1">
      <c r="A48" s="68">
        <v>43174</v>
      </c>
      <c r="B48" s="58" t="s">
        <v>418</v>
      </c>
      <c r="C48" s="58" t="s">
        <v>258</v>
      </c>
      <c r="D48" s="58" t="s">
        <v>262</v>
      </c>
      <c r="E48" s="58" t="s">
        <v>238</v>
      </c>
      <c r="F48" s="58"/>
      <c r="G48" s="257">
        <f t="shared" si="2"/>
        <v>129.375</v>
      </c>
      <c r="H48" s="89">
        <v>9</v>
      </c>
      <c r="I48" s="141">
        <v>230000</v>
      </c>
      <c r="J48" s="185">
        <f>Table5[[#This Row],[ĐƠN GIÁ ]]*Table5[[#This Row],[SỐ LƯỢNG ]]</f>
        <v>2070000</v>
      </c>
      <c r="K48" s="185">
        <f>+Table5[[#This Row],[THÀNH TIỀN ]]*10%</f>
        <v>207000</v>
      </c>
    </row>
    <row r="49" spans="1:11" s="44" customFormat="1">
      <c r="A49" s="68">
        <v>43174</v>
      </c>
      <c r="B49" s="58" t="s">
        <v>418</v>
      </c>
      <c r="C49" s="58" t="s">
        <v>258</v>
      </c>
      <c r="D49" s="58" t="s">
        <v>259</v>
      </c>
      <c r="E49" s="58" t="s">
        <v>238</v>
      </c>
      <c r="F49" s="58"/>
      <c r="G49" s="257">
        <f t="shared" si="2"/>
        <v>14.375</v>
      </c>
      <c r="H49" s="89">
        <v>1</v>
      </c>
      <c r="I49" s="141">
        <v>230000</v>
      </c>
      <c r="J49" s="185">
        <f>Table5[[#This Row],[ĐƠN GIÁ ]]*Table5[[#This Row],[SỐ LƯỢNG ]]</f>
        <v>230000</v>
      </c>
      <c r="K49" s="185">
        <f>+Table5[[#This Row],[THÀNH TIỀN ]]*10%</f>
        <v>23000</v>
      </c>
    </row>
    <row r="50" spans="1:11" s="44" customFormat="1">
      <c r="A50" s="68">
        <v>43176</v>
      </c>
      <c r="B50" s="58" t="s">
        <v>418</v>
      </c>
      <c r="C50" s="58" t="s">
        <v>258</v>
      </c>
      <c r="D50" s="58" t="s">
        <v>260</v>
      </c>
      <c r="E50" s="58" t="s">
        <v>238</v>
      </c>
      <c r="F50" s="58"/>
      <c r="G50" s="257">
        <f t="shared" si="2"/>
        <v>143.75</v>
      </c>
      <c r="H50" s="89">
        <v>10</v>
      </c>
      <c r="I50" s="141">
        <v>230000</v>
      </c>
      <c r="J50" s="185">
        <f>Table5[[#This Row],[ĐƠN GIÁ ]]*Table5[[#This Row],[SỐ LƯỢNG ]]</f>
        <v>2300000</v>
      </c>
      <c r="K50" s="185">
        <f>+Table5[[#This Row],[THÀNH TIỀN ]]*10%</f>
        <v>230000</v>
      </c>
    </row>
    <row r="51" spans="1:11" s="44" customFormat="1">
      <c r="A51" s="68">
        <v>43176</v>
      </c>
      <c r="B51" s="58" t="s">
        <v>418</v>
      </c>
      <c r="C51" s="58" t="s">
        <v>265</v>
      </c>
      <c r="D51" s="58" t="s">
        <v>260</v>
      </c>
      <c r="E51" s="58" t="s">
        <v>238</v>
      </c>
      <c r="F51" s="58"/>
      <c r="G51" s="257">
        <f t="shared" si="2"/>
        <v>135</v>
      </c>
      <c r="H51" s="89">
        <v>12</v>
      </c>
      <c r="I51" s="141">
        <v>180000</v>
      </c>
      <c r="J51" s="185">
        <f>Table5[[#This Row],[ĐƠN GIÁ ]]*Table5[[#This Row],[SỐ LƯỢNG ]]</f>
        <v>2160000</v>
      </c>
      <c r="K51" s="185">
        <f>+Table5[[#This Row],[THÀNH TIỀN ]]*10%</f>
        <v>216000</v>
      </c>
    </row>
    <row r="52" spans="1:11" s="44" customFormat="1">
      <c r="A52" s="68">
        <v>43176</v>
      </c>
      <c r="B52" s="58" t="s">
        <v>418</v>
      </c>
      <c r="C52" s="58" t="s">
        <v>265</v>
      </c>
      <c r="D52" s="58" t="s">
        <v>350</v>
      </c>
      <c r="E52" s="58" t="s">
        <v>238</v>
      </c>
      <c r="F52" s="58"/>
      <c r="G52" s="257">
        <f t="shared" si="2"/>
        <v>33.75</v>
      </c>
      <c r="H52" s="89">
        <v>3</v>
      </c>
      <c r="I52" s="141">
        <v>180000</v>
      </c>
      <c r="J52" s="185">
        <f>Table5[[#This Row],[ĐƠN GIÁ ]]*Table5[[#This Row],[SỐ LƯỢNG ]]</f>
        <v>540000</v>
      </c>
      <c r="K52" s="185">
        <f>+Table5[[#This Row],[THÀNH TIỀN ]]*10%</f>
        <v>54000</v>
      </c>
    </row>
    <row r="53" spans="1:11" s="44" customFormat="1">
      <c r="A53" s="68">
        <v>43177</v>
      </c>
      <c r="B53" s="58" t="s">
        <v>418</v>
      </c>
      <c r="C53" s="58" t="s">
        <v>265</v>
      </c>
      <c r="D53" s="58" t="s">
        <v>266</v>
      </c>
      <c r="E53" s="58" t="s">
        <v>238</v>
      </c>
      <c r="F53" s="58"/>
      <c r="G53" s="257">
        <f t="shared" si="2"/>
        <v>225</v>
      </c>
      <c r="H53" s="89">
        <v>20</v>
      </c>
      <c r="I53" s="141">
        <v>180000</v>
      </c>
      <c r="J53" s="185">
        <f>Table5[[#This Row],[ĐƠN GIÁ ]]*Table5[[#This Row],[SỐ LƯỢNG ]]</f>
        <v>3600000</v>
      </c>
      <c r="K53" s="185">
        <f>+Table5[[#This Row],[THÀNH TIỀN ]]*10%</f>
        <v>360000</v>
      </c>
    </row>
    <row r="54" spans="1:11" s="44" customFormat="1">
      <c r="A54" s="68">
        <v>43178</v>
      </c>
      <c r="B54" s="58" t="s">
        <v>418</v>
      </c>
      <c r="C54" s="58" t="s">
        <v>265</v>
      </c>
      <c r="D54" s="58" t="s">
        <v>266</v>
      </c>
      <c r="E54" s="58" t="s">
        <v>238</v>
      </c>
      <c r="F54" s="58"/>
      <c r="G54" s="257">
        <f t="shared" si="2"/>
        <v>168.75</v>
      </c>
      <c r="H54" s="89">
        <v>15</v>
      </c>
      <c r="I54" s="141">
        <v>180000</v>
      </c>
      <c r="J54" s="185">
        <f>Table5[[#This Row],[ĐƠN GIÁ ]]*Table5[[#This Row],[SỐ LƯỢNG ]]</f>
        <v>2700000</v>
      </c>
      <c r="K54" s="185">
        <f>+Table5[[#This Row],[THÀNH TIỀN ]]*10%</f>
        <v>270000</v>
      </c>
    </row>
    <row r="55" spans="1:11" s="44" customFormat="1">
      <c r="A55" s="68">
        <v>43179</v>
      </c>
      <c r="B55" s="58" t="s">
        <v>418</v>
      </c>
      <c r="C55" s="58" t="s">
        <v>341</v>
      </c>
      <c r="D55" s="58" t="s">
        <v>267</v>
      </c>
      <c r="E55" s="58" t="s">
        <v>238</v>
      </c>
      <c r="F55" s="58"/>
      <c r="G55" s="257">
        <f t="shared" si="2"/>
        <v>10.625</v>
      </c>
      <c r="H55" s="89">
        <v>2</v>
      </c>
      <c r="I55" s="141">
        <v>85000</v>
      </c>
      <c r="J55" s="185">
        <f>Table5[[#This Row],[ĐƠN GIÁ ]]*Table5[[#This Row],[SỐ LƯỢNG ]]</f>
        <v>170000</v>
      </c>
      <c r="K55" s="185">
        <f>+Table5[[#This Row],[THÀNH TIỀN ]]*10%</f>
        <v>17000</v>
      </c>
    </row>
    <row r="56" spans="1:11" s="44" customFormat="1">
      <c r="A56" s="68">
        <v>43179</v>
      </c>
      <c r="B56" s="58" t="s">
        <v>418</v>
      </c>
      <c r="C56" s="58" t="s">
        <v>353</v>
      </c>
      <c r="D56" s="58" t="s">
        <v>266</v>
      </c>
      <c r="E56" s="58" t="s">
        <v>238</v>
      </c>
      <c r="F56" s="58"/>
      <c r="G56" s="257">
        <f t="shared" si="2"/>
        <v>57.5</v>
      </c>
      <c r="H56" s="89">
        <v>4</v>
      </c>
      <c r="I56" s="141">
        <v>230000</v>
      </c>
      <c r="J56" s="185">
        <f>Table5[[#This Row],[ĐƠN GIÁ ]]*Table5[[#This Row],[SỐ LƯỢNG ]]</f>
        <v>920000</v>
      </c>
      <c r="K56" s="185">
        <f>+Table5[[#This Row],[THÀNH TIỀN ]]*10%</f>
        <v>92000</v>
      </c>
    </row>
    <row r="57" spans="1:11" s="44" customFormat="1">
      <c r="A57" s="68">
        <v>43179</v>
      </c>
      <c r="B57" s="58" t="s">
        <v>418</v>
      </c>
      <c r="C57" s="58" t="s">
        <v>353</v>
      </c>
      <c r="D57" s="58" t="s">
        <v>279</v>
      </c>
      <c r="E57" s="58" t="s">
        <v>238</v>
      </c>
      <c r="F57" s="58"/>
      <c r="G57" s="257">
        <f t="shared" si="2"/>
        <v>12.5</v>
      </c>
      <c r="H57" s="89">
        <v>1</v>
      </c>
      <c r="I57" s="141">
        <v>200000</v>
      </c>
      <c r="J57" s="185">
        <f>Table5[[#This Row],[ĐƠN GIÁ ]]*Table5[[#This Row],[SỐ LƯỢNG ]]</f>
        <v>200000</v>
      </c>
      <c r="K57" s="185">
        <f>+Table5[[#This Row],[THÀNH TIỀN ]]*10%</f>
        <v>20000</v>
      </c>
    </row>
    <row r="58" spans="1:11" s="44" customFormat="1">
      <c r="A58" s="68">
        <v>43179</v>
      </c>
      <c r="B58" s="58" t="s">
        <v>418</v>
      </c>
      <c r="C58" s="58" t="s">
        <v>353</v>
      </c>
      <c r="D58" s="58" t="s">
        <v>350</v>
      </c>
      <c r="E58" s="58" t="s">
        <v>238</v>
      </c>
      <c r="F58" s="58"/>
      <c r="G58" s="257">
        <f t="shared" si="2"/>
        <v>71.875</v>
      </c>
      <c r="H58" s="89">
        <v>5</v>
      </c>
      <c r="I58" s="141">
        <v>230000</v>
      </c>
      <c r="J58" s="185">
        <f>Table5[[#This Row],[ĐƠN GIÁ ]]*Table5[[#This Row],[SỐ LƯỢNG ]]</f>
        <v>1150000</v>
      </c>
      <c r="K58" s="185">
        <f>+Table5[[#This Row],[THÀNH TIỀN ]]*10%</f>
        <v>115000</v>
      </c>
    </row>
    <row r="59" spans="1:11" s="44" customFormat="1">
      <c r="A59" s="68">
        <v>43181</v>
      </c>
      <c r="B59" s="58" t="s">
        <v>418</v>
      </c>
      <c r="C59" s="58" t="s">
        <v>275</v>
      </c>
      <c r="D59" s="58" t="s">
        <v>269</v>
      </c>
      <c r="E59" s="58" t="s">
        <v>504</v>
      </c>
      <c r="F59" s="58"/>
      <c r="G59" s="257">
        <f t="shared" si="2"/>
        <v>18.75</v>
      </c>
      <c r="H59" s="89">
        <v>2</v>
      </c>
      <c r="I59" s="141">
        <v>150000</v>
      </c>
      <c r="J59" s="185">
        <f>Table5[[#This Row],[ĐƠN GIÁ ]]*Table5[[#This Row],[SỐ LƯỢNG ]]</f>
        <v>300000</v>
      </c>
      <c r="K59" s="185">
        <f>+Table5[[#This Row],[THÀNH TIỀN ]]*10%</f>
        <v>30000</v>
      </c>
    </row>
    <row r="60" spans="1:11" s="44" customFormat="1">
      <c r="A60" s="68">
        <v>43181</v>
      </c>
      <c r="B60" s="58" t="s">
        <v>418</v>
      </c>
      <c r="C60" s="58" t="s">
        <v>275</v>
      </c>
      <c r="D60" s="58" t="s">
        <v>269</v>
      </c>
      <c r="E60" s="58" t="s">
        <v>500</v>
      </c>
      <c r="F60" s="58"/>
      <c r="G60" s="257">
        <f t="shared" ref="G60" si="3">K60/1600</f>
        <v>18.75</v>
      </c>
      <c r="H60" s="89">
        <v>3</v>
      </c>
      <c r="I60" s="141">
        <v>100000</v>
      </c>
      <c r="J60" s="266">
        <f>Table5[[#This Row],[ĐƠN GIÁ ]]*Table5[[#This Row],[SỐ LƯỢNG ]]</f>
        <v>300000</v>
      </c>
      <c r="K60" s="266">
        <f>+Table5[[#This Row],[THÀNH TIỀN ]]*10%</f>
        <v>30000</v>
      </c>
    </row>
    <row r="61" spans="1:11" s="44" customFormat="1">
      <c r="A61" s="68">
        <v>43182</v>
      </c>
      <c r="B61" s="58" t="s">
        <v>418</v>
      </c>
      <c r="C61" s="58" t="s">
        <v>351</v>
      </c>
      <c r="D61" s="58" t="s">
        <v>378</v>
      </c>
      <c r="E61" s="58" t="s">
        <v>238</v>
      </c>
      <c r="F61" s="58"/>
      <c r="G61" s="257">
        <f t="shared" si="2"/>
        <v>50</v>
      </c>
      <c r="H61" s="89">
        <v>4</v>
      </c>
      <c r="I61" s="141">
        <v>200000</v>
      </c>
      <c r="J61" s="185">
        <f>Table5[[#This Row],[ĐƠN GIÁ ]]*Table5[[#This Row],[SỐ LƯỢNG ]]</f>
        <v>800000</v>
      </c>
      <c r="K61" s="185">
        <f>+Table5[[#This Row],[THÀNH TIỀN ]]*10%</f>
        <v>80000</v>
      </c>
    </row>
    <row r="62" spans="1:11" s="44" customFormat="1">
      <c r="A62" s="68">
        <v>43182</v>
      </c>
      <c r="B62" s="58" t="s">
        <v>418</v>
      </c>
      <c r="C62" s="58" t="s">
        <v>351</v>
      </c>
      <c r="D62" s="58" t="s">
        <v>260</v>
      </c>
      <c r="E62" s="58" t="s">
        <v>238</v>
      </c>
      <c r="F62" s="58"/>
      <c r="G62" s="257">
        <f t="shared" si="2"/>
        <v>86.25</v>
      </c>
      <c r="H62" s="89">
        <v>6</v>
      </c>
      <c r="I62" s="141">
        <v>230000</v>
      </c>
      <c r="J62" s="185">
        <f>Table5[[#This Row],[ĐƠN GIÁ ]]*Table5[[#This Row],[SỐ LƯỢNG ]]</f>
        <v>1380000</v>
      </c>
      <c r="K62" s="185">
        <f>+Table5[[#This Row],[THÀNH TIỀN ]]*10%</f>
        <v>138000</v>
      </c>
    </row>
    <row r="63" spans="1:11" s="44" customFormat="1">
      <c r="A63" s="68">
        <v>43183</v>
      </c>
      <c r="B63" s="58" t="s">
        <v>418</v>
      </c>
      <c r="C63" s="58" t="s">
        <v>257</v>
      </c>
      <c r="D63" s="58" t="s">
        <v>424</v>
      </c>
      <c r="E63" s="58"/>
      <c r="F63" s="58" t="s">
        <v>250</v>
      </c>
      <c r="G63" s="140">
        <v>14.5</v>
      </c>
      <c r="H63" s="89">
        <v>1</v>
      </c>
      <c r="I63" s="141">
        <v>1100000</v>
      </c>
      <c r="J63" s="185">
        <f>Table5[[#This Row],[ĐƠN GIÁ ]]*Table5[[#This Row],[SỐ LƯỢNG ]]</f>
        <v>1100000</v>
      </c>
      <c r="K63" s="185">
        <f>+Table5[[#This Row],[THÀNH TIỀN ]]*10%</f>
        <v>110000</v>
      </c>
    </row>
    <row r="64" spans="1:11" s="44" customFormat="1">
      <c r="A64" s="68">
        <v>43183</v>
      </c>
      <c r="B64" s="58" t="s">
        <v>418</v>
      </c>
      <c r="C64" s="58" t="s">
        <v>343</v>
      </c>
      <c r="D64" s="58" t="s">
        <v>356</v>
      </c>
      <c r="E64" s="58" t="s">
        <v>238</v>
      </c>
      <c r="F64" s="58"/>
      <c r="G64" s="257">
        <f t="shared" si="2"/>
        <v>12.5</v>
      </c>
      <c r="H64" s="89">
        <v>1</v>
      </c>
      <c r="I64" s="141">
        <v>200000</v>
      </c>
      <c r="J64" s="185">
        <f>Table5[[#This Row],[ĐƠN GIÁ ]]*Table5[[#This Row],[SỐ LƯỢNG ]]</f>
        <v>200000</v>
      </c>
      <c r="K64" s="185">
        <f>+Table5[[#This Row],[THÀNH TIỀN ]]*10%</f>
        <v>20000</v>
      </c>
    </row>
    <row r="65" spans="1:11" s="44" customFormat="1">
      <c r="A65" s="68">
        <v>43183</v>
      </c>
      <c r="B65" s="58" t="s">
        <v>418</v>
      </c>
      <c r="C65" s="58" t="s">
        <v>351</v>
      </c>
      <c r="D65" s="58" t="s">
        <v>355</v>
      </c>
      <c r="E65" s="58" t="s">
        <v>238</v>
      </c>
      <c r="F65" s="58"/>
      <c r="G65" s="257">
        <f t="shared" si="2"/>
        <v>115</v>
      </c>
      <c r="H65" s="89">
        <v>8</v>
      </c>
      <c r="I65" s="141">
        <v>230000</v>
      </c>
      <c r="J65" s="185">
        <f>Table5[[#This Row],[ĐƠN GIÁ ]]*Table5[[#This Row],[SỐ LƯỢNG ]]</f>
        <v>1840000</v>
      </c>
      <c r="K65" s="185">
        <f>+Table5[[#This Row],[THÀNH TIỀN ]]*10%</f>
        <v>184000</v>
      </c>
    </row>
    <row r="66" spans="1:11" s="44" customFormat="1">
      <c r="A66" s="68">
        <v>43184</v>
      </c>
      <c r="B66" s="58" t="s">
        <v>418</v>
      </c>
      <c r="C66" s="58" t="s">
        <v>351</v>
      </c>
      <c r="D66" s="58" t="s">
        <v>355</v>
      </c>
      <c r="E66" s="58" t="s">
        <v>238</v>
      </c>
      <c r="F66" s="58"/>
      <c r="G66" s="257">
        <f t="shared" si="2"/>
        <v>14.375</v>
      </c>
      <c r="H66" s="89">
        <v>1</v>
      </c>
      <c r="I66" s="141">
        <v>230000</v>
      </c>
      <c r="J66" s="185">
        <f>Table5[[#This Row],[ĐƠN GIÁ ]]*Table5[[#This Row],[SỐ LƯỢNG ]]</f>
        <v>230000</v>
      </c>
      <c r="K66" s="185">
        <f>+Table5[[#This Row],[THÀNH TIỀN ]]*10%</f>
        <v>23000</v>
      </c>
    </row>
    <row r="67" spans="1:11" s="44" customFormat="1">
      <c r="A67" s="68">
        <v>43184</v>
      </c>
      <c r="B67" s="58" t="s">
        <v>418</v>
      </c>
      <c r="C67" s="58" t="s">
        <v>343</v>
      </c>
      <c r="D67" s="58" t="s">
        <v>279</v>
      </c>
      <c r="E67" s="58" t="s">
        <v>238</v>
      </c>
      <c r="F67" s="58"/>
      <c r="G67" s="257">
        <f t="shared" si="2"/>
        <v>14.375</v>
      </c>
      <c r="H67" s="89">
        <v>1</v>
      </c>
      <c r="I67" s="141">
        <v>230000</v>
      </c>
      <c r="J67" s="185">
        <f>Table5[[#This Row],[ĐƠN GIÁ ]]*Table5[[#This Row],[SỐ LƯỢNG ]]</f>
        <v>230000</v>
      </c>
      <c r="K67" s="185">
        <f>+Table5[[#This Row],[THÀNH TIỀN ]]*10%</f>
        <v>23000</v>
      </c>
    </row>
    <row r="68" spans="1:11" s="44" customFormat="1">
      <c r="A68" s="68">
        <v>43184</v>
      </c>
      <c r="B68" s="58" t="s">
        <v>418</v>
      </c>
      <c r="C68" s="58" t="s">
        <v>258</v>
      </c>
      <c r="D68" s="58" t="s">
        <v>279</v>
      </c>
      <c r="E68" s="58" t="s">
        <v>238</v>
      </c>
      <c r="F68" s="58"/>
      <c r="G68" s="257">
        <f t="shared" si="2"/>
        <v>106.875</v>
      </c>
      <c r="H68" s="89">
        <v>9</v>
      </c>
      <c r="I68" s="141">
        <v>190000</v>
      </c>
      <c r="J68" s="185">
        <f>Table5[[#This Row],[ĐƠN GIÁ ]]*Table5[[#This Row],[SỐ LƯỢNG ]]</f>
        <v>1710000</v>
      </c>
      <c r="K68" s="185">
        <f>+Table5[[#This Row],[THÀNH TIỀN ]]*10%</f>
        <v>171000</v>
      </c>
    </row>
    <row r="69" spans="1:11" s="44" customFormat="1">
      <c r="A69" s="68">
        <v>43184</v>
      </c>
      <c r="B69" s="58" t="s">
        <v>418</v>
      </c>
      <c r="C69" s="58" t="s">
        <v>258</v>
      </c>
      <c r="D69" s="58" t="s">
        <v>378</v>
      </c>
      <c r="E69" s="58" t="s">
        <v>238</v>
      </c>
      <c r="F69" s="58"/>
      <c r="G69" s="257">
        <f t="shared" si="2"/>
        <v>11.875</v>
      </c>
      <c r="H69" s="89">
        <v>1</v>
      </c>
      <c r="I69" s="141">
        <v>190000</v>
      </c>
      <c r="J69" s="185">
        <f>Table5[[#This Row],[ĐƠN GIÁ ]]*Table5[[#This Row],[SỐ LƯỢNG ]]</f>
        <v>190000</v>
      </c>
      <c r="K69" s="185">
        <f>+Table5[[#This Row],[THÀNH TIỀN ]]*10%</f>
        <v>19000</v>
      </c>
    </row>
    <row r="70" spans="1:11" s="44" customFormat="1">
      <c r="A70" s="68">
        <v>43185</v>
      </c>
      <c r="B70" s="58" t="s">
        <v>418</v>
      </c>
      <c r="C70" s="58" t="s">
        <v>357</v>
      </c>
      <c r="D70" s="58" t="s">
        <v>358</v>
      </c>
      <c r="E70" s="58" t="s">
        <v>238</v>
      </c>
      <c r="F70" s="58"/>
      <c r="G70" s="257">
        <f t="shared" si="2"/>
        <v>37.5</v>
      </c>
      <c r="H70" s="89">
        <v>3</v>
      </c>
      <c r="I70" s="141">
        <v>200000</v>
      </c>
      <c r="J70" s="185">
        <f>Table5[[#This Row],[ĐƠN GIÁ ]]*Table5[[#This Row],[SỐ LƯỢNG ]]</f>
        <v>600000</v>
      </c>
      <c r="K70" s="185">
        <f>+Table5[[#This Row],[THÀNH TIỀN ]]*10%</f>
        <v>60000</v>
      </c>
    </row>
    <row r="71" spans="1:11" s="44" customFormat="1">
      <c r="A71" s="68">
        <v>43185</v>
      </c>
      <c r="B71" s="58" t="s">
        <v>418</v>
      </c>
      <c r="C71" s="58" t="s">
        <v>357</v>
      </c>
      <c r="D71" s="58" t="s">
        <v>266</v>
      </c>
      <c r="E71" s="58" t="s">
        <v>238</v>
      </c>
      <c r="F71" s="58"/>
      <c r="G71" s="257">
        <f t="shared" si="2"/>
        <v>125</v>
      </c>
      <c r="H71" s="89">
        <v>10</v>
      </c>
      <c r="I71" s="141">
        <v>200000</v>
      </c>
      <c r="J71" s="185">
        <f>Table5[[#This Row],[ĐƠN GIÁ ]]*Table5[[#This Row],[SỐ LƯỢNG ]]</f>
        <v>2000000</v>
      </c>
      <c r="K71" s="185">
        <f>+Table5[[#This Row],[THÀNH TIỀN ]]*10%</f>
        <v>200000</v>
      </c>
    </row>
    <row r="72" spans="1:11" s="44" customFormat="1">
      <c r="A72" s="68">
        <v>43186</v>
      </c>
      <c r="B72" s="58" t="s">
        <v>418</v>
      </c>
      <c r="C72" s="58" t="s">
        <v>394</v>
      </c>
      <c r="D72" s="58" t="s">
        <v>260</v>
      </c>
      <c r="E72" s="58" t="s">
        <v>238</v>
      </c>
      <c r="F72" s="58"/>
      <c r="G72" s="257">
        <f t="shared" si="2"/>
        <v>23.75</v>
      </c>
      <c r="H72" s="89">
        <v>2</v>
      </c>
      <c r="I72" s="141">
        <v>190000</v>
      </c>
      <c r="J72" s="185">
        <f>Table5[[#This Row],[ĐƠN GIÁ ]]*Table5[[#This Row],[SỐ LƯỢNG ]]</f>
        <v>380000</v>
      </c>
      <c r="K72" s="185">
        <f>+Table5[[#This Row],[THÀNH TIỀN ]]*10%</f>
        <v>38000</v>
      </c>
    </row>
    <row r="73" spans="1:11" s="44" customFormat="1">
      <c r="A73" s="68">
        <v>43186</v>
      </c>
      <c r="B73" s="58" t="s">
        <v>418</v>
      </c>
      <c r="C73" s="58" t="s">
        <v>394</v>
      </c>
      <c r="D73" s="58" t="s">
        <v>350</v>
      </c>
      <c r="E73" s="58" t="s">
        <v>238</v>
      </c>
      <c r="F73" s="58"/>
      <c r="G73" s="257">
        <f t="shared" si="2"/>
        <v>130.625</v>
      </c>
      <c r="H73" s="89">
        <v>11</v>
      </c>
      <c r="I73" s="141">
        <v>190000</v>
      </c>
      <c r="J73" s="185">
        <f>Table5[[#This Row],[ĐƠN GIÁ ]]*Table5[[#This Row],[SỐ LƯỢNG ]]</f>
        <v>2090000</v>
      </c>
      <c r="K73" s="185">
        <f>+Table5[[#This Row],[THÀNH TIỀN ]]*10%</f>
        <v>209000</v>
      </c>
    </row>
    <row r="74" spans="1:11" s="44" customFormat="1">
      <c r="A74" s="68">
        <v>43187</v>
      </c>
      <c r="B74" s="58" t="s">
        <v>418</v>
      </c>
      <c r="C74" s="58" t="s">
        <v>394</v>
      </c>
      <c r="D74" s="58" t="s">
        <v>237</v>
      </c>
      <c r="E74" s="58" t="s">
        <v>238</v>
      </c>
      <c r="F74" s="58"/>
      <c r="G74" s="257">
        <f t="shared" si="2"/>
        <v>75</v>
      </c>
      <c r="H74" s="89">
        <v>10</v>
      </c>
      <c r="I74" s="141">
        <v>120000</v>
      </c>
      <c r="J74" s="185">
        <f>Table5[[#This Row],[ĐƠN GIÁ ]]*Table5[[#This Row],[SỐ LƯỢNG ]]</f>
        <v>1200000</v>
      </c>
      <c r="K74" s="185">
        <f>+Table5[[#This Row],[THÀNH TIỀN ]]*10%</f>
        <v>120000</v>
      </c>
    </row>
    <row r="75" spans="1:11" s="44" customFormat="1">
      <c r="A75" s="68">
        <v>43187</v>
      </c>
      <c r="B75" s="58" t="s">
        <v>418</v>
      </c>
      <c r="C75" s="58" t="s">
        <v>394</v>
      </c>
      <c r="D75" s="58" t="s">
        <v>266</v>
      </c>
      <c r="E75" s="58" t="s">
        <v>238</v>
      </c>
      <c r="F75" s="58"/>
      <c r="G75" s="257">
        <f t="shared" si="2"/>
        <v>33.75</v>
      </c>
      <c r="H75" s="89">
        <v>3</v>
      </c>
      <c r="I75" s="141">
        <v>180000</v>
      </c>
      <c r="J75" s="185">
        <f>Table5[[#This Row],[ĐƠN GIÁ ]]*Table5[[#This Row],[SỐ LƯỢNG ]]</f>
        <v>540000</v>
      </c>
      <c r="K75" s="185">
        <f>+Table5[[#This Row],[THÀNH TIỀN ]]*10%</f>
        <v>54000</v>
      </c>
    </row>
    <row r="76" spans="1:11" s="44" customFormat="1">
      <c r="A76" s="68">
        <v>43187</v>
      </c>
      <c r="B76" s="58" t="s">
        <v>418</v>
      </c>
      <c r="C76" s="58" t="s">
        <v>415</v>
      </c>
      <c r="D76" s="58" t="s">
        <v>232</v>
      </c>
      <c r="E76" s="58" t="s">
        <v>238</v>
      </c>
      <c r="F76" s="58"/>
      <c r="G76" s="257">
        <f t="shared" si="2"/>
        <v>18.75</v>
      </c>
      <c r="H76" s="89">
        <v>1</v>
      </c>
      <c r="I76" s="141">
        <v>300000</v>
      </c>
      <c r="J76" s="185">
        <f>Table5[[#This Row],[ĐƠN GIÁ ]]*Table5[[#This Row],[SỐ LƯỢNG ]]</f>
        <v>300000</v>
      </c>
      <c r="K76" s="185">
        <f>+Table5[[#This Row],[THÀNH TIỀN ]]*10%</f>
        <v>30000</v>
      </c>
    </row>
    <row r="77" spans="1:11" s="44" customFormat="1">
      <c r="A77" s="68">
        <v>43188</v>
      </c>
      <c r="B77" s="58" t="s">
        <v>418</v>
      </c>
      <c r="C77" s="58" t="s">
        <v>394</v>
      </c>
      <c r="D77" s="58" t="s">
        <v>246</v>
      </c>
      <c r="E77" s="58" t="s">
        <v>238</v>
      </c>
      <c r="F77" s="58"/>
      <c r="G77" s="257">
        <f t="shared" si="2"/>
        <v>35.625</v>
      </c>
      <c r="H77" s="89">
        <v>3</v>
      </c>
      <c r="I77" s="141">
        <v>190000</v>
      </c>
      <c r="J77" s="185">
        <f>Table5[[#This Row],[ĐƠN GIÁ ]]*Table5[[#This Row],[SỐ LƯỢNG ]]</f>
        <v>570000</v>
      </c>
      <c r="K77" s="185">
        <f>+Table5[[#This Row],[THÀNH TIỀN ]]*10%</f>
        <v>57000</v>
      </c>
    </row>
    <row r="78" spans="1:11" s="44" customFormat="1">
      <c r="A78" s="68">
        <v>43188</v>
      </c>
      <c r="B78" s="58" t="s">
        <v>418</v>
      </c>
      <c r="C78" s="58" t="s">
        <v>351</v>
      </c>
      <c r="D78" s="58" t="s">
        <v>246</v>
      </c>
      <c r="E78" s="58" t="s">
        <v>238</v>
      </c>
      <c r="F78" s="58"/>
      <c r="G78" s="257">
        <f t="shared" si="2"/>
        <v>55</v>
      </c>
      <c r="H78" s="89">
        <v>4</v>
      </c>
      <c r="I78" s="141">
        <v>220000</v>
      </c>
      <c r="J78" s="185">
        <f>Table5[[#This Row],[ĐƠN GIÁ ]]*Table5[[#This Row],[SỐ LƯỢNG ]]</f>
        <v>880000</v>
      </c>
      <c r="K78" s="185">
        <f>+Table5[[#This Row],[THÀNH TIỀN ]]*10%</f>
        <v>88000</v>
      </c>
    </row>
    <row r="79" spans="1:11" s="44" customFormat="1">
      <c r="A79" s="68">
        <v>43188</v>
      </c>
      <c r="B79" s="58" t="s">
        <v>418</v>
      </c>
      <c r="C79" s="58" t="s">
        <v>343</v>
      </c>
      <c r="D79" s="58" t="s">
        <v>396</v>
      </c>
      <c r="E79" s="58" t="s">
        <v>238</v>
      </c>
      <c r="F79" s="58"/>
      <c r="G79" s="257">
        <f t="shared" si="2"/>
        <v>37.5</v>
      </c>
      <c r="H79" s="89">
        <v>3</v>
      </c>
      <c r="I79" s="141">
        <v>200000</v>
      </c>
      <c r="J79" s="185">
        <f>Table5[[#This Row],[ĐƠN GIÁ ]]*Table5[[#This Row],[SỐ LƯỢNG ]]</f>
        <v>600000</v>
      </c>
      <c r="K79" s="185">
        <f>+Table5[[#This Row],[THÀNH TIỀN ]]*10%</f>
        <v>60000</v>
      </c>
    </row>
    <row r="80" spans="1:11" s="44" customFormat="1">
      <c r="A80" s="68">
        <v>43188</v>
      </c>
      <c r="B80" s="58" t="s">
        <v>418</v>
      </c>
      <c r="C80" s="115" t="s">
        <v>351</v>
      </c>
      <c r="D80" s="115" t="s">
        <v>350</v>
      </c>
      <c r="E80" s="58" t="s">
        <v>238</v>
      </c>
      <c r="F80" s="115"/>
      <c r="G80" s="257">
        <f t="shared" si="2"/>
        <v>13.75</v>
      </c>
      <c r="H80" s="89">
        <v>1</v>
      </c>
      <c r="I80" s="142">
        <v>220000</v>
      </c>
      <c r="J80" s="185">
        <f>Table5[[#This Row],[ĐƠN GIÁ ]]*Table5[[#This Row],[SỐ LƯỢNG ]]</f>
        <v>220000</v>
      </c>
      <c r="K80" s="185">
        <f>+Table5[[#This Row],[THÀNH TIỀN ]]*10%</f>
        <v>22000</v>
      </c>
    </row>
    <row r="81" spans="1:11" s="44" customFormat="1">
      <c r="A81" s="281"/>
      <c r="B81" s="282"/>
      <c r="C81" s="282"/>
      <c r="D81" s="282"/>
      <c r="E81" s="282"/>
      <c r="F81" s="282"/>
      <c r="G81" s="283"/>
      <c r="H81" s="283">
        <f>SUM(H11:H80)</f>
        <v>435</v>
      </c>
      <c r="I81" s="284"/>
      <c r="J81" s="285">
        <f>SUBTOTAL(109,[[THÀNH TIỀN ]])</f>
        <v>81586900</v>
      </c>
      <c r="K81" s="285">
        <f>SUBTOTAL(109,[LTX])</f>
        <v>8158690</v>
      </c>
    </row>
    <row r="82" spans="1:11" s="44" customFormat="1">
      <c r="A82" s="57"/>
      <c r="B82" s="57"/>
      <c r="C82" s="57"/>
      <c r="D82" s="57"/>
      <c r="E82" s="57"/>
      <c r="F82" s="57"/>
      <c r="G82" s="57"/>
      <c r="H82" s="57"/>
      <c r="I82" s="57"/>
      <c r="J82" s="252"/>
      <c r="K82" s="57"/>
    </row>
    <row r="83" spans="1:11" s="44" customFormat="1">
      <c r="A83" s="57"/>
      <c r="B83" s="57"/>
      <c r="C83" s="57"/>
      <c r="D83" s="57"/>
      <c r="E83" s="57"/>
      <c r="F83" s="57"/>
      <c r="G83" s="57"/>
      <c r="H83" s="57"/>
      <c r="I83" s="57"/>
      <c r="J83" s="252"/>
      <c r="K83" s="57"/>
    </row>
    <row r="84" spans="1:11" s="44" customFormat="1">
      <c r="A84" s="57"/>
      <c r="B84" s="57"/>
      <c r="C84" s="57"/>
      <c r="D84" s="57"/>
      <c r="E84" s="57"/>
      <c r="F84" s="57"/>
      <c r="G84" s="57"/>
      <c r="H84" s="57"/>
      <c r="I84" s="57"/>
      <c r="J84" s="252"/>
      <c r="K84" s="57"/>
    </row>
    <row r="85" spans="1:11" s="44" customFormat="1">
      <c r="A85" s="57"/>
      <c r="B85" s="57"/>
      <c r="C85" s="57"/>
      <c r="D85" s="57"/>
      <c r="E85" s="57"/>
      <c r="F85" s="57"/>
      <c r="G85" s="57"/>
      <c r="H85" s="57"/>
      <c r="I85" s="57"/>
      <c r="J85" s="252"/>
      <c r="K85" s="57"/>
    </row>
    <row r="86" spans="1:11" s="44" customFormat="1">
      <c r="A86" s="57"/>
      <c r="B86" s="57"/>
      <c r="C86" s="334" t="s">
        <v>34</v>
      </c>
      <c r="D86" s="335"/>
      <c r="E86" s="335"/>
      <c r="F86" s="335"/>
      <c r="G86" s="336"/>
      <c r="H86" s="253"/>
      <c r="I86" s="180">
        <f>+Table5[[#Totals],[THÀNH TIỀN ]]</f>
        <v>81586900</v>
      </c>
      <c r="J86" s="252"/>
      <c r="K86" s="57"/>
    </row>
    <row r="87" spans="1:11" s="44" customFormat="1">
      <c r="A87" s="57"/>
      <c r="B87" s="57"/>
      <c r="C87" s="334" t="s">
        <v>35</v>
      </c>
      <c r="D87" s="335"/>
      <c r="E87" s="335"/>
      <c r="F87" s="335"/>
      <c r="G87" s="336"/>
      <c r="H87" s="253"/>
      <c r="I87" s="180">
        <f>+Table5[[#Totals],[LTX]]</f>
        <v>8158690</v>
      </c>
      <c r="J87" s="252"/>
      <c r="K87" s="57"/>
    </row>
    <row r="88" spans="1:11" s="44" customFormat="1">
      <c r="A88" s="57"/>
      <c r="B88" s="57"/>
      <c r="C88" s="334" t="s">
        <v>36</v>
      </c>
      <c r="D88" s="335"/>
      <c r="E88" s="335"/>
      <c r="F88" s="335"/>
      <c r="G88" s="336"/>
      <c r="H88" s="253"/>
      <c r="I88" s="180">
        <v>2000000</v>
      </c>
      <c r="J88" s="252"/>
      <c r="K88" s="57"/>
    </row>
    <row r="89" spans="1:11" s="44" customFormat="1">
      <c r="A89" s="57"/>
      <c r="B89" s="57"/>
      <c r="C89" s="334" t="s">
        <v>100</v>
      </c>
      <c r="D89" s="335"/>
      <c r="E89" s="335"/>
      <c r="F89" s="335"/>
      <c r="G89" s="336"/>
      <c r="H89" s="179"/>
      <c r="I89" s="180">
        <f>D104</f>
        <v>150000</v>
      </c>
      <c r="J89" s="252"/>
      <c r="K89" s="57"/>
    </row>
    <row r="90" spans="1:11" s="44" customFormat="1">
      <c r="A90" s="57"/>
      <c r="B90" s="57"/>
      <c r="C90" s="334" t="s">
        <v>111</v>
      </c>
      <c r="D90" s="335"/>
      <c r="E90" s="335"/>
      <c r="F90" s="335"/>
      <c r="G90" s="336"/>
      <c r="H90" s="179"/>
      <c r="I90" s="180">
        <f>J102</f>
        <v>24823000</v>
      </c>
      <c r="J90" s="252"/>
      <c r="K90" s="57"/>
    </row>
    <row r="91" spans="1:11" s="44" customFormat="1">
      <c r="A91" s="57"/>
      <c r="B91" s="57"/>
      <c r="C91" s="334" t="s">
        <v>168</v>
      </c>
      <c r="D91" s="335"/>
      <c r="E91" s="335"/>
      <c r="F91" s="335"/>
      <c r="G91" s="336"/>
      <c r="H91" s="179"/>
      <c r="I91" s="180">
        <f>D115</f>
        <v>1350000</v>
      </c>
      <c r="J91" s="252"/>
      <c r="K91" s="57"/>
    </row>
    <row r="92" spans="1:11" s="44" customFormat="1">
      <c r="A92" s="57"/>
      <c r="B92" s="57"/>
      <c r="C92" s="334" t="s">
        <v>112</v>
      </c>
      <c r="D92" s="335"/>
      <c r="E92" s="335"/>
      <c r="F92" s="335"/>
      <c r="G92" s="336"/>
      <c r="H92" s="179"/>
      <c r="I92" s="180">
        <f>+I86-I87-I88-I89-I90-I91</f>
        <v>45105210</v>
      </c>
      <c r="J92" s="252"/>
      <c r="K92" s="57"/>
    </row>
    <row r="93" spans="1:11" s="44" customFormat="1">
      <c r="A93" s="57"/>
      <c r="B93" s="57"/>
      <c r="C93" s="57"/>
      <c r="D93" s="57"/>
      <c r="E93" s="57"/>
      <c r="F93" s="57"/>
      <c r="G93" s="57"/>
      <c r="H93" s="57"/>
      <c r="I93" s="57"/>
      <c r="J93" s="252"/>
      <c r="K93" s="57"/>
    </row>
    <row r="94" spans="1:11" s="44" customFormat="1">
      <c r="A94" s="57"/>
      <c r="B94" s="57"/>
      <c r="C94" s="57"/>
      <c r="D94" s="57"/>
      <c r="E94" s="57"/>
      <c r="F94" s="57"/>
      <c r="G94" s="57"/>
      <c r="H94" s="57"/>
      <c r="I94" s="57"/>
      <c r="J94" s="252"/>
      <c r="K94" s="57"/>
    </row>
    <row r="95" spans="1:11" s="44" customFormat="1">
      <c r="A95" s="59" t="s">
        <v>169</v>
      </c>
      <c r="B95" s="254"/>
      <c r="C95" s="254"/>
      <c r="D95" s="181"/>
      <c r="E95" s="181"/>
      <c r="F95" s="181" t="s">
        <v>170</v>
      </c>
      <c r="G95" s="59"/>
      <c r="H95" s="59"/>
      <c r="I95" s="59"/>
      <c r="J95" s="256"/>
      <c r="K95" s="57"/>
    </row>
    <row r="96" spans="1:11" s="44" customFormat="1">
      <c r="A96" s="183" t="s">
        <v>473</v>
      </c>
      <c r="B96" s="342" t="s">
        <v>475</v>
      </c>
      <c r="C96" s="343"/>
      <c r="D96" s="123">
        <v>1000000</v>
      </c>
      <c r="E96" s="57"/>
      <c r="F96" s="258" t="s">
        <v>312</v>
      </c>
      <c r="G96" s="258"/>
      <c r="H96" s="58" t="s">
        <v>313</v>
      </c>
      <c r="I96" s="58"/>
      <c r="J96" s="185">
        <v>4713000</v>
      </c>
      <c r="K96" s="57"/>
    </row>
    <row r="97" spans="1:11" s="44" customFormat="1">
      <c r="A97" s="183" t="s">
        <v>223</v>
      </c>
      <c r="B97" s="342" t="s">
        <v>224</v>
      </c>
      <c r="C97" s="343"/>
      <c r="D97" s="123">
        <v>1000000</v>
      </c>
      <c r="E97" s="57"/>
      <c r="F97" s="258" t="s">
        <v>314</v>
      </c>
      <c r="G97" s="258"/>
      <c r="H97" s="58" t="s">
        <v>313</v>
      </c>
      <c r="I97" s="58"/>
      <c r="J97" s="185">
        <v>4713000</v>
      </c>
      <c r="K97" s="57"/>
    </row>
    <row r="98" spans="1:11" s="44" customFormat="1">
      <c r="A98" s="183" t="s">
        <v>223</v>
      </c>
      <c r="B98" s="259" t="s">
        <v>225</v>
      </c>
      <c r="C98" s="260"/>
      <c r="D98" s="123">
        <v>350000</v>
      </c>
      <c r="E98" s="57"/>
      <c r="F98" s="258" t="s">
        <v>315</v>
      </c>
      <c r="G98" s="258"/>
      <c r="H98" s="58" t="s">
        <v>316</v>
      </c>
      <c r="I98" s="58"/>
      <c r="J98" s="185">
        <v>4400000</v>
      </c>
      <c r="K98" s="57"/>
    </row>
    <row r="99" spans="1:11" s="44" customFormat="1">
      <c r="A99" s="183" t="s">
        <v>223</v>
      </c>
      <c r="B99" s="259" t="s">
        <v>226</v>
      </c>
      <c r="C99" s="260"/>
      <c r="D99" s="123"/>
      <c r="E99" s="57"/>
      <c r="F99" s="258" t="s">
        <v>151</v>
      </c>
      <c r="G99" s="258"/>
      <c r="H99" s="58" t="s">
        <v>313</v>
      </c>
      <c r="I99" s="58"/>
      <c r="J99" s="185">
        <v>4713000</v>
      </c>
      <c r="K99" s="57"/>
    </row>
    <row r="100" spans="1:11" s="44" customFormat="1">
      <c r="A100" s="183" t="s">
        <v>223</v>
      </c>
      <c r="B100" s="259" t="s">
        <v>227</v>
      </c>
      <c r="C100" s="260"/>
      <c r="D100" s="261">
        <v>150000</v>
      </c>
      <c r="E100" s="57"/>
      <c r="F100" s="258" t="s">
        <v>317</v>
      </c>
      <c r="G100" s="258"/>
      <c r="H100" s="58" t="s">
        <v>318</v>
      </c>
      <c r="I100" s="58"/>
      <c r="J100" s="185">
        <v>3142000</v>
      </c>
      <c r="K100" s="57"/>
    </row>
    <row r="101" spans="1:11">
      <c r="A101" s="160" t="s">
        <v>223</v>
      </c>
      <c r="B101" s="262" t="s">
        <v>228</v>
      </c>
      <c r="C101" s="263"/>
      <c r="D101" s="261">
        <v>250000</v>
      </c>
      <c r="F101" s="264" t="s">
        <v>319</v>
      </c>
      <c r="G101" s="264"/>
      <c r="H101" s="161" t="s">
        <v>318</v>
      </c>
      <c r="I101" s="161"/>
      <c r="J101" s="162">
        <v>3142000</v>
      </c>
    </row>
    <row r="102" spans="1:11">
      <c r="A102" s="160" t="s">
        <v>215</v>
      </c>
      <c r="B102" s="262" t="s">
        <v>229</v>
      </c>
      <c r="C102" s="263"/>
      <c r="D102" s="261">
        <v>200000</v>
      </c>
      <c r="F102" s="163"/>
      <c r="G102" s="188"/>
      <c r="H102" s="188"/>
      <c r="I102" s="164"/>
      <c r="J102" s="265">
        <f>SUM(J96:J101)</f>
        <v>24823000</v>
      </c>
    </row>
    <row r="103" spans="1:11">
      <c r="A103" s="144"/>
      <c r="B103" s="262" t="s">
        <v>230</v>
      </c>
      <c r="C103" s="263"/>
      <c r="D103" s="261">
        <v>200000</v>
      </c>
    </row>
    <row r="104" spans="1:11">
      <c r="A104" s="160" t="s">
        <v>196</v>
      </c>
      <c r="B104" s="262" t="s">
        <v>197</v>
      </c>
      <c r="C104" s="263"/>
      <c r="D104" s="224">
        <v>150000</v>
      </c>
    </row>
    <row r="105" spans="1:11">
      <c r="D105" s="223"/>
    </row>
    <row r="106" spans="1:11">
      <c r="D106" s="223"/>
    </row>
    <row r="107" spans="1:11">
      <c r="A107" s="222" t="s">
        <v>171</v>
      </c>
    </row>
    <row r="108" spans="1:11">
      <c r="A108" s="161" t="s">
        <v>312</v>
      </c>
      <c r="B108" s="321" t="s">
        <v>320</v>
      </c>
      <c r="C108" s="322"/>
      <c r="D108" s="162">
        <v>60000</v>
      </c>
    </row>
    <row r="109" spans="1:11">
      <c r="A109" s="161" t="s">
        <v>107</v>
      </c>
      <c r="B109" s="321" t="s">
        <v>321</v>
      </c>
      <c r="C109" s="322"/>
      <c r="D109" s="162">
        <v>350000</v>
      </c>
    </row>
    <row r="110" spans="1:11">
      <c r="A110" s="161" t="s">
        <v>322</v>
      </c>
      <c r="B110" s="321" t="s">
        <v>323</v>
      </c>
      <c r="C110" s="322"/>
      <c r="D110" s="162">
        <v>220000</v>
      </c>
    </row>
    <row r="111" spans="1:11">
      <c r="A111" s="161" t="s">
        <v>317</v>
      </c>
      <c r="B111" s="321" t="s">
        <v>324</v>
      </c>
      <c r="C111" s="322"/>
      <c r="D111" s="162">
        <v>75000</v>
      </c>
    </row>
    <row r="112" spans="1:11">
      <c r="A112" s="161" t="s">
        <v>319</v>
      </c>
      <c r="B112" s="321" t="s">
        <v>309</v>
      </c>
      <c r="C112" s="322"/>
      <c r="D112" s="162">
        <v>360000</v>
      </c>
    </row>
    <row r="113" spans="1:4">
      <c r="A113" s="161" t="s">
        <v>319</v>
      </c>
      <c r="B113" s="321" t="s">
        <v>325</v>
      </c>
      <c r="C113" s="322"/>
      <c r="D113" s="162">
        <v>65000</v>
      </c>
    </row>
    <row r="114" spans="1:4">
      <c r="A114" s="161" t="s">
        <v>319</v>
      </c>
      <c r="B114" s="321" t="s">
        <v>326</v>
      </c>
      <c r="C114" s="322"/>
      <c r="D114" s="162">
        <v>220000</v>
      </c>
    </row>
    <row r="115" spans="1:4">
      <c r="D115" s="223">
        <f>SUM(D108:D114)</f>
        <v>1350000</v>
      </c>
    </row>
  </sheetData>
  <mergeCells count="17">
    <mergeCell ref="C90:G90"/>
    <mergeCell ref="A5:K7"/>
    <mergeCell ref="C86:G86"/>
    <mergeCell ref="C87:G87"/>
    <mergeCell ref="C88:G88"/>
    <mergeCell ref="C89:G89"/>
    <mergeCell ref="C91:G91"/>
    <mergeCell ref="C92:G92"/>
    <mergeCell ref="B96:C96"/>
    <mergeCell ref="B97:C97"/>
    <mergeCell ref="B113:C113"/>
    <mergeCell ref="B114:C114"/>
    <mergeCell ref="B109:C109"/>
    <mergeCell ref="B108:C108"/>
    <mergeCell ref="B110:C110"/>
    <mergeCell ref="B111:C111"/>
    <mergeCell ref="B112:C112"/>
  </mergeCells>
  <pageMargins left="0.7" right="0.7" top="0.75" bottom="0.75" header="0.3" footer="0.3"/>
  <pageSetup paperSize="9" orientation="landscape" horizontalDpi="300" verticalDpi="3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C000"/>
  </sheetPr>
  <dimension ref="A1:L110"/>
  <sheetViews>
    <sheetView topLeftCell="A79" workbookViewId="0">
      <selection activeCell="I66" sqref="I66"/>
    </sheetView>
  </sheetViews>
  <sheetFormatPr defaultRowHeight="15"/>
  <cols>
    <col min="1" max="1" width="11" style="26" customWidth="1"/>
    <col min="2" max="2" width="7.140625" style="26" customWidth="1"/>
    <col min="3" max="4" width="18.42578125" style="26" customWidth="1"/>
    <col min="5" max="6" width="9.140625" style="26"/>
    <col min="7" max="7" width="7.5703125" style="26" customWidth="1"/>
    <col min="8" max="8" width="11.7109375" style="26" customWidth="1"/>
    <col min="9" max="9" width="12.5703125" style="26" customWidth="1"/>
    <col min="10" max="10" width="15.140625" style="151" customWidth="1"/>
    <col min="11" max="11" width="11.28515625" style="26" customWidth="1"/>
    <col min="12" max="12" width="9.140625" style="26"/>
  </cols>
  <sheetData>
    <row r="1" spans="1:12">
      <c r="A1" s="146" t="s">
        <v>0</v>
      </c>
      <c r="B1" s="146"/>
      <c r="C1" s="146"/>
      <c r="D1" s="147"/>
      <c r="E1" s="147"/>
      <c r="F1" s="147"/>
      <c r="G1" s="148"/>
      <c r="H1" s="149"/>
      <c r="I1" s="150"/>
      <c r="J1" s="150"/>
      <c r="K1" s="150"/>
    </row>
    <row r="2" spans="1:12">
      <c r="A2" s="146" t="s">
        <v>1</v>
      </c>
      <c r="B2" s="146"/>
      <c r="C2" s="146"/>
      <c r="D2" s="147"/>
      <c r="E2" s="147"/>
      <c r="F2" s="147"/>
      <c r="G2" s="148"/>
      <c r="H2" s="149"/>
      <c r="I2" s="150"/>
      <c r="J2" s="150"/>
      <c r="K2" s="150"/>
    </row>
    <row r="3" spans="1:12">
      <c r="A3" s="146" t="s">
        <v>2</v>
      </c>
      <c r="B3" s="146"/>
      <c r="C3" s="146"/>
      <c r="D3" s="147"/>
      <c r="E3" s="147"/>
      <c r="F3" s="147"/>
      <c r="G3" s="148"/>
      <c r="H3" s="149"/>
      <c r="I3" s="150"/>
      <c r="J3" s="150"/>
      <c r="K3" s="150"/>
    </row>
    <row r="4" spans="1:12">
      <c r="A4" s="146" t="s">
        <v>3</v>
      </c>
      <c r="B4" s="146"/>
      <c r="C4" s="146"/>
      <c r="D4" s="147"/>
      <c r="E4" s="147"/>
      <c r="F4" s="147"/>
      <c r="G4" s="148"/>
      <c r="H4" s="149"/>
      <c r="I4" s="150"/>
      <c r="J4" s="150"/>
      <c r="K4" s="150"/>
    </row>
    <row r="5" spans="1:12">
      <c r="A5" s="316" t="s">
        <v>221</v>
      </c>
      <c r="B5" s="316"/>
      <c r="C5" s="316"/>
      <c r="D5" s="316"/>
      <c r="E5" s="316"/>
      <c r="F5" s="316"/>
      <c r="G5" s="316"/>
      <c r="H5" s="316"/>
      <c r="I5" s="316"/>
      <c r="J5" s="316"/>
      <c r="K5" s="316"/>
    </row>
    <row r="6" spans="1:12">
      <c r="A6" s="316"/>
      <c r="B6" s="316"/>
      <c r="C6" s="316"/>
      <c r="D6" s="316"/>
      <c r="E6" s="316"/>
      <c r="F6" s="316"/>
      <c r="G6" s="316"/>
      <c r="H6" s="316"/>
      <c r="I6" s="316"/>
      <c r="J6" s="316"/>
      <c r="K6" s="316"/>
    </row>
    <row r="7" spans="1:12">
      <c r="A7" s="316"/>
      <c r="B7" s="316"/>
      <c r="C7" s="316"/>
      <c r="D7" s="316"/>
      <c r="E7" s="316"/>
      <c r="F7" s="316"/>
      <c r="G7" s="316"/>
      <c r="H7" s="316"/>
      <c r="I7" s="316"/>
      <c r="J7" s="316"/>
      <c r="K7" s="316"/>
    </row>
    <row r="8" spans="1:12" ht="21">
      <c r="D8" s="32">
        <v>10096</v>
      </c>
    </row>
    <row r="10" spans="1:12" s="57" customFormat="1">
      <c r="A10" s="136" t="s">
        <v>5</v>
      </c>
      <c r="B10" s="136" t="s">
        <v>6</v>
      </c>
      <c r="C10" s="136" t="s">
        <v>7</v>
      </c>
      <c r="D10" s="137" t="s">
        <v>8</v>
      </c>
      <c r="E10" s="136" t="s">
        <v>9</v>
      </c>
      <c r="F10" s="136" t="s">
        <v>10</v>
      </c>
      <c r="G10" s="143" t="s">
        <v>12</v>
      </c>
      <c r="H10" s="137" t="s">
        <v>13</v>
      </c>
      <c r="I10" s="137" t="s">
        <v>14</v>
      </c>
      <c r="J10" s="137" t="s">
        <v>15</v>
      </c>
      <c r="K10" s="137" t="s">
        <v>16</v>
      </c>
    </row>
    <row r="11" spans="1:12" s="44" customFormat="1">
      <c r="A11" s="68">
        <v>43160</v>
      </c>
      <c r="B11" s="58" t="s">
        <v>425</v>
      </c>
      <c r="C11" s="124" t="s">
        <v>361</v>
      </c>
      <c r="D11" s="124" t="s">
        <v>400</v>
      </c>
      <c r="E11" s="124" t="s">
        <v>238</v>
      </c>
      <c r="F11" s="58"/>
      <c r="G11" s="140"/>
      <c r="H11" s="89">
        <v>10</v>
      </c>
      <c r="I11" s="139">
        <v>85000</v>
      </c>
      <c r="J11" s="111">
        <f>Table6[[#This Row],[ĐƠN GIÁ ]]*Table6[[#This Row],[SỐ LƯỢNG ]]</f>
        <v>850000</v>
      </c>
      <c r="K11" s="111">
        <f>+Table6[[#This Row],[THÀNH TIỀN ]]*10%</f>
        <v>85000</v>
      </c>
      <c r="L11" s="57"/>
    </row>
    <row r="12" spans="1:12" s="44" customFormat="1">
      <c r="A12" s="68">
        <v>43160</v>
      </c>
      <c r="B12" s="58" t="s">
        <v>425</v>
      </c>
      <c r="C12" s="58" t="s">
        <v>348</v>
      </c>
      <c r="D12" s="58" t="s">
        <v>237</v>
      </c>
      <c r="E12" s="58" t="s">
        <v>238</v>
      </c>
      <c r="F12" s="58"/>
      <c r="G12" s="140"/>
      <c r="H12" s="89">
        <v>6</v>
      </c>
      <c r="I12" s="141">
        <v>150000</v>
      </c>
      <c r="J12" s="111">
        <f>Table6[[#This Row],[ĐƠN GIÁ ]]*Table6[[#This Row],[SỐ LƯỢNG ]]</f>
        <v>900000</v>
      </c>
      <c r="K12" s="272">
        <f>+Table6[[#This Row],[THÀNH TIỀN ]]*10%</f>
        <v>90000</v>
      </c>
      <c r="L12" s="57"/>
    </row>
    <row r="13" spans="1:12" s="44" customFormat="1">
      <c r="A13" s="68">
        <v>43161</v>
      </c>
      <c r="B13" s="58" t="s">
        <v>425</v>
      </c>
      <c r="C13" s="58" t="s">
        <v>241</v>
      </c>
      <c r="D13" s="58" t="s">
        <v>242</v>
      </c>
      <c r="E13" s="58"/>
      <c r="F13" s="58"/>
      <c r="G13" s="140"/>
      <c r="H13" s="89">
        <v>8</v>
      </c>
      <c r="I13" s="141">
        <f>24000*6.0875</f>
        <v>146100</v>
      </c>
      <c r="J13" s="111">
        <f>Table6[[#This Row],[ĐƠN GIÁ ]]*Table6[[#This Row],[SỐ LƯỢNG ]]</f>
        <v>1168800</v>
      </c>
      <c r="K13" s="272">
        <f>+Table6[[#This Row],[THÀNH TIỀN ]]*10%</f>
        <v>116880</v>
      </c>
      <c r="L13" s="57"/>
    </row>
    <row r="14" spans="1:12" s="44" customFormat="1">
      <c r="A14" s="68">
        <v>43161</v>
      </c>
      <c r="B14" s="58" t="s">
        <v>425</v>
      </c>
      <c r="C14" s="124" t="s">
        <v>361</v>
      </c>
      <c r="D14" s="124" t="s">
        <v>400</v>
      </c>
      <c r="E14" s="58" t="s">
        <v>238</v>
      </c>
      <c r="F14" s="58"/>
      <c r="G14" s="140"/>
      <c r="H14" s="89">
        <v>20</v>
      </c>
      <c r="I14" s="139">
        <v>85000</v>
      </c>
      <c r="J14" s="111">
        <f>Table6[[#This Row],[ĐƠN GIÁ ]]*Table6[[#This Row],[SỐ LƯỢNG ]]</f>
        <v>1700000</v>
      </c>
      <c r="K14" s="272">
        <f>+Table6[[#This Row],[THÀNH TIỀN ]]*10%</f>
        <v>170000</v>
      </c>
      <c r="L14" s="57"/>
    </row>
    <row r="15" spans="1:12" s="44" customFormat="1">
      <c r="A15" s="68">
        <v>43162</v>
      </c>
      <c r="B15" s="58" t="s">
        <v>425</v>
      </c>
      <c r="C15" s="124" t="s">
        <v>361</v>
      </c>
      <c r="D15" s="124" t="s">
        <v>400</v>
      </c>
      <c r="E15" s="58" t="s">
        <v>238</v>
      </c>
      <c r="F15" s="58"/>
      <c r="G15" s="140"/>
      <c r="H15" s="89">
        <v>3</v>
      </c>
      <c r="I15" s="139">
        <v>85000</v>
      </c>
      <c r="J15" s="111">
        <f>Table6[[#This Row],[ĐƠN GIÁ ]]*Table6[[#This Row],[SỐ LƯỢNG ]]</f>
        <v>255000</v>
      </c>
      <c r="K15" s="272">
        <f>+Table6[[#This Row],[THÀNH TIỀN ]]*10%</f>
        <v>25500</v>
      </c>
      <c r="L15" s="57"/>
    </row>
    <row r="16" spans="1:12" s="44" customFormat="1">
      <c r="A16" s="68">
        <v>43162</v>
      </c>
      <c r="B16" s="58" t="s">
        <v>425</v>
      </c>
      <c r="C16" s="58" t="s">
        <v>348</v>
      </c>
      <c r="D16" s="58" t="s">
        <v>237</v>
      </c>
      <c r="E16" s="58" t="s">
        <v>238</v>
      </c>
      <c r="F16" s="58"/>
      <c r="G16" s="140"/>
      <c r="H16" s="89">
        <v>18</v>
      </c>
      <c r="I16" s="141">
        <v>120000</v>
      </c>
      <c r="J16" s="111">
        <f>Table6[[#This Row],[ĐƠN GIÁ ]]*Table6[[#This Row],[SỐ LƯỢNG ]]</f>
        <v>2160000</v>
      </c>
      <c r="K16" s="272">
        <f>+Table6[[#This Row],[THÀNH TIỀN ]]*10%</f>
        <v>216000</v>
      </c>
      <c r="L16" s="57"/>
    </row>
    <row r="17" spans="1:12" s="44" customFormat="1">
      <c r="A17" s="68">
        <v>43163</v>
      </c>
      <c r="B17" s="58" t="s">
        <v>425</v>
      </c>
      <c r="C17" s="58" t="s">
        <v>348</v>
      </c>
      <c r="D17" s="58" t="s">
        <v>433</v>
      </c>
      <c r="E17" s="58" t="s">
        <v>238</v>
      </c>
      <c r="F17" s="58"/>
      <c r="G17" s="140"/>
      <c r="H17" s="89">
        <v>15</v>
      </c>
      <c r="I17" s="141">
        <v>190000</v>
      </c>
      <c r="J17" s="111">
        <f>Table6[[#This Row],[ĐƠN GIÁ ]]*Table6[[#This Row],[SỐ LƯỢNG ]]</f>
        <v>2850000</v>
      </c>
      <c r="K17" s="272">
        <f>+Table6[[#This Row],[THÀNH TIỀN ]]*10%</f>
        <v>285000</v>
      </c>
      <c r="L17" s="57"/>
    </row>
    <row r="18" spans="1:12" s="44" customFormat="1">
      <c r="A18" s="68">
        <v>43163</v>
      </c>
      <c r="B18" s="58" t="s">
        <v>425</v>
      </c>
      <c r="C18" s="58" t="s">
        <v>348</v>
      </c>
      <c r="D18" s="58" t="s">
        <v>246</v>
      </c>
      <c r="E18" s="58" t="s">
        <v>238</v>
      </c>
      <c r="F18" s="58"/>
      <c r="G18" s="140"/>
      <c r="H18" s="89">
        <v>1</v>
      </c>
      <c r="I18" s="141">
        <v>190000</v>
      </c>
      <c r="J18" s="111">
        <f>Table6[[#This Row],[ĐƠN GIÁ ]]*Table6[[#This Row],[SỐ LƯỢNG ]]</f>
        <v>190000</v>
      </c>
      <c r="K18" s="272">
        <f>+Table6[[#This Row],[THÀNH TIỀN ]]*10%</f>
        <v>19000</v>
      </c>
      <c r="L18" s="57"/>
    </row>
    <row r="19" spans="1:12" s="44" customFormat="1">
      <c r="A19" s="68">
        <v>43163</v>
      </c>
      <c r="B19" s="58" t="s">
        <v>425</v>
      </c>
      <c r="C19" s="58" t="s">
        <v>348</v>
      </c>
      <c r="D19" s="58" t="s">
        <v>434</v>
      </c>
      <c r="E19" s="58" t="s">
        <v>238</v>
      </c>
      <c r="F19" s="58"/>
      <c r="G19" s="140"/>
      <c r="H19" s="89">
        <v>6</v>
      </c>
      <c r="I19" s="141">
        <v>100000</v>
      </c>
      <c r="J19" s="111">
        <f>Table6[[#This Row],[ĐƠN GIÁ ]]*Table6[[#This Row],[SỐ LƯỢNG ]]</f>
        <v>600000</v>
      </c>
      <c r="K19" s="272">
        <f>+Table6[[#This Row],[THÀNH TIỀN ]]*10%</f>
        <v>60000</v>
      </c>
      <c r="L19" s="57"/>
    </row>
    <row r="20" spans="1:12" s="44" customFormat="1">
      <c r="A20" s="68">
        <v>43164</v>
      </c>
      <c r="B20" s="58" t="s">
        <v>425</v>
      </c>
      <c r="C20" s="58" t="s">
        <v>348</v>
      </c>
      <c r="D20" s="58" t="s">
        <v>420</v>
      </c>
      <c r="E20" s="58" t="s">
        <v>238</v>
      </c>
      <c r="F20" s="58"/>
      <c r="G20" s="140"/>
      <c r="H20" s="89">
        <v>3</v>
      </c>
      <c r="I20" s="141">
        <v>350000</v>
      </c>
      <c r="J20" s="111">
        <f>Table6[[#This Row],[ĐƠN GIÁ ]]*Table6[[#This Row],[SỐ LƯỢNG ]]</f>
        <v>1050000</v>
      </c>
      <c r="K20" s="272">
        <f>+Table6[[#This Row],[THÀNH TIỀN ]]*10%</f>
        <v>105000</v>
      </c>
      <c r="L20" s="57"/>
    </row>
    <row r="21" spans="1:12" s="44" customFormat="1">
      <c r="A21" s="68">
        <v>43164</v>
      </c>
      <c r="B21" s="58" t="s">
        <v>425</v>
      </c>
      <c r="C21" s="58" t="s">
        <v>348</v>
      </c>
      <c r="D21" s="58" t="s">
        <v>434</v>
      </c>
      <c r="E21" s="58" t="s">
        <v>238</v>
      </c>
      <c r="F21" s="58"/>
      <c r="G21" s="140"/>
      <c r="H21" s="89">
        <v>6</v>
      </c>
      <c r="I21" s="141">
        <v>100000</v>
      </c>
      <c r="J21" s="111">
        <f>Table6[[#This Row],[ĐƠN GIÁ ]]*Table6[[#This Row],[SỐ LƯỢNG ]]</f>
        <v>600000</v>
      </c>
      <c r="K21" s="272">
        <f>+Table6[[#This Row],[THÀNH TIỀN ]]*10%</f>
        <v>60000</v>
      </c>
      <c r="L21" s="57"/>
    </row>
    <row r="22" spans="1:12" s="44" customFormat="1">
      <c r="A22" s="68">
        <v>43164</v>
      </c>
      <c r="B22" s="58" t="s">
        <v>425</v>
      </c>
      <c r="C22" s="58" t="s">
        <v>348</v>
      </c>
      <c r="D22" s="58" t="s">
        <v>395</v>
      </c>
      <c r="E22" s="58"/>
      <c r="F22" s="58"/>
      <c r="G22" s="140"/>
      <c r="H22" s="89">
        <v>1</v>
      </c>
      <c r="I22" s="141">
        <v>100000</v>
      </c>
      <c r="J22" s="111">
        <f>Table6[[#This Row],[ĐƠN GIÁ ]]*Table6[[#This Row],[SỐ LƯỢNG ]]</f>
        <v>100000</v>
      </c>
      <c r="K22" s="272">
        <f>+Table6[[#This Row],[THÀNH TIỀN ]]*10%</f>
        <v>10000</v>
      </c>
      <c r="L22" s="57"/>
    </row>
    <row r="23" spans="1:12" s="44" customFormat="1">
      <c r="A23" s="68">
        <v>43164</v>
      </c>
      <c r="B23" s="58" t="s">
        <v>425</v>
      </c>
      <c r="C23" s="58" t="s">
        <v>348</v>
      </c>
      <c r="D23" s="58" t="s">
        <v>232</v>
      </c>
      <c r="E23" s="58" t="s">
        <v>238</v>
      </c>
      <c r="F23" s="58"/>
      <c r="G23" s="140"/>
      <c r="H23" s="89">
        <v>4</v>
      </c>
      <c r="I23" s="141">
        <v>150000</v>
      </c>
      <c r="J23" s="111">
        <f>Table6[[#This Row],[ĐƠN GIÁ ]]*Table6[[#This Row],[SỐ LƯỢNG ]]</f>
        <v>600000</v>
      </c>
      <c r="K23" s="272">
        <f>+Table6[[#This Row],[THÀNH TIỀN ]]*10%</f>
        <v>60000</v>
      </c>
      <c r="L23" s="57"/>
    </row>
    <row r="24" spans="1:12" s="44" customFormat="1">
      <c r="A24" s="68">
        <v>43164</v>
      </c>
      <c r="B24" s="58" t="s">
        <v>425</v>
      </c>
      <c r="C24" s="58" t="s">
        <v>348</v>
      </c>
      <c r="D24" s="58" t="s">
        <v>237</v>
      </c>
      <c r="E24" s="58" t="s">
        <v>238</v>
      </c>
      <c r="F24" s="58"/>
      <c r="G24" s="140"/>
      <c r="H24" s="89">
        <v>7</v>
      </c>
      <c r="I24" s="141">
        <v>120000</v>
      </c>
      <c r="J24" s="111">
        <f>Table6[[#This Row],[ĐƠN GIÁ ]]*Table6[[#This Row],[SỐ LƯỢNG ]]</f>
        <v>840000</v>
      </c>
      <c r="K24" s="272">
        <f>+Table6[[#This Row],[THÀNH TIỀN ]]*10%</f>
        <v>84000</v>
      </c>
      <c r="L24" s="57"/>
    </row>
    <row r="25" spans="1:12" s="44" customFormat="1">
      <c r="A25" s="68">
        <v>43164</v>
      </c>
      <c r="B25" s="58" t="s">
        <v>425</v>
      </c>
      <c r="C25" s="58" t="s">
        <v>419</v>
      </c>
      <c r="D25" s="58" t="s">
        <v>426</v>
      </c>
      <c r="E25" s="58"/>
      <c r="F25" s="58" t="s">
        <v>233</v>
      </c>
      <c r="G25" s="140">
        <v>18</v>
      </c>
      <c r="H25" s="89">
        <v>1</v>
      </c>
      <c r="I25" s="141">
        <v>250000</v>
      </c>
      <c r="J25" s="111">
        <f>Table6[[#This Row],[ĐƠN GIÁ ]]*Table6[[#This Row],[SỐ LƯỢNG ]]</f>
        <v>250000</v>
      </c>
      <c r="K25" s="272">
        <f>+Table6[[#This Row],[THÀNH TIỀN ]]*10%</f>
        <v>25000</v>
      </c>
      <c r="L25" s="57"/>
    </row>
    <row r="26" spans="1:12" s="44" customFormat="1">
      <c r="A26" s="68">
        <v>43165</v>
      </c>
      <c r="B26" s="58" t="s">
        <v>425</v>
      </c>
      <c r="C26" s="58" t="s">
        <v>348</v>
      </c>
      <c r="D26" s="58" t="s">
        <v>232</v>
      </c>
      <c r="E26" s="58" t="s">
        <v>238</v>
      </c>
      <c r="F26" s="58"/>
      <c r="G26" s="140"/>
      <c r="H26" s="89">
        <v>4</v>
      </c>
      <c r="I26" s="141">
        <v>150000</v>
      </c>
      <c r="J26" s="111">
        <f>Table6[[#This Row],[ĐƠN GIÁ ]]*Table6[[#This Row],[SỐ LƯỢNG ]]</f>
        <v>600000</v>
      </c>
      <c r="K26" s="272">
        <f>+Table6[[#This Row],[THÀNH TIỀN ]]*10%</f>
        <v>60000</v>
      </c>
      <c r="L26" s="57"/>
    </row>
    <row r="27" spans="1:12" s="44" customFormat="1">
      <c r="A27" s="68">
        <v>43165</v>
      </c>
      <c r="B27" s="58" t="s">
        <v>425</v>
      </c>
      <c r="C27" s="58" t="s">
        <v>348</v>
      </c>
      <c r="D27" s="58" t="s">
        <v>246</v>
      </c>
      <c r="E27" s="58" t="s">
        <v>238</v>
      </c>
      <c r="F27" s="58"/>
      <c r="G27" s="140"/>
      <c r="H27" s="89">
        <v>8</v>
      </c>
      <c r="I27" s="141">
        <v>190000</v>
      </c>
      <c r="J27" s="111">
        <f>Table6[[#This Row],[ĐƠN GIÁ ]]*Table6[[#This Row],[SỐ LƯỢNG ]]</f>
        <v>1520000</v>
      </c>
      <c r="K27" s="272">
        <f>+Table6[[#This Row],[THÀNH TIỀN ]]*10%</f>
        <v>152000</v>
      </c>
      <c r="L27" s="57"/>
    </row>
    <row r="28" spans="1:12" s="44" customFormat="1">
      <c r="A28" s="68">
        <v>43165</v>
      </c>
      <c r="B28" s="58" t="s">
        <v>425</v>
      </c>
      <c r="C28" s="58" t="s">
        <v>372</v>
      </c>
      <c r="D28" s="58" t="s">
        <v>232</v>
      </c>
      <c r="E28" s="58"/>
      <c r="F28" s="58" t="s">
        <v>233</v>
      </c>
      <c r="G28" s="140"/>
      <c r="H28" s="89">
        <v>1</v>
      </c>
      <c r="I28" s="141">
        <v>1000000</v>
      </c>
      <c r="J28" s="111">
        <f>Table6[[#This Row],[ĐƠN GIÁ ]]*Table6[[#This Row],[SỐ LƯỢNG ]]</f>
        <v>1000000</v>
      </c>
      <c r="K28" s="272">
        <f>+Table6[[#This Row],[THÀNH TIỀN ]]*10%</f>
        <v>100000</v>
      </c>
      <c r="L28" s="57"/>
    </row>
    <row r="29" spans="1:12" s="44" customFormat="1">
      <c r="A29" s="68">
        <v>43166</v>
      </c>
      <c r="B29" s="58" t="s">
        <v>425</v>
      </c>
      <c r="C29" s="58" t="s">
        <v>436</v>
      </c>
      <c r="D29" s="58" t="s">
        <v>412</v>
      </c>
      <c r="E29" s="58" t="s">
        <v>238</v>
      </c>
      <c r="F29" s="58"/>
      <c r="G29" s="140"/>
      <c r="H29" s="89">
        <v>14</v>
      </c>
      <c r="I29" s="141">
        <v>90000</v>
      </c>
      <c r="J29" s="111">
        <f>Table6[[#This Row],[ĐƠN GIÁ ]]*Table6[[#This Row],[SỐ LƯỢNG ]]</f>
        <v>1260000</v>
      </c>
      <c r="K29" s="272">
        <f>+Table6[[#This Row],[THÀNH TIỀN ]]*10%</f>
        <v>126000</v>
      </c>
      <c r="L29" s="57"/>
    </row>
    <row r="30" spans="1:12" s="44" customFormat="1">
      <c r="A30" s="68">
        <v>43166</v>
      </c>
      <c r="B30" s="58" t="s">
        <v>425</v>
      </c>
      <c r="C30" s="58" t="s">
        <v>243</v>
      </c>
      <c r="D30" s="58" t="s">
        <v>246</v>
      </c>
      <c r="E30" s="58" t="s">
        <v>238</v>
      </c>
      <c r="F30" s="58"/>
      <c r="G30" s="140"/>
      <c r="H30" s="89">
        <v>9</v>
      </c>
      <c r="I30" s="141">
        <v>180000</v>
      </c>
      <c r="J30" s="111">
        <f>Table6[[#This Row],[ĐƠN GIÁ ]]*Table6[[#This Row],[SỐ LƯỢNG ]]</f>
        <v>1620000</v>
      </c>
      <c r="K30" s="272">
        <f>+Table6[[#This Row],[THÀNH TIỀN ]]*10%</f>
        <v>162000</v>
      </c>
      <c r="L30" s="57"/>
    </row>
    <row r="31" spans="1:12" s="44" customFormat="1">
      <c r="A31" s="68">
        <v>43167</v>
      </c>
      <c r="B31" s="58" t="s">
        <v>425</v>
      </c>
      <c r="C31" s="58" t="s">
        <v>248</v>
      </c>
      <c r="D31" s="58" t="s">
        <v>242</v>
      </c>
      <c r="E31" s="58"/>
      <c r="F31" s="58"/>
      <c r="G31" s="140"/>
      <c r="H31" s="89">
        <v>24</v>
      </c>
      <c r="I31" s="141">
        <v>100000</v>
      </c>
      <c r="J31" s="111">
        <f>Table6[[#This Row],[ĐƠN GIÁ ]]*Table6[[#This Row],[SỐ LƯỢNG ]]</f>
        <v>2400000</v>
      </c>
      <c r="K31" s="272">
        <f>+Table6[[#This Row],[THÀNH TIỀN ]]*10%</f>
        <v>240000</v>
      </c>
      <c r="L31" s="57"/>
    </row>
    <row r="32" spans="1:12" s="44" customFormat="1">
      <c r="A32" s="68">
        <v>43167</v>
      </c>
      <c r="B32" s="58" t="s">
        <v>425</v>
      </c>
      <c r="C32" s="58" t="s">
        <v>421</v>
      </c>
      <c r="D32" s="58" t="s">
        <v>264</v>
      </c>
      <c r="E32" s="58" t="s">
        <v>238</v>
      </c>
      <c r="F32" s="58"/>
      <c r="G32" s="140"/>
      <c r="H32" s="89">
        <v>1</v>
      </c>
      <c r="I32" s="141">
        <v>230000</v>
      </c>
      <c r="J32" s="111">
        <f>Table6[[#This Row],[ĐƠN GIÁ ]]*Table6[[#This Row],[SỐ LƯỢNG ]]</f>
        <v>230000</v>
      </c>
      <c r="K32" s="272">
        <f>+Table6[[#This Row],[THÀNH TIỀN ]]*10%</f>
        <v>23000</v>
      </c>
      <c r="L32" s="57"/>
    </row>
    <row r="33" spans="1:12" s="44" customFormat="1">
      <c r="A33" s="68">
        <v>43168</v>
      </c>
      <c r="B33" s="58" t="s">
        <v>425</v>
      </c>
      <c r="C33" s="124" t="s">
        <v>361</v>
      </c>
      <c r="D33" s="124" t="s">
        <v>400</v>
      </c>
      <c r="E33" s="58" t="s">
        <v>238</v>
      </c>
      <c r="F33" s="58"/>
      <c r="G33" s="140"/>
      <c r="H33" s="89">
        <v>28</v>
      </c>
      <c r="I33" s="139">
        <v>85000</v>
      </c>
      <c r="J33" s="111">
        <f>Table6[[#This Row],[ĐƠN GIÁ ]]*Table6[[#This Row],[SỐ LƯỢNG ]]</f>
        <v>2380000</v>
      </c>
      <c r="K33" s="272">
        <f>+Table6[[#This Row],[THÀNH TIỀN ]]*10%</f>
        <v>238000</v>
      </c>
      <c r="L33" s="57"/>
    </row>
    <row r="34" spans="1:12" s="44" customFormat="1">
      <c r="A34" s="68">
        <v>43168</v>
      </c>
      <c r="B34" s="58" t="s">
        <v>425</v>
      </c>
      <c r="C34" s="58" t="s">
        <v>253</v>
      </c>
      <c r="D34" s="58" t="s">
        <v>344</v>
      </c>
      <c r="E34" s="58" t="s">
        <v>238</v>
      </c>
      <c r="F34" s="58"/>
      <c r="G34" s="140"/>
      <c r="H34" s="89">
        <v>1</v>
      </c>
      <c r="I34" s="141">
        <v>230000</v>
      </c>
      <c r="J34" s="111">
        <f>Table6[[#This Row],[ĐƠN GIÁ ]]*Table6[[#This Row],[SỐ LƯỢNG ]]</f>
        <v>230000</v>
      </c>
      <c r="K34" s="272">
        <f>+Table6[[#This Row],[THÀNH TIỀN ]]*10%</f>
        <v>23000</v>
      </c>
      <c r="L34" s="57"/>
    </row>
    <row r="35" spans="1:12" s="44" customFormat="1">
      <c r="A35" s="68">
        <v>43169</v>
      </c>
      <c r="B35" s="58" t="s">
        <v>425</v>
      </c>
      <c r="C35" s="58" t="s">
        <v>372</v>
      </c>
      <c r="D35" s="58" t="s">
        <v>245</v>
      </c>
      <c r="E35" s="58"/>
      <c r="F35" s="58" t="s">
        <v>235</v>
      </c>
      <c r="G35" s="140">
        <v>14</v>
      </c>
      <c r="H35" s="89">
        <v>1</v>
      </c>
      <c r="I35" s="141">
        <v>1200000</v>
      </c>
      <c r="J35" s="111">
        <f>Table6[[#This Row],[ĐƠN GIÁ ]]*Table6[[#This Row],[SỐ LƯỢNG ]]</f>
        <v>1200000</v>
      </c>
      <c r="K35" s="272">
        <f>+Table6[[#This Row],[THÀNH TIỀN ]]*10%</f>
        <v>120000</v>
      </c>
      <c r="L35" s="57"/>
    </row>
    <row r="36" spans="1:12" s="44" customFormat="1">
      <c r="A36" s="68">
        <v>43169</v>
      </c>
      <c r="B36" s="58" t="s">
        <v>425</v>
      </c>
      <c r="C36" s="58" t="s">
        <v>348</v>
      </c>
      <c r="D36" s="58" t="s">
        <v>246</v>
      </c>
      <c r="E36" s="58" t="s">
        <v>238</v>
      </c>
      <c r="F36" s="58"/>
      <c r="G36" s="140"/>
      <c r="H36" s="89">
        <v>14</v>
      </c>
      <c r="I36" s="141">
        <v>190000</v>
      </c>
      <c r="J36" s="111">
        <f>Table6[[#This Row],[ĐƠN GIÁ ]]*Table6[[#This Row],[SỐ LƯỢNG ]]</f>
        <v>2660000</v>
      </c>
      <c r="K36" s="272">
        <f>+Table6[[#This Row],[THÀNH TIỀN ]]*10%</f>
        <v>266000</v>
      </c>
      <c r="L36" s="57"/>
    </row>
    <row r="37" spans="1:12" s="44" customFormat="1">
      <c r="A37" s="68">
        <v>43170</v>
      </c>
      <c r="B37" s="58" t="s">
        <v>425</v>
      </c>
      <c r="C37" s="58" t="s">
        <v>243</v>
      </c>
      <c r="D37" s="58" t="s">
        <v>246</v>
      </c>
      <c r="E37" s="58" t="s">
        <v>238</v>
      </c>
      <c r="F37" s="58"/>
      <c r="G37" s="140"/>
      <c r="H37" s="89">
        <v>17</v>
      </c>
      <c r="I37" s="141">
        <v>180000</v>
      </c>
      <c r="J37" s="111">
        <f>Table6[[#This Row],[ĐƠN GIÁ ]]*Table6[[#This Row],[SỐ LƯỢNG ]]</f>
        <v>3060000</v>
      </c>
      <c r="K37" s="272">
        <f>+Table6[[#This Row],[THÀNH TIỀN ]]*10%</f>
        <v>306000</v>
      </c>
      <c r="L37" s="57"/>
    </row>
    <row r="38" spans="1:12" s="44" customFormat="1">
      <c r="A38" s="68">
        <v>43171</v>
      </c>
      <c r="B38" s="58" t="s">
        <v>425</v>
      </c>
      <c r="C38" s="58" t="s">
        <v>348</v>
      </c>
      <c r="D38" s="58" t="s">
        <v>246</v>
      </c>
      <c r="E38" s="58" t="s">
        <v>238</v>
      </c>
      <c r="F38" s="58"/>
      <c r="G38" s="140"/>
      <c r="H38" s="89">
        <v>16</v>
      </c>
      <c r="I38" s="141">
        <v>190000</v>
      </c>
      <c r="J38" s="111">
        <f>Table6[[#This Row],[ĐƠN GIÁ ]]*Table6[[#This Row],[SỐ LƯỢNG ]]</f>
        <v>3040000</v>
      </c>
      <c r="K38" s="272">
        <f>+Table6[[#This Row],[THÀNH TIỀN ]]*10%</f>
        <v>304000</v>
      </c>
      <c r="L38" s="57"/>
    </row>
    <row r="39" spans="1:12" s="44" customFormat="1">
      <c r="A39" s="68">
        <v>43171</v>
      </c>
      <c r="B39" s="58" t="s">
        <v>425</v>
      </c>
      <c r="C39" s="58" t="s">
        <v>421</v>
      </c>
      <c r="D39" s="58" t="s">
        <v>427</v>
      </c>
      <c r="E39" s="58" t="s">
        <v>238</v>
      </c>
      <c r="F39" s="58"/>
      <c r="G39" s="140"/>
      <c r="H39" s="89">
        <v>2</v>
      </c>
      <c r="I39" s="141">
        <v>200000</v>
      </c>
      <c r="J39" s="111">
        <f>Table6[[#This Row],[ĐƠN GIÁ ]]*Table6[[#This Row],[SỐ LƯỢNG ]]</f>
        <v>400000</v>
      </c>
      <c r="K39" s="272">
        <f>+Table6[[#This Row],[THÀNH TIỀN ]]*10%</f>
        <v>40000</v>
      </c>
      <c r="L39" s="57"/>
    </row>
    <row r="40" spans="1:12" s="44" customFormat="1">
      <c r="A40" s="68">
        <v>43172</v>
      </c>
      <c r="B40" s="58" t="s">
        <v>425</v>
      </c>
      <c r="C40" s="58" t="s">
        <v>258</v>
      </c>
      <c r="D40" s="58" t="s">
        <v>260</v>
      </c>
      <c r="E40" s="58" t="s">
        <v>238</v>
      </c>
      <c r="F40" s="58"/>
      <c r="G40" s="140"/>
      <c r="H40" s="89">
        <v>12</v>
      </c>
      <c r="I40" s="141">
        <v>230000</v>
      </c>
      <c r="J40" s="111">
        <f>Table6[[#This Row],[ĐƠN GIÁ ]]*Table6[[#This Row],[SỐ LƯỢNG ]]</f>
        <v>2760000</v>
      </c>
      <c r="K40" s="272">
        <f>+Table6[[#This Row],[THÀNH TIỀN ]]*10%</f>
        <v>276000</v>
      </c>
      <c r="L40" s="57"/>
    </row>
    <row r="41" spans="1:12" s="44" customFormat="1">
      <c r="A41" s="68">
        <v>43173</v>
      </c>
      <c r="B41" s="58" t="s">
        <v>425</v>
      </c>
      <c r="C41" s="58" t="s">
        <v>258</v>
      </c>
      <c r="D41" s="58" t="s">
        <v>262</v>
      </c>
      <c r="E41" s="58" t="s">
        <v>238</v>
      </c>
      <c r="F41" s="58"/>
      <c r="G41" s="140"/>
      <c r="H41" s="89">
        <v>5</v>
      </c>
      <c r="I41" s="141">
        <v>180000</v>
      </c>
      <c r="J41" s="111">
        <f>Table6[[#This Row],[ĐƠN GIÁ ]]*Table6[[#This Row],[SỐ LƯỢNG ]]</f>
        <v>900000</v>
      </c>
      <c r="K41" s="272">
        <f>+Table6[[#This Row],[THÀNH TIỀN ]]*10%</f>
        <v>90000</v>
      </c>
      <c r="L41" s="57"/>
    </row>
    <row r="42" spans="1:12" s="44" customFormat="1">
      <c r="A42" s="68">
        <v>43173</v>
      </c>
      <c r="B42" s="58" t="s">
        <v>425</v>
      </c>
      <c r="C42" s="58" t="s">
        <v>258</v>
      </c>
      <c r="D42" s="58" t="s">
        <v>260</v>
      </c>
      <c r="E42" s="58" t="s">
        <v>238</v>
      </c>
      <c r="F42" s="58"/>
      <c r="G42" s="140"/>
      <c r="H42" s="89">
        <v>8</v>
      </c>
      <c r="I42" s="141">
        <v>230000</v>
      </c>
      <c r="J42" s="111">
        <f>Table6[[#This Row],[ĐƠN GIÁ ]]*Table6[[#This Row],[SỐ LƯỢNG ]]</f>
        <v>1840000</v>
      </c>
      <c r="K42" s="272">
        <f>+Table6[[#This Row],[THÀNH TIỀN ]]*10%</f>
        <v>184000</v>
      </c>
      <c r="L42" s="57"/>
    </row>
    <row r="43" spans="1:12" s="44" customFormat="1">
      <c r="A43" s="68">
        <v>43173</v>
      </c>
      <c r="B43" s="58" t="s">
        <v>425</v>
      </c>
      <c r="C43" s="58" t="s">
        <v>343</v>
      </c>
      <c r="D43" s="58" t="s">
        <v>428</v>
      </c>
      <c r="E43" s="58" t="s">
        <v>238</v>
      </c>
      <c r="F43" s="58"/>
      <c r="G43" s="140"/>
      <c r="H43" s="89">
        <v>3</v>
      </c>
      <c r="I43" s="141">
        <v>230000</v>
      </c>
      <c r="J43" s="111">
        <f>Table6[[#This Row],[ĐƠN GIÁ ]]*Table6[[#This Row],[SỐ LƯỢNG ]]</f>
        <v>690000</v>
      </c>
      <c r="K43" s="272">
        <f>+Table6[[#This Row],[THÀNH TIỀN ]]*10%</f>
        <v>69000</v>
      </c>
      <c r="L43" s="57"/>
    </row>
    <row r="44" spans="1:12" s="44" customFormat="1">
      <c r="A44" s="68">
        <v>43173</v>
      </c>
      <c r="B44" s="58" t="s">
        <v>425</v>
      </c>
      <c r="C44" s="58" t="s">
        <v>243</v>
      </c>
      <c r="D44" s="58" t="s">
        <v>428</v>
      </c>
      <c r="E44" s="58" t="s">
        <v>238</v>
      </c>
      <c r="F44" s="58"/>
      <c r="G44" s="140"/>
      <c r="H44" s="89">
        <v>2</v>
      </c>
      <c r="I44" s="141">
        <v>230000</v>
      </c>
      <c r="J44" s="111">
        <f>Table6[[#This Row],[ĐƠN GIÁ ]]*Table6[[#This Row],[SỐ LƯỢNG ]]</f>
        <v>460000</v>
      </c>
      <c r="K44" s="272">
        <f>+Table6[[#This Row],[THÀNH TIỀN ]]*10%</f>
        <v>46000</v>
      </c>
      <c r="L44" s="57"/>
    </row>
    <row r="45" spans="1:12" s="44" customFormat="1">
      <c r="A45" s="68">
        <v>43174</v>
      </c>
      <c r="B45" s="58" t="s">
        <v>425</v>
      </c>
      <c r="C45" s="58" t="s">
        <v>236</v>
      </c>
      <c r="D45" s="58" t="s">
        <v>349</v>
      </c>
      <c r="E45" s="58" t="s">
        <v>238</v>
      </c>
      <c r="F45" s="58"/>
      <c r="G45" s="140"/>
      <c r="H45" s="89">
        <v>1</v>
      </c>
      <c r="I45" s="141">
        <v>190000</v>
      </c>
      <c r="J45" s="111">
        <f>Table6[[#This Row],[ĐƠN GIÁ ]]*Table6[[#This Row],[SỐ LƯỢNG ]]</f>
        <v>190000</v>
      </c>
      <c r="K45" s="272">
        <f>+Table6[[#This Row],[THÀNH TIỀN ]]*10%</f>
        <v>19000</v>
      </c>
      <c r="L45" s="57"/>
    </row>
    <row r="46" spans="1:12" s="44" customFormat="1">
      <c r="A46" s="68">
        <v>43174</v>
      </c>
      <c r="B46" s="58" t="s">
        <v>425</v>
      </c>
      <c r="C46" s="58" t="s">
        <v>265</v>
      </c>
      <c r="D46" s="58" t="s">
        <v>428</v>
      </c>
      <c r="E46" s="58" t="s">
        <v>238</v>
      </c>
      <c r="F46" s="58"/>
      <c r="G46" s="140"/>
      <c r="H46" s="89">
        <v>1</v>
      </c>
      <c r="I46" s="141">
        <v>230000</v>
      </c>
      <c r="J46" s="111">
        <f>Table6[[#This Row],[ĐƠN GIÁ ]]*Table6[[#This Row],[SỐ LƯỢNG ]]</f>
        <v>230000</v>
      </c>
      <c r="K46" s="272">
        <f>+Table6[[#This Row],[THÀNH TIỀN ]]*10%</f>
        <v>23000</v>
      </c>
      <c r="L46" s="57"/>
    </row>
    <row r="47" spans="1:12" s="44" customFormat="1">
      <c r="A47" s="68">
        <v>43174</v>
      </c>
      <c r="B47" s="58" t="s">
        <v>425</v>
      </c>
      <c r="C47" s="58" t="s">
        <v>265</v>
      </c>
      <c r="D47" s="58" t="s">
        <v>260</v>
      </c>
      <c r="E47" s="58" t="s">
        <v>238</v>
      </c>
      <c r="F47" s="58"/>
      <c r="G47" s="140"/>
      <c r="H47" s="89">
        <v>8</v>
      </c>
      <c r="I47" s="141">
        <v>180000</v>
      </c>
      <c r="J47" s="111">
        <f>Table6[[#This Row],[ĐƠN GIÁ ]]*Table6[[#This Row],[SỐ LƯỢNG ]]</f>
        <v>1440000</v>
      </c>
      <c r="K47" s="272">
        <f>+Table6[[#This Row],[THÀNH TIỀN ]]*10%</f>
        <v>144000</v>
      </c>
      <c r="L47" s="57"/>
    </row>
    <row r="48" spans="1:12" s="44" customFormat="1">
      <c r="A48" s="68">
        <v>43175</v>
      </c>
      <c r="B48" s="58" t="s">
        <v>425</v>
      </c>
      <c r="C48" s="58" t="s">
        <v>372</v>
      </c>
      <c r="D48" s="58" t="s">
        <v>232</v>
      </c>
      <c r="E48" s="58"/>
      <c r="F48" s="58" t="s">
        <v>233</v>
      </c>
      <c r="G48" s="140"/>
      <c r="H48" s="89">
        <v>1</v>
      </c>
      <c r="I48" s="141">
        <v>1000000</v>
      </c>
      <c r="J48" s="111">
        <f>Table6[[#This Row],[ĐƠN GIÁ ]]*Table6[[#This Row],[SỐ LƯỢNG ]]</f>
        <v>1000000</v>
      </c>
      <c r="K48" s="272">
        <f>+Table6[[#This Row],[THÀNH TIỀN ]]*10%</f>
        <v>100000</v>
      </c>
      <c r="L48" s="57"/>
    </row>
    <row r="49" spans="1:12" s="44" customFormat="1">
      <c r="A49" s="68">
        <v>43175</v>
      </c>
      <c r="B49" s="58" t="s">
        <v>425</v>
      </c>
      <c r="C49" s="58" t="s">
        <v>236</v>
      </c>
      <c r="D49" s="58" t="s">
        <v>260</v>
      </c>
      <c r="E49" s="58" t="s">
        <v>238</v>
      </c>
      <c r="F49" s="58"/>
      <c r="G49" s="140"/>
      <c r="H49" s="89">
        <v>13</v>
      </c>
      <c r="I49" s="141">
        <v>190000</v>
      </c>
      <c r="J49" s="111">
        <f>Table6[[#This Row],[ĐƠN GIÁ ]]*Table6[[#This Row],[SỐ LƯỢNG ]]</f>
        <v>2470000</v>
      </c>
      <c r="K49" s="272">
        <f>+Table6[[#This Row],[THÀNH TIỀN ]]*10%</f>
        <v>247000</v>
      </c>
      <c r="L49" s="57"/>
    </row>
    <row r="50" spans="1:12" s="44" customFormat="1">
      <c r="A50" s="68">
        <v>43176</v>
      </c>
      <c r="B50" s="58" t="s">
        <v>425</v>
      </c>
      <c r="C50" s="58" t="s">
        <v>236</v>
      </c>
      <c r="D50" s="58" t="s">
        <v>260</v>
      </c>
      <c r="E50" s="58" t="s">
        <v>238</v>
      </c>
      <c r="F50" s="58"/>
      <c r="G50" s="140"/>
      <c r="H50" s="89">
        <v>20</v>
      </c>
      <c r="I50" s="141">
        <v>190000</v>
      </c>
      <c r="J50" s="111">
        <f>Table6[[#This Row],[ĐƠN GIÁ ]]*Table6[[#This Row],[SỐ LƯỢNG ]]</f>
        <v>3800000</v>
      </c>
      <c r="K50" s="272">
        <f>+Table6[[#This Row],[THÀNH TIỀN ]]*10%</f>
        <v>380000</v>
      </c>
      <c r="L50" s="57"/>
    </row>
    <row r="51" spans="1:12" s="44" customFormat="1">
      <c r="A51" s="68">
        <v>43176</v>
      </c>
      <c r="B51" s="58" t="s">
        <v>425</v>
      </c>
      <c r="C51" s="58" t="s">
        <v>236</v>
      </c>
      <c r="D51" s="58" t="s">
        <v>350</v>
      </c>
      <c r="E51" s="58" t="s">
        <v>238</v>
      </c>
      <c r="F51" s="58"/>
      <c r="G51" s="140"/>
      <c r="H51" s="89">
        <v>2</v>
      </c>
      <c r="I51" s="141">
        <v>190000</v>
      </c>
      <c r="J51" s="111">
        <f>Table6[[#This Row],[ĐƠN GIÁ ]]*Table6[[#This Row],[SỐ LƯỢNG ]]</f>
        <v>380000</v>
      </c>
      <c r="K51" s="272">
        <f>+Table6[[#This Row],[THÀNH TIỀN ]]*10%</f>
        <v>38000</v>
      </c>
      <c r="L51" s="57"/>
    </row>
    <row r="52" spans="1:12" s="44" customFormat="1">
      <c r="A52" s="68">
        <v>43177</v>
      </c>
      <c r="B52" s="58" t="s">
        <v>425</v>
      </c>
      <c r="C52" s="58" t="s">
        <v>265</v>
      </c>
      <c r="D52" s="58" t="s">
        <v>266</v>
      </c>
      <c r="E52" s="58" t="s">
        <v>238</v>
      </c>
      <c r="F52" s="58"/>
      <c r="G52" s="140"/>
      <c r="H52" s="89">
        <v>20</v>
      </c>
      <c r="I52" s="141">
        <v>180000</v>
      </c>
      <c r="J52" s="111">
        <f>Table6[[#This Row],[ĐƠN GIÁ ]]*Table6[[#This Row],[SỐ LƯỢNG ]]</f>
        <v>3600000</v>
      </c>
      <c r="K52" s="272">
        <f>+Table6[[#This Row],[THÀNH TIỀN ]]*10%</f>
        <v>360000</v>
      </c>
      <c r="L52" s="57"/>
    </row>
    <row r="53" spans="1:12" s="44" customFormat="1">
      <c r="A53" s="68">
        <v>43178</v>
      </c>
      <c r="B53" s="58" t="s">
        <v>425</v>
      </c>
      <c r="C53" s="58" t="s">
        <v>343</v>
      </c>
      <c r="D53" s="58" t="s">
        <v>429</v>
      </c>
      <c r="E53" s="58" t="s">
        <v>238</v>
      </c>
      <c r="F53" s="58"/>
      <c r="G53" s="140"/>
      <c r="H53" s="89">
        <v>1</v>
      </c>
      <c r="I53" s="141">
        <v>180000</v>
      </c>
      <c r="J53" s="111">
        <f>Table6[[#This Row],[ĐƠN GIÁ ]]*Table6[[#This Row],[SỐ LƯỢNG ]]</f>
        <v>180000</v>
      </c>
      <c r="K53" s="272">
        <f>+Table6[[#This Row],[THÀNH TIỀN ]]*10%</f>
        <v>18000</v>
      </c>
      <c r="L53" s="57"/>
    </row>
    <row r="54" spans="1:12" s="44" customFormat="1">
      <c r="A54" s="68">
        <v>43178</v>
      </c>
      <c r="B54" s="58" t="s">
        <v>425</v>
      </c>
      <c r="C54" s="58" t="s">
        <v>258</v>
      </c>
      <c r="D54" s="58" t="s">
        <v>262</v>
      </c>
      <c r="E54" s="58" t="s">
        <v>238</v>
      </c>
      <c r="F54" s="58"/>
      <c r="G54" s="140"/>
      <c r="H54" s="89">
        <v>6</v>
      </c>
      <c r="I54" s="141">
        <v>180000</v>
      </c>
      <c r="J54" s="111">
        <f>Table6[[#This Row],[ĐƠN GIÁ ]]*Table6[[#This Row],[SỐ LƯỢNG ]]</f>
        <v>1080000</v>
      </c>
      <c r="K54" s="272">
        <f>+Table6[[#This Row],[THÀNH TIỀN ]]*10%</f>
        <v>108000</v>
      </c>
      <c r="L54" s="57"/>
    </row>
    <row r="55" spans="1:12" s="44" customFormat="1">
      <c r="A55" s="68">
        <v>43178</v>
      </c>
      <c r="B55" s="58" t="s">
        <v>425</v>
      </c>
      <c r="C55" s="58" t="s">
        <v>258</v>
      </c>
      <c r="D55" s="58" t="s">
        <v>259</v>
      </c>
      <c r="E55" s="58" t="s">
        <v>238</v>
      </c>
      <c r="F55" s="58"/>
      <c r="G55" s="140"/>
      <c r="H55" s="89">
        <v>1</v>
      </c>
      <c r="I55" s="141">
        <v>230000</v>
      </c>
      <c r="J55" s="111">
        <f>Table6[[#This Row],[ĐƠN GIÁ ]]*Table6[[#This Row],[SỐ LƯỢNG ]]</f>
        <v>230000</v>
      </c>
      <c r="K55" s="272">
        <f>+Table6[[#This Row],[THÀNH TIỀN ]]*10%</f>
        <v>23000</v>
      </c>
      <c r="L55" s="57"/>
    </row>
    <row r="56" spans="1:12" s="44" customFormat="1">
      <c r="A56" s="68">
        <v>43178</v>
      </c>
      <c r="B56" s="58" t="s">
        <v>425</v>
      </c>
      <c r="C56" s="58" t="s">
        <v>258</v>
      </c>
      <c r="D56" s="58" t="s">
        <v>232</v>
      </c>
      <c r="E56" s="58" t="s">
        <v>238</v>
      </c>
      <c r="F56" s="58"/>
      <c r="G56" s="140"/>
      <c r="H56" s="89">
        <v>2</v>
      </c>
      <c r="I56" s="141">
        <v>200000</v>
      </c>
      <c r="J56" s="111">
        <f>Table6[[#This Row],[ĐƠN GIÁ ]]*Table6[[#This Row],[SỐ LƯỢNG ]]</f>
        <v>400000</v>
      </c>
      <c r="K56" s="272">
        <f>+Table6[[#This Row],[THÀNH TIỀN ]]*10%</f>
        <v>40000</v>
      </c>
      <c r="L56" s="57"/>
    </row>
    <row r="57" spans="1:12" s="44" customFormat="1">
      <c r="A57" s="68">
        <v>43178</v>
      </c>
      <c r="B57" s="58" t="s">
        <v>425</v>
      </c>
      <c r="C57" s="58" t="s">
        <v>258</v>
      </c>
      <c r="D57" s="58" t="s">
        <v>266</v>
      </c>
      <c r="E57" s="58" t="s">
        <v>238</v>
      </c>
      <c r="F57" s="58"/>
      <c r="G57" s="140"/>
      <c r="H57" s="89">
        <v>4</v>
      </c>
      <c r="I57" s="141">
        <v>230000</v>
      </c>
      <c r="J57" s="111">
        <f>Table6[[#This Row],[ĐƠN GIÁ ]]*Table6[[#This Row],[SỐ LƯỢNG ]]</f>
        <v>920000</v>
      </c>
      <c r="K57" s="272">
        <f>+Table6[[#This Row],[THÀNH TIỀN ]]*10%</f>
        <v>92000</v>
      </c>
      <c r="L57" s="57"/>
    </row>
    <row r="58" spans="1:12" s="44" customFormat="1">
      <c r="A58" s="68">
        <v>43179</v>
      </c>
      <c r="B58" s="58" t="s">
        <v>425</v>
      </c>
      <c r="C58" s="58" t="s">
        <v>437</v>
      </c>
      <c r="D58" s="58" t="s">
        <v>266</v>
      </c>
      <c r="E58" s="58" t="s">
        <v>238</v>
      </c>
      <c r="F58" s="58"/>
      <c r="G58" s="140"/>
      <c r="H58" s="89">
        <v>1</v>
      </c>
      <c r="I58" s="141">
        <v>230000</v>
      </c>
      <c r="J58" s="111">
        <f>Table6[[#This Row],[ĐƠN GIÁ ]]*Table6[[#This Row],[SỐ LƯỢNG ]]</f>
        <v>230000</v>
      </c>
      <c r="K58" s="272">
        <f>+Table6[[#This Row],[THÀNH TIỀN ]]*10%</f>
        <v>23000</v>
      </c>
      <c r="L58" s="57"/>
    </row>
    <row r="59" spans="1:12" s="44" customFormat="1">
      <c r="A59" s="68">
        <v>43179</v>
      </c>
      <c r="B59" s="58" t="s">
        <v>425</v>
      </c>
      <c r="C59" s="58" t="s">
        <v>257</v>
      </c>
      <c r="D59" s="124" t="s">
        <v>400</v>
      </c>
      <c r="E59" s="58"/>
      <c r="F59" s="58" t="s">
        <v>271</v>
      </c>
      <c r="G59" s="140">
        <v>16.323076923076922</v>
      </c>
      <c r="H59" s="89">
        <v>1</v>
      </c>
      <c r="I59" s="141">
        <v>1200000</v>
      </c>
      <c r="J59" s="111">
        <f>Table6[[#This Row],[ĐƠN GIÁ ]]*Table6[[#This Row],[SỐ LƯỢNG ]]</f>
        <v>1200000</v>
      </c>
      <c r="K59" s="272">
        <f>+Table6[[#This Row],[THÀNH TIỀN ]]*10%</f>
        <v>120000</v>
      </c>
      <c r="L59" s="57"/>
    </row>
    <row r="60" spans="1:12" s="44" customFormat="1">
      <c r="A60" s="68">
        <v>43179</v>
      </c>
      <c r="B60" s="58" t="s">
        <v>425</v>
      </c>
      <c r="C60" s="58" t="s">
        <v>437</v>
      </c>
      <c r="D60" s="58" t="s">
        <v>431</v>
      </c>
      <c r="E60" s="58" t="s">
        <v>238</v>
      </c>
      <c r="F60" s="58"/>
      <c r="G60" s="140"/>
      <c r="H60" s="89">
        <v>1</v>
      </c>
      <c r="I60" s="141">
        <v>200000</v>
      </c>
      <c r="J60" s="111">
        <f>Table6[[#This Row],[ĐƠN GIÁ ]]*Table6[[#This Row],[SỐ LƯỢNG ]]</f>
        <v>200000</v>
      </c>
      <c r="K60" s="272">
        <f>+Table6[[#This Row],[THÀNH TIỀN ]]*10%</f>
        <v>20000</v>
      </c>
      <c r="L60" s="57"/>
    </row>
    <row r="61" spans="1:12" s="44" customFormat="1">
      <c r="A61" s="68">
        <v>43179</v>
      </c>
      <c r="B61" s="58" t="s">
        <v>425</v>
      </c>
      <c r="C61" s="58" t="s">
        <v>437</v>
      </c>
      <c r="D61" s="58" t="s">
        <v>350</v>
      </c>
      <c r="E61" s="58" t="s">
        <v>238</v>
      </c>
      <c r="F61" s="58"/>
      <c r="G61" s="140"/>
      <c r="H61" s="89">
        <v>5</v>
      </c>
      <c r="I61" s="141">
        <v>230000</v>
      </c>
      <c r="J61" s="111">
        <f>Table6[[#This Row],[ĐƠN GIÁ ]]*Table6[[#This Row],[SỐ LƯỢNG ]]</f>
        <v>1150000</v>
      </c>
      <c r="K61" s="272">
        <f>+Table6[[#This Row],[THÀNH TIỀN ]]*10%</f>
        <v>115000</v>
      </c>
      <c r="L61" s="57"/>
    </row>
    <row r="62" spans="1:12" s="44" customFormat="1">
      <c r="A62" s="68">
        <v>43182</v>
      </c>
      <c r="B62" s="58" t="s">
        <v>425</v>
      </c>
      <c r="C62" s="58" t="s">
        <v>351</v>
      </c>
      <c r="D62" s="58" t="s">
        <v>260</v>
      </c>
      <c r="E62" s="58" t="s">
        <v>238</v>
      </c>
      <c r="F62" s="58"/>
      <c r="G62" s="140"/>
      <c r="H62" s="89">
        <v>3</v>
      </c>
      <c r="I62" s="141">
        <v>230000</v>
      </c>
      <c r="J62" s="111">
        <f>Table6[[#This Row],[ĐƠN GIÁ ]]*Table6[[#This Row],[SỐ LƯỢNG ]]</f>
        <v>690000</v>
      </c>
      <c r="K62" s="272">
        <f>+Table6[[#This Row],[THÀNH TIỀN ]]*10%</f>
        <v>69000</v>
      </c>
      <c r="L62" s="57"/>
    </row>
    <row r="63" spans="1:12" s="44" customFormat="1">
      <c r="A63" s="68">
        <v>43182</v>
      </c>
      <c r="B63" s="58" t="s">
        <v>425</v>
      </c>
      <c r="C63" s="58" t="s">
        <v>430</v>
      </c>
      <c r="D63" s="58" t="s">
        <v>432</v>
      </c>
      <c r="E63" s="58" t="s">
        <v>238</v>
      </c>
      <c r="F63" s="58"/>
      <c r="G63" s="140"/>
      <c r="H63" s="89">
        <v>5</v>
      </c>
      <c r="I63" s="141">
        <v>100000</v>
      </c>
      <c r="J63" s="111">
        <f>Table6[[#This Row],[ĐƠN GIÁ ]]*Table6[[#This Row],[SỐ LƯỢNG ]]</f>
        <v>500000</v>
      </c>
      <c r="K63" s="272">
        <f>+Table6[[#This Row],[THÀNH TIỀN ]]*10%</f>
        <v>50000</v>
      </c>
      <c r="L63" s="57"/>
    </row>
    <row r="64" spans="1:12" s="44" customFormat="1">
      <c r="A64" s="68">
        <v>43183</v>
      </c>
      <c r="B64" s="58" t="s">
        <v>425</v>
      </c>
      <c r="C64" s="58" t="s">
        <v>257</v>
      </c>
      <c r="D64" s="58" t="s">
        <v>424</v>
      </c>
      <c r="E64" s="58"/>
      <c r="F64" s="58" t="s">
        <v>250</v>
      </c>
      <c r="G64" s="140"/>
      <c r="H64" s="89">
        <v>1</v>
      </c>
      <c r="I64" s="141">
        <v>1100000</v>
      </c>
      <c r="J64" s="111">
        <f>Table6[[#This Row],[ĐƠN GIÁ ]]*Table6[[#This Row],[SỐ LƯỢNG ]]</f>
        <v>1100000</v>
      </c>
      <c r="K64" s="272">
        <f>+Table6[[#This Row],[THÀNH TIỀN ]]*10%</f>
        <v>110000</v>
      </c>
      <c r="L64" s="57"/>
    </row>
    <row r="65" spans="1:12" s="44" customFormat="1">
      <c r="A65" s="68">
        <v>43183</v>
      </c>
      <c r="B65" s="58" t="s">
        <v>425</v>
      </c>
      <c r="C65" s="58" t="s">
        <v>257</v>
      </c>
      <c r="D65" s="58" t="s">
        <v>269</v>
      </c>
      <c r="E65" s="58"/>
      <c r="F65" s="58" t="s">
        <v>270</v>
      </c>
      <c r="G65" s="140">
        <v>14</v>
      </c>
      <c r="H65" s="89">
        <v>1</v>
      </c>
      <c r="I65" s="141">
        <v>800000</v>
      </c>
      <c r="J65" s="111">
        <f>Table6[[#This Row],[ĐƠN GIÁ ]]*Table6[[#This Row],[SỐ LƯỢNG ]]</f>
        <v>800000</v>
      </c>
      <c r="K65" s="272">
        <f>+Table6[[#This Row],[THÀNH TIỀN ]]*10%</f>
        <v>80000</v>
      </c>
      <c r="L65" s="57"/>
    </row>
    <row r="66" spans="1:12" s="44" customFormat="1">
      <c r="A66" s="68">
        <v>43183</v>
      </c>
      <c r="B66" s="58" t="s">
        <v>425</v>
      </c>
      <c r="C66" s="58" t="s">
        <v>257</v>
      </c>
      <c r="D66" s="58" t="s">
        <v>232</v>
      </c>
      <c r="E66" s="58"/>
      <c r="F66" s="58" t="s">
        <v>271</v>
      </c>
      <c r="G66" s="140"/>
      <c r="H66" s="89">
        <v>1</v>
      </c>
      <c r="I66" s="141">
        <v>1000000</v>
      </c>
      <c r="J66" s="111">
        <f>Table6[[#This Row],[ĐƠN GIÁ ]]*Table6[[#This Row],[SỐ LƯỢNG ]]</f>
        <v>1000000</v>
      </c>
      <c r="K66" s="272">
        <f>+Table6[[#This Row],[THÀNH TIỀN ]]*10%</f>
        <v>100000</v>
      </c>
      <c r="L66" s="57"/>
    </row>
    <row r="67" spans="1:12" s="44" customFormat="1">
      <c r="A67" s="68">
        <v>43184</v>
      </c>
      <c r="B67" s="58" t="s">
        <v>425</v>
      </c>
      <c r="C67" s="58" t="s">
        <v>343</v>
      </c>
      <c r="D67" s="58" t="s">
        <v>431</v>
      </c>
      <c r="E67" s="58" t="s">
        <v>238</v>
      </c>
      <c r="F67" s="58"/>
      <c r="G67" s="140"/>
      <c r="H67" s="89">
        <v>1</v>
      </c>
      <c r="I67" s="141">
        <v>230000</v>
      </c>
      <c r="J67" s="111">
        <f>Table6[[#This Row],[ĐƠN GIÁ ]]*Table6[[#This Row],[SỐ LƯỢNG ]]</f>
        <v>230000</v>
      </c>
      <c r="K67" s="272">
        <f>+Table6[[#This Row],[THÀNH TIỀN ]]*10%</f>
        <v>23000</v>
      </c>
      <c r="L67" s="57"/>
    </row>
    <row r="68" spans="1:12" s="44" customFormat="1">
      <c r="A68" s="68">
        <v>43184</v>
      </c>
      <c r="B68" s="58" t="s">
        <v>425</v>
      </c>
      <c r="C68" s="58" t="s">
        <v>351</v>
      </c>
      <c r="D68" s="58" t="s">
        <v>355</v>
      </c>
      <c r="E68" s="58" t="s">
        <v>238</v>
      </c>
      <c r="F68" s="58"/>
      <c r="G68" s="140"/>
      <c r="H68" s="89">
        <v>2</v>
      </c>
      <c r="I68" s="141">
        <v>230000</v>
      </c>
      <c r="J68" s="111">
        <f>Table6[[#This Row],[ĐƠN GIÁ ]]*Table6[[#This Row],[SỐ LƯỢNG ]]</f>
        <v>460000</v>
      </c>
      <c r="K68" s="272">
        <f>+Table6[[#This Row],[THÀNH TIỀN ]]*10%</f>
        <v>46000</v>
      </c>
      <c r="L68" s="57"/>
    </row>
    <row r="69" spans="1:12" s="44" customFormat="1">
      <c r="A69" s="68">
        <v>43184</v>
      </c>
      <c r="B69" s="58" t="s">
        <v>425</v>
      </c>
      <c r="C69" s="58" t="s">
        <v>351</v>
      </c>
      <c r="D69" s="58" t="s">
        <v>266</v>
      </c>
      <c r="E69" s="58" t="s">
        <v>238</v>
      </c>
      <c r="F69" s="58"/>
      <c r="G69" s="140"/>
      <c r="H69" s="89">
        <v>3</v>
      </c>
      <c r="I69" s="141">
        <v>230000</v>
      </c>
      <c r="J69" s="111">
        <f>Table6[[#This Row],[ĐƠN GIÁ ]]*Table6[[#This Row],[SỐ LƯỢNG ]]</f>
        <v>690000</v>
      </c>
      <c r="K69" s="272">
        <f>+Table6[[#This Row],[THÀNH TIỀN ]]*10%</f>
        <v>69000</v>
      </c>
      <c r="L69" s="57"/>
    </row>
    <row r="70" spans="1:12" s="44" customFormat="1">
      <c r="A70" s="68">
        <v>43184</v>
      </c>
      <c r="B70" s="58" t="s">
        <v>425</v>
      </c>
      <c r="C70" s="58" t="s">
        <v>243</v>
      </c>
      <c r="D70" s="58" t="s">
        <v>266</v>
      </c>
      <c r="E70" s="58" t="s">
        <v>238</v>
      </c>
      <c r="F70" s="58"/>
      <c r="G70" s="140"/>
      <c r="H70" s="89">
        <v>4</v>
      </c>
      <c r="I70" s="141">
        <v>180000</v>
      </c>
      <c r="J70" s="111">
        <f>Table6[[#This Row],[ĐƠN GIÁ ]]*Table6[[#This Row],[SỐ LƯỢNG ]]</f>
        <v>720000</v>
      </c>
      <c r="K70" s="272">
        <f>+Table6[[#This Row],[THÀNH TIỀN ]]*10%</f>
        <v>72000</v>
      </c>
      <c r="L70" s="57"/>
    </row>
    <row r="71" spans="1:12" s="44" customFormat="1">
      <c r="A71" s="68">
        <v>43185</v>
      </c>
      <c r="B71" s="58" t="s">
        <v>425</v>
      </c>
      <c r="C71" s="58" t="s">
        <v>372</v>
      </c>
      <c r="D71" s="124" t="s">
        <v>400</v>
      </c>
      <c r="E71" s="58"/>
      <c r="F71" s="58" t="s">
        <v>235</v>
      </c>
      <c r="G71" s="140">
        <f>K71/1500</f>
        <v>80</v>
      </c>
      <c r="H71" s="89">
        <v>1</v>
      </c>
      <c r="I71" s="141">
        <v>1200000</v>
      </c>
      <c r="J71" s="111">
        <f>Table6[[#This Row],[ĐƠN GIÁ ]]*Table6[[#This Row],[SỐ LƯỢNG ]]</f>
        <v>1200000</v>
      </c>
      <c r="K71" s="272">
        <f>+Table6[[#This Row],[THÀNH TIỀN ]]*10%</f>
        <v>120000</v>
      </c>
      <c r="L71" s="57"/>
    </row>
    <row r="72" spans="1:12" s="44" customFormat="1">
      <c r="A72" s="68">
        <v>43185</v>
      </c>
      <c r="B72" s="58" t="s">
        <v>425</v>
      </c>
      <c r="C72" s="58" t="s">
        <v>435</v>
      </c>
      <c r="D72" s="58" t="s">
        <v>277</v>
      </c>
      <c r="E72" s="58"/>
      <c r="F72" s="58" t="s">
        <v>235</v>
      </c>
      <c r="G72" s="140">
        <f>14.06+14.63+13.77</f>
        <v>42.46</v>
      </c>
      <c r="H72" s="89">
        <v>3</v>
      </c>
      <c r="I72" s="141">
        <v>80000</v>
      </c>
      <c r="J72" s="111">
        <f>Table6[[#This Row],[ĐƠN GIÁ ]]*Table6[[#This Row],[SỐ LƯỢNG ]]</f>
        <v>240000</v>
      </c>
      <c r="K72" s="272">
        <f>+Table6[[#This Row],[THÀNH TIỀN ]]*10%</f>
        <v>24000</v>
      </c>
      <c r="L72" s="57"/>
    </row>
    <row r="73" spans="1:12" s="44" customFormat="1">
      <c r="A73" s="68">
        <v>43186</v>
      </c>
      <c r="B73" s="58" t="s">
        <v>425</v>
      </c>
      <c r="C73" s="58" t="s">
        <v>394</v>
      </c>
      <c r="D73" s="58" t="s">
        <v>432</v>
      </c>
      <c r="E73" s="58" t="s">
        <v>238</v>
      </c>
      <c r="F73" s="58"/>
      <c r="G73" s="140"/>
      <c r="H73" s="89">
        <v>1</v>
      </c>
      <c r="I73" s="141">
        <v>100000</v>
      </c>
      <c r="J73" s="111">
        <f>Table6[[#This Row],[ĐƠN GIÁ ]]*Table6[[#This Row],[SỐ LƯỢNG ]]</f>
        <v>100000</v>
      </c>
      <c r="K73" s="272">
        <f>+Table6[[#This Row],[THÀNH TIỀN ]]*10%</f>
        <v>10000</v>
      </c>
      <c r="L73" s="57"/>
    </row>
    <row r="74" spans="1:12" s="44" customFormat="1">
      <c r="A74" s="68">
        <v>43186</v>
      </c>
      <c r="B74" s="58" t="s">
        <v>425</v>
      </c>
      <c r="C74" s="58" t="s">
        <v>394</v>
      </c>
      <c r="D74" s="58" t="s">
        <v>260</v>
      </c>
      <c r="E74" s="58" t="s">
        <v>238</v>
      </c>
      <c r="F74" s="58"/>
      <c r="G74" s="140"/>
      <c r="H74" s="89">
        <v>2</v>
      </c>
      <c r="I74" s="141">
        <v>190000</v>
      </c>
      <c r="J74" s="111">
        <f>Table6[[#This Row],[ĐƠN GIÁ ]]*Table6[[#This Row],[SỐ LƯỢNG ]]</f>
        <v>380000</v>
      </c>
      <c r="K74" s="272">
        <f>+Table6[[#This Row],[THÀNH TIỀN ]]*10%</f>
        <v>38000</v>
      </c>
      <c r="L74" s="57"/>
    </row>
    <row r="75" spans="1:12" s="44" customFormat="1">
      <c r="A75" s="68">
        <v>43186</v>
      </c>
      <c r="B75" s="58" t="s">
        <v>425</v>
      </c>
      <c r="C75" s="58" t="s">
        <v>394</v>
      </c>
      <c r="D75" s="58" t="s">
        <v>350</v>
      </c>
      <c r="E75" s="58" t="s">
        <v>238</v>
      </c>
      <c r="F75" s="58"/>
      <c r="G75" s="140"/>
      <c r="H75" s="89">
        <v>11</v>
      </c>
      <c r="I75" s="141">
        <v>190000</v>
      </c>
      <c r="J75" s="111">
        <f>Table6[[#This Row],[ĐƠN GIÁ ]]*Table6[[#This Row],[SỐ LƯỢNG ]]</f>
        <v>2090000</v>
      </c>
      <c r="K75" s="272">
        <f>+Table6[[#This Row],[THÀNH TIỀN ]]*10%</f>
        <v>209000</v>
      </c>
      <c r="L75" s="57"/>
    </row>
    <row r="76" spans="1:12" s="44" customFormat="1">
      <c r="A76" s="68">
        <v>43187</v>
      </c>
      <c r="B76" s="58" t="s">
        <v>425</v>
      </c>
      <c r="C76" s="58" t="s">
        <v>394</v>
      </c>
      <c r="D76" s="58" t="s">
        <v>237</v>
      </c>
      <c r="E76" s="58" t="s">
        <v>238</v>
      </c>
      <c r="F76" s="58"/>
      <c r="G76" s="140"/>
      <c r="H76" s="89">
        <v>10</v>
      </c>
      <c r="I76" s="141">
        <v>120000</v>
      </c>
      <c r="J76" s="111">
        <f>Table6[[#This Row],[ĐƠN GIÁ ]]*Table6[[#This Row],[SỐ LƯỢNG ]]</f>
        <v>1200000</v>
      </c>
      <c r="K76" s="272">
        <f>+Table6[[#This Row],[THÀNH TIỀN ]]*10%</f>
        <v>120000</v>
      </c>
      <c r="L76" s="57"/>
    </row>
    <row r="77" spans="1:12" s="44" customFormat="1">
      <c r="A77" s="68">
        <v>43187</v>
      </c>
      <c r="B77" s="58" t="s">
        <v>425</v>
      </c>
      <c r="C77" s="58" t="s">
        <v>394</v>
      </c>
      <c r="D77" s="58" t="s">
        <v>512</v>
      </c>
      <c r="E77" s="58" t="s">
        <v>238</v>
      </c>
      <c r="F77" s="58"/>
      <c r="G77" s="140"/>
      <c r="H77" s="89">
        <v>3</v>
      </c>
      <c r="I77" s="141">
        <v>100000</v>
      </c>
      <c r="J77" s="111">
        <f>Table6[[#This Row],[ĐƠN GIÁ ]]*Table6[[#This Row],[SỐ LƯỢNG ]]</f>
        <v>300000</v>
      </c>
      <c r="K77" s="272">
        <f>+Table6[[#This Row],[THÀNH TIỀN ]]*10%</f>
        <v>30000</v>
      </c>
      <c r="L77" s="57"/>
    </row>
    <row r="78" spans="1:12" s="44" customFormat="1">
      <c r="A78" s="68">
        <v>43187</v>
      </c>
      <c r="B78" s="58" t="s">
        <v>425</v>
      </c>
      <c r="C78" s="58" t="s">
        <v>394</v>
      </c>
      <c r="D78" s="58" t="s">
        <v>266</v>
      </c>
      <c r="E78" s="58" t="s">
        <v>238</v>
      </c>
      <c r="F78" s="58"/>
      <c r="G78" s="140"/>
      <c r="H78" s="89">
        <v>6</v>
      </c>
      <c r="I78" s="141">
        <v>180000</v>
      </c>
      <c r="J78" s="111">
        <f>Table6[[#This Row],[ĐƠN GIÁ ]]*Table6[[#This Row],[SỐ LƯỢNG ]]</f>
        <v>1080000</v>
      </c>
      <c r="K78" s="272">
        <f>+Table6[[#This Row],[THÀNH TIỀN ]]*10%</f>
        <v>108000</v>
      </c>
      <c r="L78" s="57"/>
    </row>
    <row r="79" spans="1:12" s="44" customFormat="1">
      <c r="A79" s="68">
        <v>43187</v>
      </c>
      <c r="B79" s="58" t="s">
        <v>425</v>
      </c>
      <c r="C79" s="58" t="s">
        <v>415</v>
      </c>
      <c r="D79" s="58" t="s">
        <v>232</v>
      </c>
      <c r="E79" s="58" t="s">
        <v>238</v>
      </c>
      <c r="F79" s="58"/>
      <c r="G79" s="140"/>
      <c r="H79" s="89">
        <v>1</v>
      </c>
      <c r="I79" s="141">
        <v>1000000</v>
      </c>
      <c r="J79" s="111">
        <f>Table6[[#This Row],[ĐƠN GIÁ ]]*Table6[[#This Row],[SỐ LƯỢNG ]]</f>
        <v>1000000</v>
      </c>
      <c r="K79" s="272">
        <f>+Table6[[#This Row],[THÀNH TIỀN ]]*10%</f>
        <v>100000</v>
      </c>
      <c r="L79" s="57"/>
    </row>
    <row r="80" spans="1:12" s="44" customFormat="1">
      <c r="A80" s="68">
        <v>43188</v>
      </c>
      <c r="B80" s="58" t="s">
        <v>425</v>
      </c>
      <c r="C80" s="58" t="s">
        <v>394</v>
      </c>
      <c r="D80" s="58" t="s">
        <v>246</v>
      </c>
      <c r="E80" s="58" t="s">
        <v>238</v>
      </c>
      <c r="F80" s="58"/>
      <c r="G80" s="140"/>
      <c r="H80" s="89">
        <v>2</v>
      </c>
      <c r="I80" s="141">
        <v>190000</v>
      </c>
      <c r="J80" s="111">
        <f>Table6[[#This Row],[ĐƠN GIÁ ]]*Table6[[#This Row],[SỐ LƯỢNG ]]</f>
        <v>380000</v>
      </c>
      <c r="K80" s="272">
        <f>+Table6[[#This Row],[THÀNH TIỀN ]]*10%</f>
        <v>38000</v>
      </c>
      <c r="L80" s="57"/>
    </row>
    <row r="81" spans="1:12" s="44" customFormat="1">
      <c r="A81" s="68">
        <v>43188</v>
      </c>
      <c r="B81" s="58" t="s">
        <v>425</v>
      </c>
      <c r="C81" s="58" t="s">
        <v>394</v>
      </c>
      <c r="D81" s="58" t="s">
        <v>350</v>
      </c>
      <c r="E81" s="58" t="s">
        <v>238</v>
      </c>
      <c r="F81" s="58"/>
      <c r="G81" s="140"/>
      <c r="H81" s="89">
        <v>6</v>
      </c>
      <c r="I81" s="141">
        <v>190000</v>
      </c>
      <c r="J81" s="111">
        <f>Table6[[#This Row],[ĐƠN GIÁ ]]*Table6[[#This Row],[SỐ LƯỢNG ]]</f>
        <v>1140000</v>
      </c>
      <c r="K81" s="272">
        <f>+Table6[[#This Row],[THÀNH TIỀN ]]*10%</f>
        <v>114000</v>
      </c>
      <c r="L81" s="57"/>
    </row>
    <row r="82" spans="1:12" s="44" customFormat="1">
      <c r="A82" s="68">
        <v>43189</v>
      </c>
      <c r="B82" s="58" t="s">
        <v>425</v>
      </c>
      <c r="C82" s="58" t="s">
        <v>351</v>
      </c>
      <c r="D82" s="58" t="s">
        <v>397</v>
      </c>
      <c r="E82" s="58" t="s">
        <v>238</v>
      </c>
      <c r="F82" s="58"/>
      <c r="G82" s="140"/>
      <c r="H82" s="89">
        <v>2</v>
      </c>
      <c r="I82" s="141">
        <v>220000</v>
      </c>
      <c r="J82" s="111">
        <f>Table6[[#This Row],[ĐƠN GIÁ ]]*Table6[[#This Row],[SỐ LƯỢNG ]]</f>
        <v>440000</v>
      </c>
      <c r="K82" s="272">
        <f>+Table6[[#This Row],[THÀNH TIỀN ]]*10%</f>
        <v>44000</v>
      </c>
      <c r="L82" s="57"/>
    </row>
    <row r="83" spans="1:12" s="44" customFormat="1">
      <c r="A83" s="68">
        <v>43189</v>
      </c>
      <c r="B83" s="58" t="s">
        <v>425</v>
      </c>
      <c r="C83" s="58" t="s">
        <v>437</v>
      </c>
      <c r="D83" s="58" t="s">
        <v>397</v>
      </c>
      <c r="E83" s="58" t="s">
        <v>238</v>
      </c>
      <c r="F83" s="58"/>
      <c r="G83" s="140"/>
      <c r="H83" s="89">
        <v>3</v>
      </c>
      <c r="I83" s="141">
        <v>220000</v>
      </c>
      <c r="J83" s="111">
        <f>Table6[[#This Row],[ĐƠN GIÁ ]]*Table6[[#This Row],[SỐ LƯỢNG ]]</f>
        <v>660000</v>
      </c>
      <c r="K83" s="272">
        <f>+Table6[[#This Row],[THÀNH TIỀN ]]*10%</f>
        <v>66000</v>
      </c>
      <c r="L83" s="57"/>
    </row>
    <row r="84" spans="1:12" s="44" customFormat="1">
      <c r="A84" s="68">
        <v>43189</v>
      </c>
      <c r="B84" s="58" t="s">
        <v>425</v>
      </c>
      <c r="C84" s="58" t="s">
        <v>437</v>
      </c>
      <c r="D84" s="58" t="s">
        <v>397</v>
      </c>
      <c r="E84" s="58" t="s">
        <v>238</v>
      </c>
      <c r="F84" s="58"/>
      <c r="G84" s="140"/>
      <c r="H84" s="89">
        <v>2</v>
      </c>
      <c r="I84" s="141">
        <v>220000</v>
      </c>
      <c r="J84" s="111">
        <f>Table6[[#This Row],[ĐƠN GIÁ ]]*Table6[[#This Row],[SỐ LƯỢNG ]]</f>
        <v>440000</v>
      </c>
      <c r="K84" s="272">
        <f>+Table6[[#This Row],[THÀNH TIỀN ]]*10%</f>
        <v>44000</v>
      </c>
      <c r="L84" s="57"/>
    </row>
    <row r="85" spans="1:12" s="44" customFormat="1">
      <c r="A85" s="68">
        <v>43189</v>
      </c>
      <c r="B85" s="58" t="s">
        <v>425</v>
      </c>
      <c r="C85" s="58" t="s">
        <v>437</v>
      </c>
      <c r="D85" s="58" t="s">
        <v>431</v>
      </c>
      <c r="E85" s="58" t="s">
        <v>238</v>
      </c>
      <c r="F85" s="58"/>
      <c r="G85" s="140"/>
      <c r="H85" s="89">
        <v>4</v>
      </c>
      <c r="I85" s="141">
        <v>200000</v>
      </c>
      <c r="J85" s="111">
        <f>Table6[[#This Row],[ĐƠN GIÁ ]]*Table6[[#This Row],[SỐ LƯỢNG ]]</f>
        <v>800000</v>
      </c>
      <c r="K85" s="272">
        <f>+Table6[[#This Row],[THÀNH TIỀN ]]*10%</f>
        <v>80000</v>
      </c>
      <c r="L85" s="57"/>
    </row>
    <row r="86" spans="1:12" s="44" customFormat="1">
      <c r="A86" s="68">
        <v>43189</v>
      </c>
      <c r="B86" s="58" t="s">
        <v>425</v>
      </c>
      <c r="C86" s="115" t="s">
        <v>394</v>
      </c>
      <c r="D86" s="58" t="s">
        <v>432</v>
      </c>
      <c r="E86" s="115" t="s">
        <v>238</v>
      </c>
      <c r="F86" s="58"/>
      <c r="G86" s="140"/>
      <c r="H86" s="89">
        <v>6</v>
      </c>
      <c r="I86" s="142">
        <v>100000</v>
      </c>
      <c r="J86" s="111">
        <f>Table6[[#This Row],[ĐƠN GIÁ ]]*Table6[[#This Row],[SỐ LƯỢNG ]]</f>
        <v>600000</v>
      </c>
      <c r="K86" s="272">
        <f>+Table6[[#This Row],[THÀNH TIỀN ]]*10%</f>
        <v>60000</v>
      </c>
      <c r="L86" s="57"/>
    </row>
    <row r="87" spans="1:12" s="44" customFormat="1">
      <c r="A87" s="152">
        <v>43190</v>
      </c>
      <c r="B87" s="115" t="s">
        <v>425</v>
      </c>
      <c r="C87" s="115" t="s">
        <v>343</v>
      </c>
      <c r="D87" s="115" t="s">
        <v>468</v>
      </c>
      <c r="E87" s="115" t="s">
        <v>238</v>
      </c>
      <c r="F87" s="115"/>
      <c r="G87" s="140">
        <v>18</v>
      </c>
      <c r="H87" s="142">
        <v>7</v>
      </c>
      <c r="I87" s="142">
        <v>400000</v>
      </c>
      <c r="J87" s="111">
        <f>Table6[[#This Row],[ĐƠN GIÁ ]]*Table6[[#This Row],[SỐ LƯỢNG ]]</f>
        <v>2800000</v>
      </c>
      <c r="K87" s="272">
        <f>+Table6[[#This Row],[THÀNH TIỀN ]]*10%</f>
        <v>280000</v>
      </c>
      <c r="L87" s="57"/>
    </row>
    <row r="88" spans="1:12" s="44" customFormat="1">
      <c r="A88" s="152"/>
      <c r="B88" s="115"/>
      <c r="C88" s="115"/>
      <c r="D88" s="115"/>
      <c r="E88" s="115"/>
      <c r="F88" s="115"/>
      <c r="G88" s="153"/>
      <c r="H88" s="153">
        <f>SUM(H11:H87)</f>
        <v>458</v>
      </c>
      <c r="I88" s="154"/>
      <c r="J88" s="155">
        <f>SUBTOTAL(109,[[THÀNH TIỀN ]])</f>
        <v>82103800</v>
      </c>
      <c r="K88" s="155">
        <f>SUBTOTAL(109,[LTX])</f>
        <v>8210380</v>
      </c>
      <c r="L88" s="57"/>
    </row>
    <row r="89" spans="1:12" s="44" customFormat="1">
      <c r="A89" s="57"/>
      <c r="B89" s="57"/>
      <c r="C89" s="57"/>
      <c r="D89" s="57"/>
      <c r="E89" s="57"/>
      <c r="F89" s="57"/>
      <c r="G89" s="57"/>
      <c r="H89" s="57"/>
      <c r="I89" s="57"/>
      <c r="J89" s="156"/>
      <c r="K89" s="57"/>
      <c r="L89" s="57"/>
    </row>
    <row r="90" spans="1:12" s="44" customFormat="1">
      <c r="A90" s="57"/>
      <c r="B90" s="57"/>
      <c r="C90" s="57"/>
      <c r="D90" s="57"/>
      <c r="E90" s="57"/>
      <c r="F90" s="57"/>
      <c r="G90" s="57"/>
      <c r="H90" s="57"/>
      <c r="I90" s="57"/>
      <c r="J90" s="156"/>
      <c r="K90" s="57"/>
      <c r="L90" s="57"/>
    </row>
    <row r="91" spans="1:12" s="44" customFormat="1">
      <c r="A91" s="57"/>
      <c r="B91" s="57"/>
      <c r="C91" s="57"/>
      <c r="D91" s="57"/>
      <c r="E91" s="57"/>
      <c r="F91" s="57"/>
      <c r="G91" s="57"/>
      <c r="H91" s="57"/>
      <c r="I91" s="57"/>
      <c r="J91" s="156"/>
      <c r="K91" s="57"/>
      <c r="L91" s="57"/>
    </row>
    <row r="92" spans="1:12" s="44" customFormat="1">
      <c r="A92" s="57"/>
      <c r="B92" s="57"/>
      <c r="C92" s="57"/>
      <c r="D92" s="57"/>
      <c r="E92" s="57"/>
      <c r="F92" s="57"/>
      <c r="G92" s="57"/>
      <c r="H92" s="57"/>
      <c r="I92" s="57"/>
      <c r="J92" s="156"/>
      <c r="K92" s="57"/>
      <c r="L92" s="57"/>
    </row>
    <row r="93" spans="1:12" s="44" customFormat="1">
      <c r="A93" s="57"/>
      <c r="B93" s="57"/>
      <c r="C93" s="57"/>
      <c r="D93" s="57"/>
      <c r="E93" s="57"/>
      <c r="F93" s="57"/>
      <c r="G93" s="57"/>
      <c r="H93" s="57"/>
      <c r="I93" s="57"/>
      <c r="J93" s="156"/>
      <c r="K93" s="57"/>
      <c r="L93" s="57"/>
    </row>
    <row r="94" spans="1:12">
      <c r="C94" s="313" t="s">
        <v>34</v>
      </c>
      <c r="D94" s="314"/>
      <c r="E94" s="314"/>
      <c r="F94" s="314"/>
      <c r="G94" s="315"/>
      <c r="H94" s="157"/>
      <c r="I94" s="158">
        <f>+Table6[[#Totals],[THÀNH TIỀN ]]</f>
        <v>82103800</v>
      </c>
    </row>
    <row r="95" spans="1:12">
      <c r="C95" s="313" t="s">
        <v>35</v>
      </c>
      <c r="D95" s="314"/>
      <c r="E95" s="314"/>
      <c r="F95" s="314"/>
      <c r="G95" s="315"/>
      <c r="H95" s="157"/>
      <c r="I95" s="158">
        <f>+Table6[[#Totals],[LTX]]</f>
        <v>8210380</v>
      </c>
    </row>
    <row r="96" spans="1:12">
      <c r="C96" s="313" t="s">
        <v>36</v>
      </c>
      <c r="D96" s="314"/>
      <c r="E96" s="314"/>
      <c r="F96" s="314"/>
      <c r="G96" s="315"/>
      <c r="H96" s="157"/>
      <c r="I96" s="158">
        <v>2000000</v>
      </c>
    </row>
    <row r="97" spans="3:9">
      <c r="C97" s="313" t="s">
        <v>100</v>
      </c>
      <c r="D97" s="314"/>
      <c r="E97" s="314"/>
      <c r="F97" s="314"/>
      <c r="G97" s="315"/>
      <c r="H97" s="159"/>
      <c r="I97" s="158">
        <f>F110</f>
        <v>1690000</v>
      </c>
    </row>
    <row r="98" spans="3:9">
      <c r="C98" s="313" t="s">
        <v>111</v>
      </c>
      <c r="D98" s="314"/>
      <c r="E98" s="314"/>
      <c r="F98" s="314"/>
      <c r="G98" s="315"/>
      <c r="H98" s="159"/>
      <c r="I98" s="158"/>
    </row>
    <row r="99" spans="3:9">
      <c r="C99" s="313" t="s">
        <v>112</v>
      </c>
      <c r="D99" s="314"/>
      <c r="E99" s="314"/>
      <c r="F99" s="314"/>
      <c r="G99" s="315"/>
      <c r="H99" s="159"/>
      <c r="I99" s="158">
        <f>+I94-I95-I96-I97</f>
        <v>70203420</v>
      </c>
    </row>
    <row r="103" spans="3:9">
      <c r="C103" s="160" t="s">
        <v>136</v>
      </c>
      <c r="D103" s="323" t="s">
        <v>137</v>
      </c>
      <c r="E103" s="323"/>
      <c r="F103" s="346">
        <v>80000</v>
      </c>
      <c r="G103" s="346"/>
      <c r="H103" s="144"/>
    </row>
    <row r="104" spans="3:9">
      <c r="C104" s="160" t="s">
        <v>490</v>
      </c>
      <c r="D104" s="321" t="s">
        <v>489</v>
      </c>
      <c r="E104" s="322"/>
      <c r="F104" s="318">
        <v>400000</v>
      </c>
      <c r="G104" s="320"/>
      <c r="H104" s="144"/>
    </row>
    <row r="105" spans="3:9">
      <c r="C105" s="160" t="s">
        <v>201</v>
      </c>
      <c r="D105" s="323" t="s">
        <v>202</v>
      </c>
      <c r="E105" s="323"/>
      <c r="F105" s="346">
        <v>150000</v>
      </c>
      <c r="G105" s="346"/>
      <c r="H105" s="144" t="s">
        <v>194</v>
      </c>
    </row>
    <row r="106" spans="3:9">
      <c r="C106" s="160" t="s">
        <v>201</v>
      </c>
      <c r="D106" s="323" t="s">
        <v>203</v>
      </c>
      <c r="E106" s="323"/>
      <c r="F106" s="346">
        <v>210000</v>
      </c>
      <c r="G106" s="346"/>
      <c r="H106" s="144" t="s">
        <v>194</v>
      </c>
    </row>
    <row r="107" spans="3:9">
      <c r="C107" s="160" t="s">
        <v>493</v>
      </c>
      <c r="D107" s="321" t="s">
        <v>488</v>
      </c>
      <c r="E107" s="322"/>
      <c r="F107" s="318">
        <v>350000</v>
      </c>
      <c r="G107" s="320"/>
      <c r="H107" s="144"/>
    </row>
    <row r="108" spans="3:9">
      <c r="C108" s="160" t="s">
        <v>192</v>
      </c>
      <c r="D108" s="323" t="s">
        <v>193</v>
      </c>
      <c r="E108" s="323"/>
      <c r="F108" s="346">
        <v>400000</v>
      </c>
      <c r="G108" s="346"/>
      <c r="H108" s="144" t="s">
        <v>194</v>
      </c>
    </row>
    <row r="109" spans="3:9">
      <c r="C109" s="160" t="s">
        <v>192</v>
      </c>
      <c r="D109" s="323" t="s">
        <v>195</v>
      </c>
      <c r="E109" s="323"/>
      <c r="F109" s="346">
        <v>100000</v>
      </c>
      <c r="G109" s="346"/>
      <c r="H109" s="144" t="s">
        <v>194</v>
      </c>
    </row>
    <row r="110" spans="3:9">
      <c r="F110" s="344">
        <f>SUM(F103:F109)</f>
        <v>1690000</v>
      </c>
      <c r="G110" s="345"/>
    </row>
  </sheetData>
  <mergeCells count="22">
    <mergeCell ref="F110:G110"/>
    <mergeCell ref="D103:E103"/>
    <mergeCell ref="D105:E105"/>
    <mergeCell ref="D106:E106"/>
    <mergeCell ref="D108:E108"/>
    <mergeCell ref="D109:E109"/>
    <mergeCell ref="F103:G103"/>
    <mergeCell ref="F105:G105"/>
    <mergeCell ref="F106:G106"/>
    <mergeCell ref="F108:G108"/>
    <mergeCell ref="F109:G109"/>
    <mergeCell ref="D104:E104"/>
    <mergeCell ref="F104:G104"/>
    <mergeCell ref="D107:E107"/>
    <mergeCell ref="F107:G107"/>
    <mergeCell ref="C97:G97"/>
    <mergeCell ref="C98:G98"/>
    <mergeCell ref="C99:G99"/>
    <mergeCell ref="A5:K7"/>
    <mergeCell ref="C94:G94"/>
    <mergeCell ref="C95:G95"/>
    <mergeCell ref="C96:G96"/>
  </mergeCells>
  <pageMargins left="0.7" right="0.7" top="0.75" bottom="0.75" header="0.3" footer="0.3"/>
  <pageSetup paperSize="9" orientation="landscape" horizontalDpi="300" verticalDpi="3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C000"/>
  </sheetPr>
  <dimension ref="A1:K113"/>
  <sheetViews>
    <sheetView topLeftCell="A69" workbookViewId="0">
      <selection activeCell="I82" sqref="I82"/>
    </sheetView>
  </sheetViews>
  <sheetFormatPr defaultRowHeight="15"/>
  <cols>
    <col min="1" max="1" width="12.5703125" style="26" customWidth="1"/>
    <col min="2" max="2" width="6.140625" style="26" customWidth="1"/>
    <col min="3" max="3" width="16.5703125" style="26" customWidth="1"/>
    <col min="4" max="4" width="19.28515625" style="26" customWidth="1"/>
    <col min="5" max="5" width="6.85546875" style="26" customWidth="1"/>
    <col min="6" max="6" width="8.7109375" style="26" customWidth="1"/>
    <col min="7" max="7" width="7.85546875" style="26" customWidth="1"/>
    <col min="8" max="8" width="12.28515625" style="175" customWidth="1"/>
    <col min="9" max="9" width="12.5703125" style="26" customWidth="1"/>
    <col min="10" max="10" width="15.140625" style="151" customWidth="1"/>
    <col min="11" max="11" width="14.42578125" style="26" customWidth="1"/>
  </cols>
  <sheetData>
    <row r="1" spans="1:11">
      <c r="A1" s="146" t="s">
        <v>0</v>
      </c>
      <c r="B1" s="146"/>
      <c r="C1" s="146"/>
      <c r="D1" s="147"/>
      <c r="E1" s="147"/>
      <c r="F1" s="147"/>
      <c r="G1" s="148"/>
      <c r="H1" s="173"/>
      <c r="I1" s="150"/>
      <c r="J1" s="150"/>
      <c r="K1" s="150"/>
    </row>
    <row r="2" spans="1:11">
      <c r="A2" s="146" t="s">
        <v>1</v>
      </c>
      <c r="B2" s="146"/>
      <c r="C2" s="146"/>
      <c r="D2" s="147"/>
      <c r="E2" s="147"/>
      <c r="F2" s="147"/>
      <c r="G2" s="148"/>
      <c r="H2" s="173"/>
      <c r="I2" s="150"/>
      <c r="J2" s="150"/>
      <c r="K2" s="150"/>
    </row>
    <row r="3" spans="1:11">
      <c r="A3" s="146" t="s">
        <v>2</v>
      </c>
      <c r="B3" s="146"/>
      <c r="C3" s="146"/>
      <c r="D3" s="147"/>
      <c r="E3" s="147"/>
      <c r="F3" s="147"/>
      <c r="G3" s="148"/>
      <c r="H3" s="173"/>
      <c r="I3" s="150"/>
      <c r="J3" s="150"/>
      <c r="K3" s="150"/>
    </row>
    <row r="4" spans="1:11">
      <c r="A4" s="146" t="s">
        <v>3</v>
      </c>
      <c r="B4" s="146"/>
      <c r="C4" s="146"/>
      <c r="D4" s="147"/>
      <c r="E4" s="147"/>
      <c r="F4" s="147"/>
      <c r="G4" s="148"/>
      <c r="H4" s="173"/>
      <c r="I4" s="150"/>
      <c r="J4" s="150"/>
      <c r="K4" s="150"/>
    </row>
    <row r="5" spans="1:11">
      <c r="A5" s="316" t="s">
        <v>221</v>
      </c>
      <c r="B5" s="316"/>
      <c r="C5" s="316"/>
      <c r="D5" s="316"/>
      <c r="E5" s="316"/>
      <c r="F5" s="316"/>
      <c r="G5" s="316"/>
      <c r="H5" s="316"/>
      <c r="I5" s="316"/>
      <c r="J5" s="316"/>
      <c r="K5" s="316"/>
    </row>
    <row r="6" spans="1:11">
      <c r="A6" s="316"/>
      <c r="B6" s="316"/>
      <c r="C6" s="316"/>
      <c r="D6" s="316"/>
      <c r="E6" s="316"/>
      <c r="F6" s="316"/>
      <c r="G6" s="316"/>
      <c r="H6" s="316"/>
      <c r="I6" s="316"/>
      <c r="J6" s="316"/>
      <c r="K6" s="316"/>
    </row>
    <row r="7" spans="1:11">
      <c r="A7" s="316"/>
      <c r="B7" s="316"/>
      <c r="C7" s="316"/>
      <c r="D7" s="316"/>
      <c r="E7" s="316"/>
      <c r="F7" s="316"/>
      <c r="G7" s="316"/>
      <c r="H7" s="316"/>
      <c r="I7" s="316"/>
      <c r="J7" s="316"/>
      <c r="K7" s="316"/>
    </row>
    <row r="8" spans="1:11" ht="21">
      <c r="D8" s="174" t="s">
        <v>31</v>
      </c>
    </row>
    <row r="10" spans="1:11" s="57" customFormat="1">
      <c r="A10" s="165" t="s">
        <v>5</v>
      </c>
      <c r="B10" s="166" t="s">
        <v>6</v>
      </c>
      <c r="C10" s="166" t="s">
        <v>7</v>
      </c>
      <c r="D10" s="167" t="s">
        <v>8</v>
      </c>
      <c r="E10" s="166" t="s">
        <v>9</v>
      </c>
      <c r="F10" s="166" t="s">
        <v>10</v>
      </c>
      <c r="G10" s="168" t="s">
        <v>12</v>
      </c>
      <c r="H10" s="168" t="s">
        <v>13</v>
      </c>
      <c r="I10" s="167" t="s">
        <v>14</v>
      </c>
      <c r="J10" s="167" t="s">
        <v>15</v>
      </c>
      <c r="K10" s="169" t="s">
        <v>16</v>
      </c>
    </row>
    <row r="11" spans="1:11" s="44" customFormat="1">
      <c r="A11" s="170">
        <v>43160</v>
      </c>
      <c r="B11" s="171" t="s">
        <v>441</v>
      </c>
      <c r="C11" s="176" t="s">
        <v>231</v>
      </c>
      <c r="D11" s="176" t="s">
        <v>232</v>
      </c>
      <c r="E11" s="172"/>
      <c r="F11" s="172" t="s">
        <v>233</v>
      </c>
      <c r="G11" s="125"/>
      <c r="H11" s="89">
        <v>4</v>
      </c>
      <c r="I11" s="139">
        <v>1000000</v>
      </c>
      <c r="J11" s="111">
        <f>Table7[[#This Row],[ĐƠN GIÁ ]]*Table7[[#This Row],[SỐ LƯỢNG ]]</f>
        <v>4000000</v>
      </c>
      <c r="K11" s="111">
        <f>+Table7[[#This Row],[THÀNH TIỀN ]]*10%</f>
        <v>400000</v>
      </c>
    </row>
    <row r="12" spans="1:11" s="44" customFormat="1">
      <c r="A12" s="170">
        <v>43160</v>
      </c>
      <c r="B12" s="171" t="s">
        <v>441</v>
      </c>
      <c r="C12" s="172" t="s">
        <v>231</v>
      </c>
      <c r="D12" s="172" t="s">
        <v>240</v>
      </c>
      <c r="E12" s="172"/>
      <c r="F12" s="172" t="s">
        <v>250</v>
      </c>
      <c r="G12" s="89">
        <v>14.98</v>
      </c>
      <c r="H12" s="89">
        <v>1</v>
      </c>
      <c r="I12" s="141">
        <v>1200000</v>
      </c>
      <c r="J12" s="111">
        <f>Table7[[#This Row],[ĐƠN GIÁ ]]*Table7[[#This Row],[SỐ LƯỢNG ]]</f>
        <v>1200000</v>
      </c>
      <c r="K12" s="111">
        <f>+Table7[[#This Row],[THÀNH TIỀN ]]*10%</f>
        <v>120000</v>
      </c>
    </row>
    <row r="13" spans="1:11" s="44" customFormat="1">
      <c r="A13" s="170">
        <v>43161</v>
      </c>
      <c r="B13" s="171" t="s">
        <v>441</v>
      </c>
      <c r="C13" s="172" t="s">
        <v>231</v>
      </c>
      <c r="D13" s="172" t="s">
        <v>234</v>
      </c>
      <c r="E13" s="172"/>
      <c r="F13" s="172" t="s">
        <v>235</v>
      </c>
      <c r="G13" s="89">
        <v>15.1</v>
      </c>
      <c r="H13" s="89">
        <v>1</v>
      </c>
      <c r="I13" s="141">
        <v>1200000</v>
      </c>
      <c r="J13" s="111">
        <f>Table7[[#This Row],[ĐƠN GIÁ ]]*Table7[[#This Row],[SỐ LƯỢNG ]]</f>
        <v>1200000</v>
      </c>
      <c r="K13" s="111">
        <f>+Table7[[#This Row],[THÀNH TIỀN ]]*10%</f>
        <v>120000</v>
      </c>
    </row>
    <row r="14" spans="1:11" s="44" customFormat="1">
      <c r="A14" s="68">
        <v>43161</v>
      </c>
      <c r="B14" s="58" t="s">
        <v>441</v>
      </c>
      <c r="C14" s="58" t="s">
        <v>372</v>
      </c>
      <c r="D14" s="58" t="s">
        <v>232</v>
      </c>
      <c r="E14" s="58"/>
      <c r="F14" s="58" t="s">
        <v>233</v>
      </c>
      <c r="G14" s="89">
        <v>13.64</v>
      </c>
      <c r="H14" s="89">
        <v>1</v>
      </c>
      <c r="I14" s="139">
        <v>1000000</v>
      </c>
      <c r="J14" s="111">
        <f>Table7[[#This Row],[ĐƠN GIÁ ]]*Table7[[#This Row],[SỐ LƯỢNG ]]</f>
        <v>1000000</v>
      </c>
      <c r="K14" s="111">
        <f>+Table7[[#This Row],[THÀNH TIỀN ]]*10%</f>
        <v>100000</v>
      </c>
    </row>
    <row r="15" spans="1:11" s="44" customFormat="1">
      <c r="A15" s="68">
        <v>43161</v>
      </c>
      <c r="B15" s="58" t="s">
        <v>441</v>
      </c>
      <c r="C15" s="58" t="s">
        <v>236</v>
      </c>
      <c r="D15" s="58" t="s">
        <v>237</v>
      </c>
      <c r="E15" s="58" t="s">
        <v>238</v>
      </c>
      <c r="F15" s="58"/>
      <c r="G15" s="89"/>
      <c r="H15" s="89">
        <v>13</v>
      </c>
      <c r="I15" s="141">
        <v>150000</v>
      </c>
      <c r="J15" s="111">
        <f>Table7[[#This Row],[ĐƠN GIÁ ]]*Table7[[#This Row],[SỐ LƯỢNG ]]</f>
        <v>1950000</v>
      </c>
      <c r="K15" s="111">
        <f>+Table7[[#This Row],[THÀNH TIỀN ]]*10%</f>
        <v>195000</v>
      </c>
    </row>
    <row r="16" spans="1:11" s="44" customFormat="1">
      <c r="A16" s="68">
        <v>43161</v>
      </c>
      <c r="B16" s="58" t="s">
        <v>441</v>
      </c>
      <c r="C16" s="58" t="s">
        <v>239</v>
      </c>
      <c r="D16" s="58" t="s">
        <v>240</v>
      </c>
      <c r="E16" s="58"/>
      <c r="F16" s="58" t="s">
        <v>233</v>
      </c>
      <c r="G16" s="89">
        <v>12.25</v>
      </c>
      <c r="H16" s="89">
        <v>1</v>
      </c>
      <c r="I16" s="141">
        <v>300000</v>
      </c>
      <c r="J16" s="111">
        <f>Table7[[#This Row],[ĐƠN GIÁ ]]*Table7[[#This Row],[SỐ LƯỢNG ]]</f>
        <v>300000</v>
      </c>
      <c r="K16" s="111">
        <f>+Table7[[#This Row],[THÀNH TIỀN ]]*10%</f>
        <v>30000</v>
      </c>
    </row>
    <row r="17" spans="1:11" s="44" customFormat="1">
      <c r="A17" s="68">
        <v>43162</v>
      </c>
      <c r="B17" s="58" t="s">
        <v>441</v>
      </c>
      <c r="C17" s="58" t="s">
        <v>239</v>
      </c>
      <c r="D17" s="58" t="s">
        <v>240</v>
      </c>
      <c r="E17" s="58"/>
      <c r="F17" s="58" t="s">
        <v>233</v>
      </c>
      <c r="G17" s="89">
        <v>26.36</v>
      </c>
      <c r="H17" s="89">
        <v>2</v>
      </c>
      <c r="I17" s="141">
        <v>300000</v>
      </c>
      <c r="J17" s="111">
        <f>Table7[[#This Row],[ĐƠN GIÁ ]]*Table7[[#This Row],[SỐ LƯỢNG ]]</f>
        <v>600000</v>
      </c>
      <c r="K17" s="111">
        <f>+Table7[[#This Row],[THÀNH TIỀN ]]*10%</f>
        <v>60000</v>
      </c>
    </row>
    <row r="18" spans="1:11" s="44" customFormat="1">
      <c r="A18" s="68">
        <v>43162</v>
      </c>
      <c r="B18" s="58" t="s">
        <v>441</v>
      </c>
      <c r="C18" s="58" t="s">
        <v>243</v>
      </c>
      <c r="D18" s="58" t="s">
        <v>244</v>
      </c>
      <c r="E18" s="58" t="s">
        <v>238</v>
      </c>
      <c r="F18" s="58"/>
      <c r="G18" s="89"/>
      <c r="H18" s="89">
        <v>6</v>
      </c>
      <c r="I18" s="141">
        <v>150000</v>
      </c>
      <c r="J18" s="111">
        <f>Table7[[#This Row],[ĐƠN GIÁ ]]*Table7[[#This Row],[SỐ LƯỢNG ]]</f>
        <v>900000</v>
      </c>
      <c r="K18" s="111">
        <f>+Table7[[#This Row],[THÀNH TIỀN ]]*10%</f>
        <v>90000</v>
      </c>
    </row>
    <row r="19" spans="1:11" s="44" customFormat="1">
      <c r="A19" s="68">
        <v>43162</v>
      </c>
      <c r="B19" s="58" t="s">
        <v>441</v>
      </c>
      <c r="C19" s="58" t="s">
        <v>243</v>
      </c>
      <c r="D19" s="58" t="s">
        <v>350</v>
      </c>
      <c r="E19" s="58" t="s">
        <v>238</v>
      </c>
      <c r="F19" s="58"/>
      <c r="G19" s="89"/>
      <c r="H19" s="89">
        <v>3</v>
      </c>
      <c r="I19" s="141">
        <v>180000</v>
      </c>
      <c r="J19" s="111">
        <f>Table7[[#This Row],[ĐƠN GIÁ ]]*Table7[[#This Row],[SỐ LƯỢNG ]]</f>
        <v>540000</v>
      </c>
      <c r="K19" s="111">
        <f>+Table7[[#This Row],[THÀNH TIỀN ]]*10%</f>
        <v>54000</v>
      </c>
    </row>
    <row r="20" spans="1:11" s="44" customFormat="1">
      <c r="A20" s="68">
        <v>43163</v>
      </c>
      <c r="B20" s="58" t="s">
        <v>441</v>
      </c>
      <c r="C20" s="58" t="s">
        <v>243</v>
      </c>
      <c r="D20" s="58" t="s">
        <v>385</v>
      </c>
      <c r="E20" s="58" t="s">
        <v>238</v>
      </c>
      <c r="F20" s="58"/>
      <c r="G20" s="89"/>
      <c r="H20" s="89">
        <v>8</v>
      </c>
      <c r="I20" s="141">
        <v>180000</v>
      </c>
      <c r="J20" s="111">
        <f>Table7[[#This Row],[ĐƠN GIÁ ]]*Table7[[#This Row],[SỐ LƯỢNG ]]</f>
        <v>1440000</v>
      </c>
      <c r="K20" s="111">
        <f>+Table7[[#This Row],[THÀNH TIỀN ]]*10%</f>
        <v>144000</v>
      </c>
    </row>
    <row r="21" spans="1:11" s="44" customFormat="1">
      <c r="A21" s="68">
        <v>43163</v>
      </c>
      <c r="B21" s="58" t="s">
        <v>441</v>
      </c>
      <c r="C21" s="58" t="s">
        <v>236</v>
      </c>
      <c r="D21" s="58" t="s">
        <v>385</v>
      </c>
      <c r="E21" s="58" t="s">
        <v>238</v>
      </c>
      <c r="F21" s="58"/>
      <c r="G21" s="89"/>
      <c r="H21" s="89">
        <v>1</v>
      </c>
      <c r="I21" s="141">
        <v>180000</v>
      </c>
      <c r="J21" s="111">
        <f>Table7[[#This Row],[ĐƠN GIÁ ]]*Table7[[#This Row],[SỐ LƯỢNG ]]</f>
        <v>180000</v>
      </c>
      <c r="K21" s="111">
        <f>+Table7[[#This Row],[THÀNH TIỀN ]]*10%</f>
        <v>18000</v>
      </c>
    </row>
    <row r="22" spans="1:11" s="44" customFormat="1">
      <c r="A22" s="68">
        <v>43164</v>
      </c>
      <c r="B22" s="58" t="s">
        <v>441</v>
      </c>
      <c r="C22" s="58" t="s">
        <v>372</v>
      </c>
      <c r="D22" s="58" t="s">
        <v>245</v>
      </c>
      <c r="E22" s="58"/>
      <c r="F22" s="58" t="s">
        <v>235</v>
      </c>
      <c r="G22" s="89">
        <v>14.5</v>
      </c>
      <c r="H22" s="89">
        <v>1</v>
      </c>
      <c r="I22" s="141">
        <v>1200000</v>
      </c>
      <c r="J22" s="111">
        <f>Table7[[#This Row],[ĐƠN GIÁ ]]*Table7[[#This Row],[SỐ LƯỢNG ]]</f>
        <v>1200000</v>
      </c>
      <c r="K22" s="177">
        <f>+Table7[[#This Row],[THÀNH TIỀN ]]*10%</f>
        <v>120000</v>
      </c>
    </row>
    <row r="23" spans="1:11" s="44" customFormat="1">
      <c r="A23" s="68">
        <v>43164</v>
      </c>
      <c r="B23" s="58" t="s">
        <v>441</v>
      </c>
      <c r="C23" s="58" t="s">
        <v>372</v>
      </c>
      <c r="D23" s="58" t="s">
        <v>232</v>
      </c>
      <c r="E23" s="58"/>
      <c r="F23" s="58" t="s">
        <v>233</v>
      </c>
      <c r="G23" s="89">
        <v>13.27</v>
      </c>
      <c r="H23" s="89">
        <v>1</v>
      </c>
      <c r="I23" s="139">
        <v>1000000</v>
      </c>
      <c r="J23" s="111">
        <f>Table7[[#This Row],[ĐƠN GIÁ ]]*Table7[[#This Row],[SỐ LƯỢNG ]]</f>
        <v>1000000</v>
      </c>
      <c r="K23" s="111">
        <f>+Table7[[#This Row],[THÀNH TIỀN ]]*10%</f>
        <v>100000</v>
      </c>
    </row>
    <row r="24" spans="1:11" s="44" customFormat="1">
      <c r="A24" s="68">
        <v>43164</v>
      </c>
      <c r="B24" s="58" t="s">
        <v>441</v>
      </c>
      <c r="C24" s="58" t="s">
        <v>243</v>
      </c>
      <c r="D24" s="58" t="s">
        <v>246</v>
      </c>
      <c r="E24" s="58" t="s">
        <v>238</v>
      </c>
      <c r="F24" s="58"/>
      <c r="G24" s="89"/>
      <c r="H24" s="89">
        <v>2</v>
      </c>
      <c r="I24" s="141">
        <v>180000</v>
      </c>
      <c r="J24" s="111">
        <f>Table7[[#This Row],[ĐƠN GIÁ ]]*Table7[[#This Row],[SỐ LƯỢNG ]]</f>
        <v>360000</v>
      </c>
      <c r="K24" s="111">
        <f>+Table7[[#This Row],[THÀNH TIỀN ]]*10%</f>
        <v>36000</v>
      </c>
    </row>
    <row r="25" spans="1:11" s="44" customFormat="1">
      <c r="A25" s="68">
        <v>43164</v>
      </c>
      <c r="B25" s="58" t="s">
        <v>441</v>
      </c>
      <c r="C25" s="58" t="s">
        <v>243</v>
      </c>
      <c r="D25" s="58" t="s">
        <v>244</v>
      </c>
      <c r="E25" s="58" t="s">
        <v>238</v>
      </c>
      <c r="F25" s="58"/>
      <c r="G25" s="89"/>
      <c r="H25" s="89">
        <v>4</v>
      </c>
      <c r="I25" s="141">
        <v>150000</v>
      </c>
      <c r="J25" s="111">
        <f>Table7[[#This Row],[ĐƠN GIÁ ]]*Table7[[#This Row],[SỐ LƯỢNG ]]</f>
        <v>600000</v>
      </c>
      <c r="K25" s="111">
        <f>+Table7[[#This Row],[THÀNH TIỀN ]]*10%</f>
        <v>60000</v>
      </c>
    </row>
    <row r="26" spans="1:11" s="44" customFormat="1">
      <c r="A26" s="68">
        <v>43165</v>
      </c>
      <c r="B26" s="58" t="s">
        <v>441</v>
      </c>
      <c r="C26" s="58" t="s">
        <v>372</v>
      </c>
      <c r="D26" s="58" t="s">
        <v>232</v>
      </c>
      <c r="E26" s="58"/>
      <c r="F26" s="58" t="s">
        <v>235</v>
      </c>
      <c r="G26" s="89">
        <v>12.56</v>
      </c>
      <c r="H26" s="89">
        <v>1</v>
      </c>
      <c r="I26" s="139">
        <v>1000000</v>
      </c>
      <c r="J26" s="111">
        <f>Table7[[#This Row],[ĐƠN GIÁ ]]*Table7[[#This Row],[SỐ LƯỢNG ]]</f>
        <v>1000000</v>
      </c>
      <c r="K26" s="111">
        <f>+Table7[[#This Row],[THÀNH TIỀN ]]*10%</f>
        <v>100000</v>
      </c>
    </row>
    <row r="27" spans="1:11" s="44" customFormat="1">
      <c r="A27" s="68">
        <v>43165</v>
      </c>
      <c r="B27" s="58" t="s">
        <v>441</v>
      </c>
      <c r="C27" s="58" t="s">
        <v>372</v>
      </c>
      <c r="D27" s="58" t="s">
        <v>245</v>
      </c>
      <c r="E27" s="58"/>
      <c r="F27" s="58" t="s">
        <v>235</v>
      </c>
      <c r="G27" s="89">
        <v>43</v>
      </c>
      <c r="H27" s="89">
        <v>3</v>
      </c>
      <c r="I27" s="141">
        <v>1200000</v>
      </c>
      <c r="J27" s="111">
        <f>Table7[[#This Row],[ĐƠN GIÁ ]]*Table7[[#This Row],[SỐ LƯỢNG ]]</f>
        <v>3600000</v>
      </c>
      <c r="K27" s="111">
        <f>+Table7[[#This Row],[THÀNH TIỀN ]]*10%</f>
        <v>360000</v>
      </c>
    </row>
    <row r="28" spans="1:11" s="44" customFormat="1">
      <c r="A28" s="68">
        <v>43166</v>
      </c>
      <c r="B28" s="58" t="s">
        <v>441</v>
      </c>
      <c r="C28" s="58" t="s">
        <v>372</v>
      </c>
      <c r="D28" s="58" t="s">
        <v>245</v>
      </c>
      <c r="E28" s="58"/>
      <c r="F28" s="58" t="s">
        <v>235</v>
      </c>
      <c r="G28" s="89">
        <v>14.2</v>
      </c>
      <c r="H28" s="89">
        <v>1</v>
      </c>
      <c r="I28" s="141">
        <v>1200000</v>
      </c>
      <c r="J28" s="111">
        <f>Table7[[#This Row],[ĐƠN GIÁ ]]*Table7[[#This Row],[SỐ LƯỢNG ]]</f>
        <v>1200000</v>
      </c>
      <c r="K28" s="111">
        <f>+Table7[[#This Row],[THÀNH TIỀN ]]*10%</f>
        <v>120000</v>
      </c>
    </row>
    <row r="29" spans="1:11" s="44" customFormat="1">
      <c r="A29" s="68">
        <v>43166</v>
      </c>
      <c r="B29" s="58" t="s">
        <v>441</v>
      </c>
      <c r="C29" s="58" t="s">
        <v>372</v>
      </c>
      <c r="D29" s="58" t="s">
        <v>424</v>
      </c>
      <c r="E29" s="58"/>
      <c r="F29" s="58" t="s">
        <v>261</v>
      </c>
      <c r="G29" s="89">
        <v>13.78</v>
      </c>
      <c r="H29" s="89">
        <v>1</v>
      </c>
      <c r="I29" s="141">
        <v>1000000</v>
      </c>
      <c r="J29" s="111">
        <f>Table7[[#This Row],[ĐƠN GIÁ ]]*Table7[[#This Row],[SỐ LƯỢNG ]]</f>
        <v>1000000</v>
      </c>
      <c r="K29" s="111">
        <f>+Table7[[#This Row],[THÀNH TIỀN ]]*10%</f>
        <v>100000</v>
      </c>
    </row>
    <row r="30" spans="1:11" s="44" customFormat="1">
      <c r="A30" s="68">
        <v>43166</v>
      </c>
      <c r="B30" s="58" t="s">
        <v>441</v>
      </c>
      <c r="C30" s="58" t="s">
        <v>243</v>
      </c>
      <c r="D30" s="58" t="s">
        <v>246</v>
      </c>
      <c r="E30" s="58" t="s">
        <v>238</v>
      </c>
      <c r="F30" s="58"/>
      <c r="G30" s="89"/>
      <c r="H30" s="89">
        <v>14</v>
      </c>
      <c r="I30" s="141">
        <v>180000</v>
      </c>
      <c r="J30" s="111">
        <f>Table7[[#This Row],[ĐƠN GIÁ ]]*Table7[[#This Row],[SỐ LƯỢNG ]]</f>
        <v>2520000</v>
      </c>
      <c r="K30" s="111">
        <f>+Table7[[#This Row],[THÀNH TIỀN ]]*10%</f>
        <v>252000</v>
      </c>
    </row>
    <row r="31" spans="1:11" s="44" customFormat="1">
      <c r="A31" s="68">
        <v>43167</v>
      </c>
      <c r="B31" s="58" t="s">
        <v>441</v>
      </c>
      <c r="C31" s="58" t="s">
        <v>243</v>
      </c>
      <c r="D31" s="58" t="s">
        <v>246</v>
      </c>
      <c r="E31" s="58" t="s">
        <v>238</v>
      </c>
      <c r="F31" s="58"/>
      <c r="G31" s="89"/>
      <c r="H31" s="89">
        <v>12</v>
      </c>
      <c r="I31" s="141">
        <v>180000</v>
      </c>
      <c r="J31" s="111">
        <f>Table7[[#This Row],[ĐƠN GIÁ ]]*Table7[[#This Row],[SỐ LƯỢNG ]]</f>
        <v>2160000</v>
      </c>
      <c r="K31" s="111">
        <f>+Table7[[#This Row],[THÀNH TIỀN ]]*10%</f>
        <v>216000</v>
      </c>
    </row>
    <row r="32" spans="1:11" s="44" customFormat="1">
      <c r="A32" s="68">
        <v>43167</v>
      </c>
      <c r="B32" s="58" t="s">
        <v>441</v>
      </c>
      <c r="C32" s="58" t="s">
        <v>251</v>
      </c>
      <c r="D32" s="58" t="s">
        <v>237</v>
      </c>
      <c r="E32" s="58" t="s">
        <v>238</v>
      </c>
      <c r="F32" s="58"/>
      <c r="G32" s="89"/>
      <c r="H32" s="89">
        <v>2</v>
      </c>
      <c r="I32" s="141">
        <v>230000</v>
      </c>
      <c r="J32" s="111">
        <f>Table7[[#This Row],[ĐƠN GIÁ ]]*Table7[[#This Row],[SỐ LƯỢNG ]]</f>
        <v>460000</v>
      </c>
      <c r="K32" s="111">
        <f>+Table7[[#This Row],[THÀNH TIỀN ]]*10%</f>
        <v>46000</v>
      </c>
    </row>
    <row r="33" spans="1:11" s="44" customFormat="1">
      <c r="A33" s="68">
        <v>43167</v>
      </c>
      <c r="B33" s="58" t="s">
        <v>441</v>
      </c>
      <c r="C33" s="58" t="s">
        <v>251</v>
      </c>
      <c r="D33" s="58" t="s">
        <v>264</v>
      </c>
      <c r="E33" s="58" t="s">
        <v>238</v>
      </c>
      <c r="F33" s="58"/>
      <c r="G33" s="89"/>
      <c r="H33" s="89">
        <v>1</v>
      </c>
      <c r="I33" s="141">
        <v>230000</v>
      </c>
      <c r="J33" s="111">
        <f>Table7[[#This Row],[ĐƠN GIÁ ]]*Table7[[#This Row],[SỐ LƯỢNG ]]</f>
        <v>230000</v>
      </c>
      <c r="K33" s="111">
        <f>+Table7[[#This Row],[THÀNH TIỀN ]]*10%</f>
        <v>23000</v>
      </c>
    </row>
    <row r="34" spans="1:11" s="44" customFormat="1">
      <c r="A34" s="68">
        <v>43168</v>
      </c>
      <c r="B34" s="58" t="s">
        <v>441</v>
      </c>
      <c r="C34" s="58" t="s">
        <v>239</v>
      </c>
      <c r="D34" s="58" t="s">
        <v>240</v>
      </c>
      <c r="E34" s="58"/>
      <c r="F34" s="58" t="s">
        <v>233</v>
      </c>
      <c r="G34" s="89">
        <v>12.46</v>
      </c>
      <c r="H34" s="89">
        <v>1</v>
      </c>
      <c r="I34" s="141">
        <v>300000</v>
      </c>
      <c r="J34" s="111">
        <f>Table7[[#This Row],[ĐƠN GIÁ ]]*Table7[[#This Row],[SỐ LƯỢNG ]]</f>
        <v>300000</v>
      </c>
      <c r="K34" s="111">
        <f>+Table7[[#This Row],[THÀNH TIỀN ]]*10%</f>
        <v>30000</v>
      </c>
    </row>
    <row r="35" spans="1:11" s="44" customFormat="1">
      <c r="A35" s="68">
        <v>43168</v>
      </c>
      <c r="B35" s="58" t="s">
        <v>441</v>
      </c>
      <c r="C35" s="58" t="s">
        <v>231</v>
      </c>
      <c r="D35" s="58" t="s">
        <v>240</v>
      </c>
      <c r="E35" s="58"/>
      <c r="F35" s="58" t="s">
        <v>235</v>
      </c>
      <c r="G35" s="89">
        <v>12.64</v>
      </c>
      <c r="H35" s="89">
        <v>1</v>
      </c>
      <c r="I35" s="141">
        <v>1100000</v>
      </c>
      <c r="J35" s="111">
        <f>Table7[[#This Row],[ĐƠN GIÁ ]]*Table7[[#This Row],[SỐ LƯỢNG ]]</f>
        <v>1100000</v>
      </c>
      <c r="K35" s="111">
        <f>+Table7[[#This Row],[THÀNH TIỀN ]]*10%</f>
        <v>110000</v>
      </c>
    </row>
    <row r="36" spans="1:11" s="44" customFormat="1">
      <c r="A36" s="68">
        <v>43168</v>
      </c>
      <c r="B36" s="58" t="s">
        <v>441</v>
      </c>
      <c r="C36" s="58" t="s">
        <v>231</v>
      </c>
      <c r="D36" s="58" t="s">
        <v>249</v>
      </c>
      <c r="E36" s="58"/>
      <c r="F36" s="58" t="s">
        <v>235</v>
      </c>
      <c r="G36" s="89">
        <v>15</v>
      </c>
      <c r="H36" s="89">
        <v>1</v>
      </c>
      <c r="I36" s="141">
        <v>1200000</v>
      </c>
      <c r="J36" s="111">
        <f>Table7[[#This Row],[ĐƠN GIÁ ]]*Table7[[#This Row],[SỐ LƯỢNG ]]</f>
        <v>1200000</v>
      </c>
      <c r="K36" s="111">
        <f>+Table7[[#This Row],[THÀNH TIỀN ]]*10%</f>
        <v>120000</v>
      </c>
    </row>
    <row r="37" spans="1:11" s="44" customFormat="1">
      <c r="A37" s="68">
        <v>43168</v>
      </c>
      <c r="B37" s="58" t="s">
        <v>441</v>
      </c>
      <c r="C37" s="58" t="s">
        <v>231</v>
      </c>
      <c r="D37" s="58" t="s">
        <v>249</v>
      </c>
      <c r="E37" s="58"/>
      <c r="F37" s="58" t="s">
        <v>250</v>
      </c>
      <c r="G37" s="89">
        <v>15</v>
      </c>
      <c r="H37" s="89">
        <v>1</v>
      </c>
      <c r="I37" s="141">
        <v>1200000</v>
      </c>
      <c r="J37" s="111">
        <f>Table7[[#This Row],[ĐƠN GIÁ ]]*Table7[[#This Row],[SỐ LƯỢNG ]]</f>
        <v>1200000</v>
      </c>
      <c r="K37" s="111">
        <f>+Table7[[#This Row],[THÀNH TIỀN ]]*10%</f>
        <v>120000</v>
      </c>
    </row>
    <row r="38" spans="1:11" s="44" customFormat="1">
      <c r="A38" s="68">
        <v>43168</v>
      </c>
      <c r="B38" s="58" t="s">
        <v>441</v>
      </c>
      <c r="C38" s="58" t="s">
        <v>231</v>
      </c>
      <c r="D38" s="58" t="s">
        <v>245</v>
      </c>
      <c r="E38" s="58"/>
      <c r="F38" s="58" t="s">
        <v>235</v>
      </c>
      <c r="G38" s="89">
        <v>14.5</v>
      </c>
      <c r="H38" s="89">
        <v>1</v>
      </c>
      <c r="I38" s="141">
        <v>1200000</v>
      </c>
      <c r="J38" s="111">
        <f>Table7[[#This Row],[ĐƠN GIÁ ]]*Table7[[#This Row],[SỐ LƯỢNG ]]</f>
        <v>1200000</v>
      </c>
      <c r="K38" s="111">
        <f>+Table7[[#This Row],[THÀNH TIỀN ]]*10%</f>
        <v>120000</v>
      </c>
    </row>
    <row r="39" spans="1:11" s="44" customFormat="1">
      <c r="A39" s="68">
        <v>43169</v>
      </c>
      <c r="B39" s="58" t="s">
        <v>441</v>
      </c>
      <c r="C39" s="58" t="s">
        <v>231</v>
      </c>
      <c r="D39" s="58" t="s">
        <v>245</v>
      </c>
      <c r="E39" s="58"/>
      <c r="F39" s="58" t="s">
        <v>235</v>
      </c>
      <c r="G39" s="89">
        <v>29</v>
      </c>
      <c r="H39" s="89">
        <v>2</v>
      </c>
      <c r="I39" s="141">
        <v>1200000</v>
      </c>
      <c r="J39" s="111">
        <f>Table7[[#This Row],[ĐƠN GIÁ ]]*Table7[[#This Row],[SỐ LƯỢNG ]]</f>
        <v>2400000</v>
      </c>
      <c r="K39" s="111">
        <f>+Table7[[#This Row],[THÀNH TIỀN ]]*10%</f>
        <v>240000</v>
      </c>
    </row>
    <row r="40" spans="1:11" s="44" customFormat="1">
      <c r="A40" s="68">
        <v>43169</v>
      </c>
      <c r="B40" s="58" t="s">
        <v>441</v>
      </c>
      <c r="C40" s="58" t="s">
        <v>236</v>
      </c>
      <c r="D40" s="58" t="s">
        <v>246</v>
      </c>
      <c r="E40" s="58" t="s">
        <v>238</v>
      </c>
      <c r="F40" s="58"/>
      <c r="G40" s="89"/>
      <c r="H40" s="89">
        <v>12</v>
      </c>
      <c r="I40" s="141">
        <v>190000</v>
      </c>
      <c r="J40" s="111">
        <f>Table7[[#This Row],[ĐƠN GIÁ ]]*Table7[[#This Row],[SỐ LƯỢNG ]]</f>
        <v>2280000</v>
      </c>
      <c r="K40" s="111">
        <f>+Table7[[#This Row],[THÀNH TIỀN ]]*10%</f>
        <v>228000</v>
      </c>
    </row>
    <row r="41" spans="1:11" s="44" customFormat="1">
      <c r="A41" s="68">
        <v>43170</v>
      </c>
      <c r="B41" s="58" t="s">
        <v>441</v>
      </c>
      <c r="C41" s="58" t="s">
        <v>257</v>
      </c>
      <c r="D41" s="58" t="s">
        <v>249</v>
      </c>
      <c r="E41" s="58"/>
      <c r="F41" s="58" t="s">
        <v>235</v>
      </c>
      <c r="G41" s="89">
        <v>14</v>
      </c>
      <c r="H41" s="89">
        <v>1</v>
      </c>
      <c r="I41" s="141">
        <v>1200000</v>
      </c>
      <c r="J41" s="111">
        <f>Table7[[#This Row],[ĐƠN GIÁ ]]*Table7[[#This Row],[SỐ LƯỢNG ]]</f>
        <v>1200000</v>
      </c>
      <c r="K41" s="111">
        <f>+Table7[[#This Row],[THÀNH TIỀN ]]*10%</f>
        <v>120000</v>
      </c>
    </row>
    <row r="42" spans="1:11" s="44" customFormat="1">
      <c r="A42" s="68">
        <v>43170</v>
      </c>
      <c r="B42" s="58" t="s">
        <v>441</v>
      </c>
      <c r="C42" s="58" t="s">
        <v>257</v>
      </c>
      <c r="D42" s="58" t="s">
        <v>245</v>
      </c>
      <c r="E42" s="58"/>
      <c r="F42" s="58" t="s">
        <v>235</v>
      </c>
      <c r="G42" s="89">
        <v>12.5</v>
      </c>
      <c r="H42" s="89">
        <v>1</v>
      </c>
      <c r="I42" s="141">
        <v>1000000</v>
      </c>
      <c r="J42" s="111">
        <f>Table7[[#This Row],[ĐƠN GIÁ ]]*Table7[[#This Row],[SỐ LƯỢNG ]]</f>
        <v>1000000</v>
      </c>
      <c r="K42" s="111">
        <f>+Table7[[#This Row],[THÀNH TIỀN ]]*10%</f>
        <v>100000</v>
      </c>
    </row>
    <row r="43" spans="1:11" s="44" customFormat="1">
      <c r="A43" s="68">
        <v>43170</v>
      </c>
      <c r="B43" s="58" t="s">
        <v>441</v>
      </c>
      <c r="C43" s="58" t="s">
        <v>236</v>
      </c>
      <c r="D43" s="58" t="s">
        <v>246</v>
      </c>
      <c r="E43" s="58" t="s">
        <v>238</v>
      </c>
      <c r="F43" s="58"/>
      <c r="G43" s="89"/>
      <c r="H43" s="89">
        <v>11</v>
      </c>
      <c r="I43" s="141">
        <v>190000</v>
      </c>
      <c r="J43" s="111">
        <f>Table7[[#This Row],[ĐƠN GIÁ ]]*Table7[[#This Row],[SỐ LƯỢNG ]]</f>
        <v>2090000</v>
      </c>
      <c r="K43" s="111">
        <f>+Table7[[#This Row],[THÀNH TIỀN ]]*10%</f>
        <v>209000</v>
      </c>
    </row>
    <row r="44" spans="1:11" s="44" customFormat="1">
      <c r="A44" s="68">
        <v>43171</v>
      </c>
      <c r="B44" s="58" t="s">
        <v>441</v>
      </c>
      <c r="C44" s="58" t="s">
        <v>421</v>
      </c>
      <c r="D44" s="58" t="s">
        <v>442</v>
      </c>
      <c r="E44" s="58" t="s">
        <v>238</v>
      </c>
      <c r="F44" s="58"/>
      <c r="G44" s="89"/>
      <c r="H44" s="89">
        <v>1</v>
      </c>
      <c r="I44" s="141"/>
      <c r="J44" s="111">
        <f>Table7[[#This Row],[ĐƠN GIÁ ]]*Table7[[#This Row],[SỐ LƯỢNG ]]</f>
        <v>0</v>
      </c>
      <c r="K44" s="111">
        <f>+Table7[[#This Row],[THÀNH TIỀN ]]*10%</f>
        <v>0</v>
      </c>
    </row>
    <row r="45" spans="1:11" s="44" customFormat="1">
      <c r="A45" s="68">
        <v>43171</v>
      </c>
      <c r="B45" s="58" t="s">
        <v>441</v>
      </c>
      <c r="C45" s="58" t="s">
        <v>421</v>
      </c>
      <c r="D45" s="58" t="s">
        <v>443</v>
      </c>
      <c r="E45" s="58" t="s">
        <v>238</v>
      </c>
      <c r="F45" s="58"/>
      <c r="G45" s="89"/>
      <c r="H45" s="89">
        <v>2</v>
      </c>
      <c r="I45" s="274"/>
      <c r="J45" s="272">
        <f>Table7[[#This Row],[ĐƠN GIÁ ]]*Table7[[#This Row],[SỐ LƯỢNG ]]</f>
        <v>0</v>
      </c>
      <c r="K45" s="272">
        <f>+Table7[[#This Row],[THÀNH TIỀN ]]*10%</f>
        <v>0</v>
      </c>
    </row>
    <row r="46" spans="1:11" s="44" customFormat="1">
      <c r="A46" s="68">
        <v>43171</v>
      </c>
      <c r="B46" s="58" t="s">
        <v>441</v>
      </c>
      <c r="C46" s="58" t="s">
        <v>236</v>
      </c>
      <c r="D46" s="58" t="s">
        <v>246</v>
      </c>
      <c r="E46" s="58" t="s">
        <v>238</v>
      </c>
      <c r="F46" s="58"/>
      <c r="G46" s="89"/>
      <c r="H46" s="89">
        <v>14</v>
      </c>
      <c r="I46" s="141">
        <v>190000</v>
      </c>
      <c r="J46" s="111">
        <f>Table7[[#This Row],[ĐƠN GIÁ ]]*Table7[[#This Row],[SỐ LƯỢNG ]]</f>
        <v>2660000</v>
      </c>
      <c r="K46" s="111">
        <f>+Table7[[#This Row],[THÀNH TIỀN ]]*10%</f>
        <v>266000</v>
      </c>
    </row>
    <row r="47" spans="1:11" s="44" customFormat="1">
      <c r="A47" s="68">
        <v>43172</v>
      </c>
      <c r="B47" s="58" t="s">
        <v>441</v>
      </c>
      <c r="C47" s="58" t="s">
        <v>372</v>
      </c>
      <c r="D47" s="58" t="s">
        <v>245</v>
      </c>
      <c r="E47" s="58"/>
      <c r="F47" s="58" t="s">
        <v>235</v>
      </c>
      <c r="G47" s="89">
        <v>57.2</v>
      </c>
      <c r="H47" s="89">
        <v>4</v>
      </c>
      <c r="I47" s="141">
        <v>1200000</v>
      </c>
      <c r="J47" s="111">
        <f>Table7[[#This Row],[ĐƠN GIÁ ]]*Table7[[#This Row],[SỐ LƯỢNG ]]</f>
        <v>4800000</v>
      </c>
      <c r="K47" s="111">
        <f>+Table7[[#This Row],[THÀNH TIỀN ]]*10%</f>
        <v>480000</v>
      </c>
    </row>
    <row r="48" spans="1:11" s="44" customFormat="1">
      <c r="A48" s="68">
        <v>43173</v>
      </c>
      <c r="B48" s="58" t="s">
        <v>441</v>
      </c>
      <c r="C48" s="58" t="s">
        <v>253</v>
      </c>
      <c r="D48" s="58" t="s">
        <v>444</v>
      </c>
      <c r="E48" s="58" t="s">
        <v>238</v>
      </c>
      <c r="F48" s="58"/>
      <c r="G48" s="89"/>
      <c r="H48" s="89">
        <v>2</v>
      </c>
      <c r="I48" s="141">
        <v>350000</v>
      </c>
      <c r="J48" s="111">
        <f>Table7[[#This Row],[ĐƠN GIÁ ]]*Table7[[#This Row],[SỐ LƯỢNG ]]</f>
        <v>700000</v>
      </c>
      <c r="K48" s="111">
        <f>+Table7[[#This Row],[THÀNH TIỀN ]]*10%</f>
        <v>70000</v>
      </c>
    </row>
    <row r="49" spans="1:11" s="44" customFormat="1">
      <c r="A49" s="68">
        <v>43173</v>
      </c>
      <c r="B49" s="58" t="s">
        <v>441</v>
      </c>
      <c r="C49" s="58" t="s">
        <v>251</v>
      </c>
      <c r="D49" s="58" t="s">
        <v>264</v>
      </c>
      <c r="E49" s="58" t="s">
        <v>238</v>
      </c>
      <c r="F49" s="58"/>
      <c r="G49" s="89"/>
      <c r="H49" s="89">
        <v>7</v>
      </c>
      <c r="I49" s="141">
        <v>230000</v>
      </c>
      <c r="J49" s="111">
        <f>Table7[[#This Row],[ĐƠN GIÁ ]]*Table7[[#This Row],[SỐ LƯỢNG ]]</f>
        <v>1610000</v>
      </c>
      <c r="K49" s="111">
        <f>+Table7[[#This Row],[THÀNH TIỀN ]]*10%</f>
        <v>161000</v>
      </c>
    </row>
    <row r="50" spans="1:11" s="44" customFormat="1">
      <c r="A50" s="68">
        <v>43173</v>
      </c>
      <c r="B50" s="58" t="s">
        <v>441</v>
      </c>
      <c r="C50" s="58" t="s">
        <v>251</v>
      </c>
      <c r="D50" s="58" t="s">
        <v>244</v>
      </c>
      <c r="E50" s="58" t="s">
        <v>238</v>
      </c>
      <c r="F50" s="58"/>
      <c r="G50" s="89"/>
      <c r="H50" s="89">
        <v>1</v>
      </c>
      <c r="I50" s="141">
        <v>180000</v>
      </c>
      <c r="J50" s="111">
        <f>Table7[[#This Row],[ĐƠN GIÁ ]]*Table7[[#This Row],[SỐ LƯỢNG ]]</f>
        <v>180000</v>
      </c>
      <c r="K50" s="111">
        <f>+Table7[[#This Row],[THÀNH TIỀN ]]*10%</f>
        <v>18000</v>
      </c>
    </row>
    <row r="51" spans="1:11" s="44" customFormat="1">
      <c r="A51" s="68">
        <v>43173</v>
      </c>
      <c r="B51" s="58" t="s">
        <v>441</v>
      </c>
      <c r="C51" s="58" t="s">
        <v>257</v>
      </c>
      <c r="D51" s="58" t="s">
        <v>245</v>
      </c>
      <c r="E51" s="58"/>
      <c r="F51" s="58" t="s">
        <v>235</v>
      </c>
      <c r="G51" s="89">
        <v>13.5</v>
      </c>
      <c r="H51" s="89">
        <v>1</v>
      </c>
      <c r="I51" s="141">
        <v>1100000</v>
      </c>
      <c r="J51" s="111">
        <f>Table7[[#This Row],[ĐƠN GIÁ ]]*Table7[[#This Row],[SỐ LƯỢNG ]]</f>
        <v>1100000</v>
      </c>
      <c r="K51" s="111">
        <f>+Table7[[#This Row],[THÀNH TIỀN ]]*10%</f>
        <v>110000</v>
      </c>
    </row>
    <row r="52" spans="1:11" s="44" customFormat="1">
      <c r="A52" s="68">
        <v>43174</v>
      </c>
      <c r="B52" s="58" t="s">
        <v>441</v>
      </c>
      <c r="C52" s="58" t="s">
        <v>231</v>
      </c>
      <c r="D52" s="58" t="s">
        <v>245</v>
      </c>
      <c r="E52" s="58"/>
      <c r="F52" s="58" t="s">
        <v>235</v>
      </c>
      <c r="G52" s="89">
        <v>14.5</v>
      </c>
      <c r="H52" s="89">
        <v>1</v>
      </c>
      <c r="I52" s="141">
        <v>1200000</v>
      </c>
      <c r="J52" s="111">
        <f>Table7[[#This Row],[ĐƠN GIÁ ]]*Table7[[#This Row],[SỐ LƯỢNG ]]</f>
        <v>1200000</v>
      </c>
      <c r="K52" s="111">
        <f>+Table7[[#This Row],[THÀNH TIỀN ]]*10%</f>
        <v>120000</v>
      </c>
    </row>
    <row r="53" spans="1:11" s="57" customFormat="1">
      <c r="A53" s="68">
        <v>43174</v>
      </c>
      <c r="B53" s="58" t="s">
        <v>441</v>
      </c>
      <c r="C53" s="58" t="s">
        <v>236</v>
      </c>
      <c r="D53" s="58" t="s">
        <v>349</v>
      </c>
      <c r="E53" s="58" t="s">
        <v>238</v>
      </c>
      <c r="F53" s="58"/>
      <c r="G53" s="89"/>
      <c r="H53" s="89">
        <v>17</v>
      </c>
      <c r="I53" s="141">
        <v>200000</v>
      </c>
      <c r="J53" s="111">
        <f>Table7[[#This Row],[ĐƠN GIÁ ]]*Table7[[#This Row],[SỐ LƯỢNG ]]</f>
        <v>3400000</v>
      </c>
      <c r="K53" s="111">
        <f>+Table7[[#This Row],[THÀNH TIỀN ]]*10%</f>
        <v>340000</v>
      </c>
    </row>
    <row r="54" spans="1:11" s="57" customFormat="1">
      <c r="A54" s="68">
        <v>43175</v>
      </c>
      <c r="B54" s="58" t="s">
        <v>441</v>
      </c>
      <c r="C54" s="58" t="s">
        <v>231</v>
      </c>
      <c r="D54" s="58" t="s">
        <v>232</v>
      </c>
      <c r="E54" s="58"/>
      <c r="F54" s="58" t="s">
        <v>233</v>
      </c>
      <c r="G54" s="89">
        <v>14.09</v>
      </c>
      <c r="H54" s="89">
        <v>1</v>
      </c>
      <c r="I54" s="139">
        <v>1000000</v>
      </c>
      <c r="J54" s="111">
        <f>Table7[[#This Row],[ĐƠN GIÁ ]]*Table7[[#This Row],[SỐ LƯỢNG ]]</f>
        <v>1000000</v>
      </c>
      <c r="K54" s="111">
        <f>+Table7[[#This Row],[THÀNH TIỀN ]]*10%</f>
        <v>100000</v>
      </c>
    </row>
    <row r="55" spans="1:11" s="57" customFormat="1">
      <c r="A55" s="68">
        <v>43175</v>
      </c>
      <c r="B55" s="58" t="s">
        <v>441</v>
      </c>
      <c r="C55" s="58" t="s">
        <v>236</v>
      </c>
      <c r="D55" s="58" t="s">
        <v>260</v>
      </c>
      <c r="E55" s="58" t="s">
        <v>238</v>
      </c>
      <c r="F55" s="58"/>
      <c r="G55" s="89"/>
      <c r="H55" s="89">
        <v>10</v>
      </c>
      <c r="I55" s="141">
        <v>200000</v>
      </c>
      <c r="J55" s="111">
        <f>Table7[[#This Row],[ĐƠN GIÁ ]]*Table7[[#This Row],[SỐ LƯỢNG ]]</f>
        <v>2000000</v>
      </c>
      <c r="K55" s="111">
        <f>+Table7[[#This Row],[THÀNH TIỀN ]]*10%</f>
        <v>200000</v>
      </c>
    </row>
    <row r="56" spans="1:11" s="57" customFormat="1">
      <c r="A56" s="68">
        <v>43176</v>
      </c>
      <c r="B56" s="58" t="s">
        <v>441</v>
      </c>
      <c r="C56" s="58" t="s">
        <v>351</v>
      </c>
      <c r="D56" s="58" t="s">
        <v>260</v>
      </c>
      <c r="E56" s="58" t="s">
        <v>238</v>
      </c>
      <c r="F56" s="58"/>
      <c r="G56" s="89"/>
      <c r="H56" s="89">
        <v>9</v>
      </c>
      <c r="I56" s="141">
        <v>220000</v>
      </c>
      <c r="J56" s="111">
        <f>Table7[[#This Row],[ĐƠN GIÁ ]]*Table7[[#This Row],[SỐ LƯỢNG ]]</f>
        <v>1980000</v>
      </c>
      <c r="K56" s="111">
        <f>+Table7[[#This Row],[THÀNH TIỀN ]]*10%</f>
        <v>198000</v>
      </c>
    </row>
    <row r="57" spans="1:11" s="57" customFormat="1">
      <c r="A57" s="68">
        <v>43177</v>
      </c>
      <c r="B57" s="58" t="s">
        <v>441</v>
      </c>
      <c r="C57" s="58" t="s">
        <v>351</v>
      </c>
      <c r="D57" s="58" t="s">
        <v>266</v>
      </c>
      <c r="E57" s="58" t="s">
        <v>238</v>
      </c>
      <c r="F57" s="58"/>
      <c r="G57" s="89"/>
      <c r="H57" s="89">
        <v>3</v>
      </c>
      <c r="I57" s="141">
        <v>220000</v>
      </c>
      <c r="J57" s="111">
        <f>Table7[[#This Row],[ĐƠN GIÁ ]]*Table7[[#This Row],[SỐ LƯỢNG ]]</f>
        <v>660000</v>
      </c>
      <c r="K57" s="111">
        <f>+Table7[[#This Row],[THÀNH TIỀN ]]*10%</f>
        <v>66000</v>
      </c>
    </row>
    <row r="58" spans="1:11" s="57" customFormat="1">
      <c r="A58" s="68">
        <v>43178</v>
      </c>
      <c r="B58" s="58" t="s">
        <v>441</v>
      </c>
      <c r="C58" s="58" t="s">
        <v>388</v>
      </c>
      <c r="D58" s="58" t="s">
        <v>266</v>
      </c>
      <c r="E58" s="58" t="s">
        <v>238</v>
      </c>
      <c r="F58" s="58"/>
      <c r="G58" s="89"/>
      <c r="H58" s="89">
        <v>5</v>
      </c>
      <c r="I58" s="141">
        <v>180000</v>
      </c>
      <c r="J58" s="111">
        <f>Table7[[#This Row],[ĐƠN GIÁ ]]*Table7[[#This Row],[SỐ LƯỢNG ]]</f>
        <v>900000</v>
      </c>
      <c r="K58" s="111">
        <f>+Table7[[#This Row],[THÀNH TIỀN ]]*10%</f>
        <v>90000</v>
      </c>
    </row>
    <row r="59" spans="1:11" s="57" customFormat="1">
      <c r="A59" s="68">
        <v>43178</v>
      </c>
      <c r="B59" s="58" t="s">
        <v>441</v>
      </c>
      <c r="C59" s="58" t="s">
        <v>231</v>
      </c>
      <c r="D59" s="58" t="s">
        <v>232</v>
      </c>
      <c r="E59" s="58"/>
      <c r="F59" s="58" t="s">
        <v>235</v>
      </c>
      <c r="G59" s="89">
        <v>26.29</v>
      </c>
      <c r="H59" s="89">
        <v>2</v>
      </c>
      <c r="I59" s="139">
        <v>1000000</v>
      </c>
      <c r="J59" s="111">
        <f>Table7[[#This Row],[ĐƠN GIÁ ]]*Table7[[#This Row],[SỐ LƯỢNG ]]</f>
        <v>2000000</v>
      </c>
      <c r="K59" s="111">
        <f>+Table7[[#This Row],[THÀNH TIỀN ]]*10%</f>
        <v>200000</v>
      </c>
    </row>
    <row r="60" spans="1:11" s="59" customFormat="1">
      <c r="A60" s="68">
        <v>43178</v>
      </c>
      <c r="B60" s="58" t="s">
        <v>441</v>
      </c>
      <c r="C60" s="58" t="s">
        <v>231</v>
      </c>
      <c r="D60" s="58" t="s">
        <v>232</v>
      </c>
      <c r="E60" s="58"/>
      <c r="F60" s="58" t="s">
        <v>233</v>
      </c>
      <c r="G60" s="89">
        <v>14.6</v>
      </c>
      <c r="H60" s="89">
        <v>1</v>
      </c>
      <c r="I60" s="139">
        <v>1000000</v>
      </c>
      <c r="J60" s="111">
        <f>Table7[[#This Row],[ĐƠN GIÁ ]]*Table7[[#This Row],[SỐ LƯỢNG ]]</f>
        <v>1000000</v>
      </c>
      <c r="K60" s="111">
        <f>+Table7[[#This Row],[THÀNH TIỀN ]]*10%</f>
        <v>100000</v>
      </c>
    </row>
    <row r="61" spans="1:11" s="44" customFormat="1">
      <c r="A61" s="68">
        <v>43179</v>
      </c>
      <c r="B61" s="58" t="s">
        <v>441</v>
      </c>
      <c r="C61" s="58" t="s">
        <v>353</v>
      </c>
      <c r="D61" s="58" t="s">
        <v>266</v>
      </c>
      <c r="E61" s="58" t="s">
        <v>238</v>
      </c>
      <c r="F61" s="58"/>
      <c r="G61" s="89"/>
      <c r="H61" s="89">
        <v>6</v>
      </c>
      <c r="I61" s="141">
        <v>230000</v>
      </c>
      <c r="J61" s="111">
        <f>Table7[[#This Row],[ĐƠN GIÁ ]]*Table7[[#This Row],[SỐ LƯỢNG ]]</f>
        <v>1380000</v>
      </c>
      <c r="K61" s="111">
        <f>+Table7[[#This Row],[THÀNH TIỀN ]]*10%</f>
        <v>138000</v>
      </c>
    </row>
    <row r="62" spans="1:11" s="44" customFormat="1">
      <c r="A62" s="68">
        <v>43179</v>
      </c>
      <c r="B62" s="58" t="s">
        <v>441</v>
      </c>
      <c r="C62" s="58" t="s">
        <v>353</v>
      </c>
      <c r="D62" s="58" t="s">
        <v>350</v>
      </c>
      <c r="E62" s="58" t="s">
        <v>238</v>
      </c>
      <c r="F62" s="58"/>
      <c r="G62" s="89"/>
      <c r="H62" s="89">
        <v>7</v>
      </c>
      <c r="I62" s="141">
        <v>230000</v>
      </c>
      <c r="J62" s="111">
        <f>Table7[[#This Row],[ĐƠN GIÁ ]]*Table7[[#This Row],[SỐ LƯỢNG ]]</f>
        <v>1610000</v>
      </c>
      <c r="K62" s="111">
        <f>+Table7[[#This Row],[THÀNH TIỀN ]]*10%</f>
        <v>161000</v>
      </c>
    </row>
    <row r="63" spans="1:11" s="44" customFormat="1">
      <c r="A63" s="68">
        <v>43179</v>
      </c>
      <c r="B63" s="58" t="s">
        <v>441</v>
      </c>
      <c r="C63" s="58" t="s">
        <v>353</v>
      </c>
      <c r="D63" s="58" t="s">
        <v>279</v>
      </c>
      <c r="E63" s="58" t="s">
        <v>238</v>
      </c>
      <c r="F63" s="58"/>
      <c r="G63" s="89"/>
      <c r="H63" s="89">
        <v>1</v>
      </c>
      <c r="I63" s="141">
        <v>220000</v>
      </c>
      <c r="J63" s="111">
        <f>Table7[[#This Row],[ĐƠN GIÁ ]]*Table7[[#This Row],[SỐ LƯỢNG ]]</f>
        <v>220000</v>
      </c>
      <c r="K63" s="111">
        <f>+Table7[[#This Row],[THÀNH TIỀN ]]*10%</f>
        <v>22000</v>
      </c>
    </row>
    <row r="64" spans="1:11" s="44" customFormat="1">
      <c r="A64" s="68">
        <v>43181</v>
      </c>
      <c r="B64" s="58" t="s">
        <v>441</v>
      </c>
      <c r="C64" s="58" t="s">
        <v>231</v>
      </c>
      <c r="D64" s="58" t="s">
        <v>249</v>
      </c>
      <c r="E64" s="58"/>
      <c r="F64" s="58" t="s">
        <v>235</v>
      </c>
      <c r="G64" s="89">
        <v>14</v>
      </c>
      <c r="H64" s="89">
        <v>1</v>
      </c>
      <c r="I64" s="141">
        <v>1200000</v>
      </c>
      <c r="J64" s="111">
        <f>Table7[[#This Row],[ĐƠN GIÁ ]]*Table7[[#This Row],[SỐ LƯỢNG ]]</f>
        <v>1200000</v>
      </c>
      <c r="K64" s="111">
        <f>+Table7[[#This Row],[THÀNH TIỀN ]]*10%</f>
        <v>120000</v>
      </c>
    </row>
    <row r="65" spans="1:11" s="44" customFormat="1">
      <c r="A65" s="68">
        <v>43182</v>
      </c>
      <c r="B65" s="58" t="s">
        <v>441</v>
      </c>
      <c r="C65" s="58" t="s">
        <v>351</v>
      </c>
      <c r="D65" s="58" t="s">
        <v>260</v>
      </c>
      <c r="E65" s="58" t="s">
        <v>238</v>
      </c>
      <c r="F65" s="58"/>
      <c r="G65" s="89"/>
      <c r="H65" s="89">
        <v>4</v>
      </c>
      <c r="I65" s="141">
        <v>220000</v>
      </c>
      <c r="J65" s="111">
        <f>Table7[[#This Row],[ĐƠN GIÁ ]]*Table7[[#This Row],[SỐ LƯỢNG ]]</f>
        <v>880000</v>
      </c>
      <c r="K65" s="111">
        <f>+Table7[[#This Row],[THÀNH TIỀN ]]*10%</f>
        <v>88000</v>
      </c>
    </row>
    <row r="66" spans="1:11" s="44" customFormat="1">
      <c r="A66" s="68">
        <v>43183</v>
      </c>
      <c r="B66" s="58" t="s">
        <v>441</v>
      </c>
      <c r="C66" s="58" t="s">
        <v>351</v>
      </c>
      <c r="D66" s="58" t="s">
        <v>355</v>
      </c>
      <c r="E66" s="58" t="s">
        <v>238</v>
      </c>
      <c r="F66" s="58"/>
      <c r="G66" s="89"/>
      <c r="H66" s="89">
        <v>10</v>
      </c>
      <c r="I66" s="141">
        <v>220000</v>
      </c>
      <c r="J66" s="111">
        <f>Table7[[#This Row],[ĐƠN GIÁ ]]*Table7[[#This Row],[SỐ LƯỢNG ]]</f>
        <v>2200000</v>
      </c>
      <c r="K66" s="111">
        <f>+Table7[[#This Row],[THÀNH TIỀN ]]*10%</f>
        <v>220000</v>
      </c>
    </row>
    <row r="67" spans="1:11" s="44" customFormat="1">
      <c r="A67" s="68">
        <v>43183</v>
      </c>
      <c r="B67" s="58" t="s">
        <v>441</v>
      </c>
      <c r="C67" s="58" t="s">
        <v>445</v>
      </c>
      <c r="D67" s="58" t="s">
        <v>244</v>
      </c>
      <c r="E67" s="58" t="s">
        <v>238</v>
      </c>
      <c r="F67" s="58"/>
      <c r="G67" s="89"/>
      <c r="H67" s="89">
        <v>2</v>
      </c>
      <c r="I67" s="141">
        <v>180000</v>
      </c>
      <c r="J67" s="111">
        <f>Table7[[#This Row],[ĐƠN GIÁ ]]*Table7[[#This Row],[SỐ LƯỢNG ]]</f>
        <v>360000</v>
      </c>
      <c r="K67" s="111">
        <f>+Table7[[#This Row],[THÀNH TIỀN ]]*10%</f>
        <v>36000</v>
      </c>
    </row>
    <row r="68" spans="1:11" s="44" customFormat="1">
      <c r="A68" s="68">
        <v>43183</v>
      </c>
      <c r="B68" s="58" t="s">
        <v>441</v>
      </c>
      <c r="C68" s="58" t="s">
        <v>445</v>
      </c>
      <c r="D68" s="58" t="s">
        <v>393</v>
      </c>
      <c r="E68" s="58" t="s">
        <v>238</v>
      </c>
      <c r="F68" s="58"/>
      <c r="G68" s="89"/>
      <c r="H68" s="89">
        <v>2</v>
      </c>
      <c r="I68" s="141">
        <v>180000</v>
      </c>
      <c r="J68" s="111">
        <f>Table7[[#This Row],[ĐƠN GIÁ ]]*Table7[[#This Row],[SỐ LƯỢNG ]]</f>
        <v>360000</v>
      </c>
      <c r="K68" s="111">
        <f>+Table7[[#This Row],[THÀNH TIỀN ]]*10%</f>
        <v>36000</v>
      </c>
    </row>
    <row r="69" spans="1:11" s="44" customFormat="1">
      <c r="A69" s="68">
        <v>43185</v>
      </c>
      <c r="B69" s="58" t="s">
        <v>441</v>
      </c>
      <c r="C69" s="58" t="s">
        <v>257</v>
      </c>
      <c r="D69" s="58" t="s">
        <v>269</v>
      </c>
      <c r="E69" s="58"/>
      <c r="F69" s="58" t="s">
        <v>270</v>
      </c>
      <c r="G69" s="89">
        <v>47.88</v>
      </c>
      <c r="H69" s="89">
        <v>3</v>
      </c>
      <c r="I69" s="141">
        <v>800000</v>
      </c>
      <c r="J69" s="111">
        <f>Table7[[#This Row],[ĐƠN GIÁ ]]*Table7[[#This Row],[SỐ LƯỢNG ]]</f>
        <v>2400000</v>
      </c>
      <c r="K69" s="111">
        <f>+Table7[[#This Row],[THÀNH TIỀN ]]*10%</f>
        <v>240000</v>
      </c>
    </row>
    <row r="70" spans="1:11" s="44" customFormat="1">
      <c r="A70" s="68">
        <v>43186</v>
      </c>
      <c r="B70" s="58" t="s">
        <v>441</v>
      </c>
      <c r="C70" s="58" t="s">
        <v>257</v>
      </c>
      <c r="D70" s="58" t="s">
        <v>269</v>
      </c>
      <c r="E70" s="58"/>
      <c r="F70" s="58" t="s">
        <v>270</v>
      </c>
      <c r="G70" s="89">
        <v>47.88</v>
      </c>
      <c r="H70" s="89">
        <v>3</v>
      </c>
      <c r="I70" s="141">
        <v>800000</v>
      </c>
      <c r="J70" s="111">
        <f>Table7[[#This Row],[ĐƠN GIÁ ]]*Table7[[#This Row],[SỐ LƯỢNG ]]</f>
        <v>2400000</v>
      </c>
      <c r="K70" s="111">
        <f>+Table7[[#This Row],[THÀNH TIỀN ]]*10%</f>
        <v>240000</v>
      </c>
    </row>
    <row r="71" spans="1:11" s="66" customFormat="1">
      <c r="A71" s="68">
        <v>43187</v>
      </c>
      <c r="B71" s="58" t="s">
        <v>441</v>
      </c>
      <c r="C71" s="58" t="s">
        <v>257</v>
      </c>
      <c r="D71" s="58" t="s">
        <v>269</v>
      </c>
      <c r="E71" s="58"/>
      <c r="F71" s="58" t="s">
        <v>270</v>
      </c>
      <c r="G71" s="89">
        <v>31.92</v>
      </c>
      <c r="H71" s="89">
        <v>2</v>
      </c>
      <c r="I71" s="141">
        <v>800000</v>
      </c>
      <c r="J71" s="111">
        <f>Table7[[#This Row],[ĐƠN GIÁ ]]*Table7[[#This Row],[SỐ LƯỢNG ]]</f>
        <v>1600000</v>
      </c>
      <c r="K71" s="111">
        <f>+Table7[[#This Row],[THÀNH TIỀN ]]*10%</f>
        <v>160000</v>
      </c>
    </row>
    <row r="72" spans="1:11" s="44" customFormat="1">
      <c r="A72" s="68">
        <v>43187</v>
      </c>
      <c r="B72" s="58" t="s">
        <v>441</v>
      </c>
      <c r="C72" s="58" t="s">
        <v>275</v>
      </c>
      <c r="D72" s="58" t="s">
        <v>269</v>
      </c>
      <c r="E72" s="58"/>
      <c r="F72" s="58" t="s">
        <v>500</v>
      </c>
      <c r="G72" s="89"/>
      <c r="H72" s="89">
        <v>14</v>
      </c>
      <c r="I72" s="141">
        <v>100000</v>
      </c>
      <c r="J72" s="111">
        <f>Table7[[#This Row],[ĐƠN GIÁ ]]*Table7[[#This Row],[SỐ LƯỢNG ]]</f>
        <v>1400000</v>
      </c>
      <c r="K72" s="111">
        <f>+Table7[[#This Row],[THÀNH TIỀN ]]*10%</f>
        <v>140000</v>
      </c>
    </row>
    <row r="73" spans="1:11" s="44" customFormat="1">
      <c r="A73" s="68">
        <v>43188</v>
      </c>
      <c r="B73" s="58" t="s">
        <v>441</v>
      </c>
      <c r="C73" s="58" t="s">
        <v>257</v>
      </c>
      <c r="D73" s="58" t="s">
        <v>269</v>
      </c>
      <c r="E73" s="58"/>
      <c r="F73" s="58" t="s">
        <v>270</v>
      </c>
      <c r="G73" s="89">
        <v>79.8</v>
      </c>
      <c r="H73" s="89">
        <v>5</v>
      </c>
      <c r="I73" s="141">
        <v>800000</v>
      </c>
      <c r="J73" s="111">
        <f>Table7[[#This Row],[ĐƠN GIÁ ]]*Table7[[#This Row],[SỐ LƯỢNG ]]</f>
        <v>4000000</v>
      </c>
      <c r="K73" s="111">
        <f>+Table7[[#This Row],[THÀNH TIỀN ]]*10%</f>
        <v>400000</v>
      </c>
    </row>
    <row r="74" spans="1:11" s="44" customFormat="1">
      <c r="A74" s="68">
        <v>43189</v>
      </c>
      <c r="B74" s="58" t="s">
        <v>441</v>
      </c>
      <c r="C74" s="115" t="s">
        <v>257</v>
      </c>
      <c r="D74" s="115" t="s">
        <v>269</v>
      </c>
      <c r="E74" s="58"/>
      <c r="F74" s="58" t="s">
        <v>270</v>
      </c>
      <c r="G74" s="89">
        <v>58</v>
      </c>
      <c r="H74" s="89">
        <v>4</v>
      </c>
      <c r="I74" s="142">
        <v>800000</v>
      </c>
      <c r="J74" s="111">
        <f>Table7[[#This Row],[ĐƠN GIÁ ]]*Table7[[#This Row],[SỐ LƯỢNG ]]</f>
        <v>3200000</v>
      </c>
      <c r="K74" s="111">
        <f>+Table7[[#This Row],[THÀNH TIỀN ]]*10%</f>
        <v>320000</v>
      </c>
    </row>
    <row r="75" spans="1:11" s="44" customFormat="1">
      <c r="A75" s="152">
        <v>43190</v>
      </c>
      <c r="B75" s="115" t="s">
        <v>441</v>
      </c>
      <c r="C75" s="115" t="s">
        <v>231</v>
      </c>
      <c r="D75" s="115" t="s">
        <v>245</v>
      </c>
      <c r="E75" s="115"/>
      <c r="F75" s="116" t="s">
        <v>235</v>
      </c>
      <c r="G75" s="140">
        <v>15.2</v>
      </c>
      <c r="H75" s="142">
        <v>1</v>
      </c>
      <c r="I75" s="141">
        <v>1200000</v>
      </c>
      <c r="J75" s="111">
        <f>Table7[[#This Row],[ĐƠN GIÁ ]]*Table7[[#This Row],[SỐ LƯỢNG ]]</f>
        <v>1200000</v>
      </c>
      <c r="K75" s="117">
        <f>+Table7[[#This Row],[THÀNH TIỀN ]]*10%</f>
        <v>120000</v>
      </c>
    </row>
    <row r="76" spans="1:11" s="44" customFormat="1">
      <c r="A76" s="152"/>
      <c r="B76" s="115"/>
      <c r="C76" s="115"/>
      <c r="D76" s="115"/>
      <c r="E76" s="115"/>
      <c r="F76" s="115"/>
      <c r="G76" s="153"/>
      <c r="H76" s="153">
        <f>SUM(H11:H75)</f>
        <v>262</v>
      </c>
      <c r="I76" s="154"/>
      <c r="J76" s="155">
        <f>SUBTOTAL(109,[[THÀNH TIỀN ]])</f>
        <v>92210000</v>
      </c>
      <c r="K76" s="155">
        <f>SUBTOTAL(109,[LTX])</f>
        <v>9221000</v>
      </c>
    </row>
    <row r="77" spans="1:11" s="44" customFormat="1">
      <c r="A77" s="57"/>
      <c r="B77" s="57"/>
      <c r="C77" s="57"/>
      <c r="D77" s="57"/>
      <c r="E77" s="57"/>
      <c r="F77" s="57"/>
      <c r="G77" s="57"/>
      <c r="H77" s="178"/>
      <c r="I77" s="57"/>
      <c r="J77" s="156"/>
      <c r="K77" s="57"/>
    </row>
    <row r="78" spans="1:11" s="44" customFormat="1">
      <c r="A78" s="57"/>
      <c r="B78" s="57"/>
      <c r="C78" s="57"/>
      <c r="D78" s="57"/>
      <c r="E78" s="57"/>
      <c r="F78" s="57"/>
      <c r="G78" s="57"/>
      <c r="H78" s="178"/>
      <c r="I78" s="57"/>
      <c r="J78" s="156"/>
      <c r="K78" s="57"/>
    </row>
    <row r="79" spans="1:11" s="44" customFormat="1">
      <c r="A79" s="57"/>
      <c r="B79" s="57"/>
      <c r="C79" s="57"/>
      <c r="D79" s="57"/>
      <c r="E79" s="57"/>
      <c r="F79" s="57"/>
      <c r="G79" s="57"/>
      <c r="H79" s="178"/>
      <c r="I79" s="57"/>
      <c r="J79" s="156"/>
      <c r="K79" s="57"/>
    </row>
    <row r="80" spans="1:11" s="44" customFormat="1">
      <c r="A80" s="57"/>
      <c r="B80" s="57"/>
      <c r="C80" s="57"/>
      <c r="D80" s="57"/>
      <c r="E80" s="57"/>
      <c r="F80" s="57"/>
      <c r="G80" s="57"/>
      <c r="H80" s="178"/>
      <c r="I80" s="57"/>
      <c r="J80" s="156"/>
      <c r="K80" s="57"/>
    </row>
    <row r="81" spans="1:11" s="44" customFormat="1">
      <c r="A81" s="57"/>
      <c r="B81" s="57"/>
      <c r="C81" s="334" t="s">
        <v>34</v>
      </c>
      <c r="D81" s="335"/>
      <c r="E81" s="335"/>
      <c r="F81" s="335"/>
      <c r="G81" s="336"/>
      <c r="H81" s="179"/>
      <c r="I81" s="180">
        <f>+Table7[[#Totals],[THÀNH TIỀN ]]</f>
        <v>92210000</v>
      </c>
      <c r="J81" s="156"/>
      <c r="K81" s="57"/>
    </row>
    <row r="82" spans="1:11" s="44" customFormat="1">
      <c r="A82" s="57"/>
      <c r="B82" s="57"/>
      <c r="C82" s="334" t="s">
        <v>35</v>
      </c>
      <c r="D82" s="335"/>
      <c r="E82" s="335"/>
      <c r="F82" s="335"/>
      <c r="G82" s="336"/>
      <c r="H82" s="179"/>
      <c r="I82" s="180">
        <f>+Table7[[#Totals],[LTX]]</f>
        <v>9221000</v>
      </c>
      <c r="J82" s="156"/>
      <c r="K82" s="57"/>
    </row>
    <row r="83" spans="1:11" s="44" customFormat="1">
      <c r="A83" s="57"/>
      <c r="B83" s="57"/>
      <c r="C83" s="334" t="s">
        <v>36</v>
      </c>
      <c r="D83" s="335"/>
      <c r="E83" s="335"/>
      <c r="F83" s="335"/>
      <c r="G83" s="336"/>
      <c r="H83" s="179"/>
      <c r="I83" s="180">
        <v>2000000</v>
      </c>
      <c r="J83" s="156"/>
      <c r="K83" s="57"/>
    </row>
    <row r="84" spans="1:11" s="44" customFormat="1">
      <c r="A84" s="57"/>
      <c r="B84" s="57"/>
      <c r="C84" s="334" t="s">
        <v>100</v>
      </c>
      <c r="D84" s="335"/>
      <c r="E84" s="335"/>
      <c r="F84" s="335"/>
      <c r="G84" s="336"/>
      <c r="H84" s="179"/>
      <c r="I84" s="180">
        <f>+E112</f>
        <v>50000</v>
      </c>
      <c r="J84" s="156"/>
      <c r="K84" s="57"/>
    </row>
    <row r="85" spans="1:11" s="44" customFormat="1">
      <c r="A85" s="57"/>
      <c r="B85" s="57"/>
      <c r="C85" s="334" t="s">
        <v>111</v>
      </c>
      <c r="D85" s="335"/>
      <c r="E85" s="335"/>
      <c r="F85" s="335"/>
      <c r="G85" s="336"/>
      <c r="H85" s="179"/>
      <c r="I85" s="180">
        <f>J98</f>
        <v>31000000</v>
      </c>
      <c r="J85" s="156"/>
      <c r="K85" s="57"/>
    </row>
    <row r="86" spans="1:11" s="44" customFormat="1">
      <c r="A86" s="57"/>
      <c r="B86" s="57"/>
      <c r="C86" s="334" t="s">
        <v>173</v>
      </c>
      <c r="D86" s="335"/>
      <c r="E86" s="335"/>
      <c r="F86" s="335"/>
      <c r="G86" s="336"/>
      <c r="H86" s="179"/>
      <c r="I86" s="180">
        <f>J106</f>
        <v>480000</v>
      </c>
      <c r="J86" s="156"/>
      <c r="K86" s="57"/>
    </row>
    <row r="87" spans="1:11" s="44" customFormat="1">
      <c r="A87" s="57"/>
      <c r="B87" s="57"/>
      <c r="C87" s="334" t="s">
        <v>112</v>
      </c>
      <c r="D87" s="335"/>
      <c r="E87" s="335"/>
      <c r="F87" s="335"/>
      <c r="G87" s="336"/>
      <c r="H87" s="179"/>
      <c r="I87" s="180"/>
      <c r="J87" s="181"/>
      <c r="K87" s="57"/>
    </row>
    <row r="88" spans="1:11" s="44" customFormat="1">
      <c r="A88" s="57"/>
      <c r="B88" s="57"/>
      <c r="C88" s="57"/>
      <c r="D88" s="57"/>
      <c r="E88" s="57"/>
      <c r="F88" s="57"/>
      <c r="G88" s="57"/>
      <c r="H88" s="178"/>
      <c r="I88" s="57"/>
      <c r="J88" s="156"/>
      <c r="K88" s="57"/>
    </row>
    <row r="89" spans="1:11" s="44" customFormat="1">
      <c r="A89" s="59" t="s">
        <v>169</v>
      </c>
      <c r="B89" s="59"/>
      <c r="C89" s="59"/>
      <c r="D89" s="59"/>
      <c r="E89" s="59"/>
      <c r="F89" s="59"/>
      <c r="G89" s="59"/>
      <c r="H89" s="182" t="s">
        <v>170</v>
      </c>
      <c r="I89" s="59"/>
      <c r="J89" s="181"/>
      <c r="K89" s="57"/>
    </row>
    <row r="90" spans="1:11" s="44" customFormat="1">
      <c r="A90" s="183" t="s">
        <v>211</v>
      </c>
      <c r="B90" s="348" t="s">
        <v>212</v>
      </c>
      <c r="C90" s="349"/>
      <c r="D90" s="350"/>
      <c r="E90" s="351">
        <v>2450000</v>
      </c>
      <c r="F90" s="351"/>
      <c r="G90" s="57"/>
      <c r="H90" s="89" t="s">
        <v>280</v>
      </c>
      <c r="I90" s="58" t="s">
        <v>289</v>
      </c>
      <c r="J90" s="111">
        <v>4000000</v>
      </c>
      <c r="K90" s="57"/>
    </row>
    <row r="91" spans="1:11" s="44" customFormat="1">
      <c r="A91" s="183" t="s">
        <v>211</v>
      </c>
      <c r="B91" s="348" t="s">
        <v>214</v>
      </c>
      <c r="C91" s="349"/>
      <c r="D91" s="350"/>
      <c r="E91" s="352">
        <v>255000</v>
      </c>
      <c r="F91" s="353"/>
      <c r="G91" s="57"/>
      <c r="H91" s="89" t="s">
        <v>282</v>
      </c>
      <c r="I91" s="58" t="s">
        <v>283</v>
      </c>
      <c r="J91" s="111">
        <v>4000000</v>
      </c>
      <c r="K91" s="57"/>
    </row>
    <row r="92" spans="1:11" s="44" customFormat="1">
      <c r="A92" s="183" t="s">
        <v>211</v>
      </c>
      <c r="B92" s="348" t="s">
        <v>216</v>
      </c>
      <c r="C92" s="349"/>
      <c r="D92" s="350"/>
      <c r="E92" s="352">
        <v>270000</v>
      </c>
      <c r="F92" s="353"/>
      <c r="G92" s="57"/>
      <c r="H92" s="89" t="s">
        <v>293</v>
      </c>
      <c r="I92" s="58" t="s">
        <v>283</v>
      </c>
      <c r="J92" s="111">
        <v>3000000</v>
      </c>
      <c r="K92" s="57"/>
    </row>
    <row r="93" spans="1:11" s="44" customFormat="1">
      <c r="A93" s="183" t="s">
        <v>480</v>
      </c>
      <c r="B93" s="348" t="s">
        <v>479</v>
      </c>
      <c r="C93" s="349"/>
      <c r="D93" s="349"/>
      <c r="E93" s="352">
        <v>100000</v>
      </c>
      <c r="F93" s="353"/>
      <c r="G93" s="57"/>
      <c r="H93" s="89" t="s">
        <v>285</v>
      </c>
      <c r="I93" s="58" t="s">
        <v>290</v>
      </c>
      <c r="J93" s="111">
        <v>4000000</v>
      </c>
      <c r="K93" s="57"/>
    </row>
    <row r="94" spans="1:11" s="44" customFormat="1">
      <c r="A94" s="183" t="s">
        <v>483</v>
      </c>
      <c r="B94" s="348" t="s">
        <v>482</v>
      </c>
      <c r="C94" s="349"/>
      <c r="D94" s="349"/>
      <c r="E94" s="352">
        <v>120000</v>
      </c>
      <c r="F94" s="353"/>
      <c r="G94" s="57"/>
      <c r="H94" s="89" t="s">
        <v>223</v>
      </c>
      <c r="I94" s="58" t="s">
        <v>290</v>
      </c>
      <c r="J94" s="111">
        <v>4000000</v>
      </c>
      <c r="K94" s="57"/>
    </row>
    <row r="95" spans="1:11" s="44" customFormat="1">
      <c r="A95" s="183" t="s">
        <v>304</v>
      </c>
      <c r="B95" s="348" t="s">
        <v>485</v>
      </c>
      <c r="C95" s="349"/>
      <c r="D95" s="349"/>
      <c r="E95" s="352">
        <v>300000</v>
      </c>
      <c r="F95" s="353"/>
      <c r="G95" s="57"/>
      <c r="H95" s="89" t="s">
        <v>298</v>
      </c>
      <c r="I95" s="58" t="s">
        <v>290</v>
      </c>
      <c r="J95" s="111">
        <v>4000000</v>
      </c>
      <c r="K95" s="57"/>
    </row>
    <row r="96" spans="1:11" s="44" customFormat="1">
      <c r="A96" s="183" t="s">
        <v>215</v>
      </c>
      <c r="B96" s="348" t="s">
        <v>217</v>
      </c>
      <c r="C96" s="349"/>
      <c r="D96" s="349"/>
      <c r="E96" s="352">
        <v>20000</v>
      </c>
      <c r="F96" s="353"/>
      <c r="G96" s="57"/>
      <c r="H96" s="89" t="s">
        <v>204</v>
      </c>
      <c r="I96" s="58" t="s">
        <v>290</v>
      </c>
      <c r="J96" s="111">
        <v>4000000</v>
      </c>
      <c r="K96" s="57"/>
    </row>
    <row r="97" spans="1:11" s="44" customFormat="1">
      <c r="A97" s="183" t="s">
        <v>215</v>
      </c>
      <c r="B97" s="348" t="s">
        <v>218</v>
      </c>
      <c r="C97" s="349"/>
      <c r="D97" s="349"/>
      <c r="E97" s="352">
        <v>50000</v>
      </c>
      <c r="F97" s="353"/>
      <c r="G97" s="57"/>
      <c r="H97" s="89" t="s">
        <v>291</v>
      </c>
      <c r="I97" s="58" t="s">
        <v>290</v>
      </c>
      <c r="J97" s="111">
        <v>4000000</v>
      </c>
      <c r="K97" s="57"/>
    </row>
    <row r="98" spans="1:11" s="44" customFormat="1">
      <c r="A98" s="183" t="s">
        <v>215</v>
      </c>
      <c r="B98" s="348" t="s">
        <v>219</v>
      </c>
      <c r="C98" s="349"/>
      <c r="D98" s="349"/>
      <c r="E98" s="352">
        <v>6000</v>
      </c>
      <c r="F98" s="353"/>
      <c r="G98" s="57"/>
      <c r="H98" s="186"/>
      <c r="I98" s="187"/>
      <c r="J98" s="180">
        <f>SUM(J90:J97)</f>
        <v>31000000</v>
      </c>
      <c r="K98" s="57"/>
    </row>
    <row r="99" spans="1:11" s="44" customFormat="1">
      <c r="A99" s="183" t="s">
        <v>215</v>
      </c>
      <c r="B99" s="348" t="s">
        <v>220</v>
      </c>
      <c r="C99" s="349"/>
      <c r="D99" s="349"/>
      <c r="E99" s="352">
        <v>150000</v>
      </c>
      <c r="F99" s="353"/>
      <c r="G99" s="57"/>
      <c r="H99" s="178"/>
      <c r="I99" s="57"/>
      <c r="J99" s="156"/>
      <c r="K99" s="57"/>
    </row>
    <row r="100" spans="1:11" s="44" customFormat="1">
      <c r="A100" s="183" t="s">
        <v>215</v>
      </c>
      <c r="B100" s="348" t="s">
        <v>118</v>
      </c>
      <c r="C100" s="349"/>
      <c r="D100" s="349"/>
      <c r="E100" s="352">
        <v>40000</v>
      </c>
      <c r="F100" s="353"/>
      <c r="G100" s="57"/>
      <c r="H100" s="182" t="s">
        <v>172</v>
      </c>
      <c r="I100" s="57"/>
      <c r="J100" s="156"/>
      <c r="K100" s="57"/>
    </row>
    <row r="101" spans="1:11" s="44" customFormat="1">
      <c r="A101" s="183" t="s">
        <v>487</v>
      </c>
      <c r="B101" s="348" t="s">
        <v>488</v>
      </c>
      <c r="C101" s="349"/>
      <c r="D101" s="349"/>
      <c r="E101" s="352">
        <v>400000</v>
      </c>
      <c r="F101" s="353"/>
      <c r="G101" s="57"/>
      <c r="H101" s="89" t="s">
        <v>282</v>
      </c>
      <c r="I101" s="58" t="s">
        <v>292</v>
      </c>
      <c r="J101" s="111">
        <v>15000</v>
      </c>
      <c r="K101" s="57"/>
    </row>
    <row r="102" spans="1:11" s="44" customFormat="1">
      <c r="A102" s="183" t="s">
        <v>154</v>
      </c>
      <c r="B102" s="348" t="s">
        <v>119</v>
      </c>
      <c r="C102" s="349"/>
      <c r="D102" s="349"/>
      <c r="E102" s="352">
        <v>55000</v>
      </c>
      <c r="F102" s="353"/>
      <c r="G102" s="57"/>
      <c r="H102" s="89" t="s">
        <v>294</v>
      </c>
      <c r="I102" s="58" t="s">
        <v>284</v>
      </c>
      <c r="J102" s="111">
        <v>50000</v>
      </c>
      <c r="K102" s="57"/>
    </row>
    <row r="103" spans="1:11">
      <c r="A103" s="160" t="s">
        <v>154</v>
      </c>
      <c r="B103" s="321" t="s">
        <v>129</v>
      </c>
      <c r="C103" s="324"/>
      <c r="D103" s="324"/>
      <c r="E103" s="318">
        <v>20000</v>
      </c>
      <c r="F103" s="320"/>
      <c r="H103" s="89" t="s">
        <v>294</v>
      </c>
      <c r="I103" s="129" t="s">
        <v>295</v>
      </c>
      <c r="J103" s="67">
        <v>60000</v>
      </c>
    </row>
    <row r="104" spans="1:11">
      <c r="A104" s="160" t="s">
        <v>154</v>
      </c>
      <c r="B104" s="321" t="s">
        <v>153</v>
      </c>
      <c r="C104" s="324"/>
      <c r="D104" s="324"/>
      <c r="E104" s="318">
        <v>670000</v>
      </c>
      <c r="F104" s="320"/>
      <c r="H104" s="89" t="s">
        <v>294</v>
      </c>
      <c r="I104" s="129" t="s">
        <v>296</v>
      </c>
      <c r="J104" s="270">
        <v>250000</v>
      </c>
      <c r="K104" s="26" t="s">
        <v>510</v>
      </c>
    </row>
    <row r="105" spans="1:11">
      <c r="A105" s="160" t="s">
        <v>117</v>
      </c>
      <c r="B105" s="321" t="s">
        <v>205</v>
      </c>
      <c r="C105" s="324"/>
      <c r="D105" s="324"/>
      <c r="E105" s="318">
        <v>600000</v>
      </c>
      <c r="F105" s="320"/>
      <c r="H105" s="89" t="s">
        <v>285</v>
      </c>
      <c r="I105" s="129" t="s">
        <v>297</v>
      </c>
      <c r="J105" s="67">
        <v>105000</v>
      </c>
    </row>
    <row r="106" spans="1:11">
      <c r="A106" s="160" t="s">
        <v>204</v>
      </c>
      <c r="B106" s="321" t="s">
        <v>206</v>
      </c>
      <c r="C106" s="324"/>
      <c r="D106" s="324"/>
      <c r="E106" s="318">
        <v>250000</v>
      </c>
      <c r="F106" s="320"/>
      <c r="J106" s="189">
        <f>SUM(J101:J105)</f>
        <v>480000</v>
      </c>
    </row>
    <row r="107" spans="1:11">
      <c r="A107" s="160" t="s">
        <v>204</v>
      </c>
      <c r="B107" s="321" t="s">
        <v>207</v>
      </c>
      <c r="C107" s="324"/>
      <c r="D107" s="324"/>
      <c r="E107" s="318">
        <v>430000</v>
      </c>
      <c r="F107" s="320"/>
    </row>
    <row r="108" spans="1:11">
      <c r="A108" s="160" t="s">
        <v>204</v>
      </c>
      <c r="B108" s="321" t="s">
        <v>208</v>
      </c>
      <c r="C108" s="324"/>
      <c r="D108" s="324"/>
      <c r="E108" s="318">
        <v>480000</v>
      </c>
      <c r="F108" s="320"/>
    </row>
    <row r="109" spans="1:11">
      <c r="A109" s="160" t="s">
        <v>204</v>
      </c>
      <c r="B109" s="321" t="s">
        <v>209</v>
      </c>
      <c r="C109" s="324"/>
      <c r="D109" s="324"/>
      <c r="E109" s="318">
        <v>32000</v>
      </c>
      <c r="F109" s="320"/>
    </row>
    <row r="110" spans="1:11">
      <c r="A110" s="160" t="s">
        <v>204</v>
      </c>
      <c r="B110" s="321" t="s">
        <v>82</v>
      </c>
      <c r="C110" s="324"/>
      <c r="D110" s="324"/>
      <c r="E110" s="318">
        <v>200000</v>
      </c>
      <c r="F110" s="320"/>
    </row>
    <row r="111" spans="1:11">
      <c r="A111" s="160" t="s">
        <v>204</v>
      </c>
      <c r="B111" s="321" t="s">
        <v>210</v>
      </c>
      <c r="C111" s="324"/>
      <c r="D111" s="324"/>
      <c r="E111" s="318">
        <v>8000</v>
      </c>
      <c r="F111" s="320"/>
    </row>
    <row r="112" spans="1:11">
      <c r="A112" s="160" t="s">
        <v>204</v>
      </c>
      <c r="B112" s="321" t="s">
        <v>213</v>
      </c>
      <c r="C112" s="324"/>
      <c r="D112" s="324"/>
      <c r="E112" s="318">
        <v>50000</v>
      </c>
      <c r="F112" s="320"/>
    </row>
    <row r="113" spans="5:6">
      <c r="E113" s="347">
        <f>SUM(E90:F112)</f>
        <v>6956000</v>
      </c>
      <c r="F113" s="347"/>
    </row>
  </sheetData>
  <mergeCells count="55">
    <mergeCell ref="B99:D99"/>
    <mergeCell ref="B102:D102"/>
    <mergeCell ref="E110:F110"/>
    <mergeCell ref="B110:D110"/>
    <mergeCell ref="E111:F111"/>
    <mergeCell ref="B111:D111"/>
    <mergeCell ref="E102:F102"/>
    <mergeCell ref="B103:D103"/>
    <mergeCell ref="B104:D104"/>
    <mergeCell ref="B100:D100"/>
    <mergeCell ref="B101:D101"/>
    <mergeCell ref="B94:D94"/>
    <mergeCell ref="B95:D95"/>
    <mergeCell ref="B96:D96"/>
    <mergeCell ref="B97:D97"/>
    <mergeCell ref="B98:D98"/>
    <mergeCell ref="E94:F94"/>
    <mergeCell ref="E96:F96"/>
    <mergeCell ref="E95:F95"/>
    <mergeCell ref="E100:F100"/>
    <mergeCell ref="E101:F101"/>
    <mergeCell ref="E97:F97"/>
    <mergeCell ref="E98:F98"/>
    <mergeCell ref="E99:F99"/>
    <mergeCell ref="A5:K7"/>
    <mergeCell ref="C81:G81"/>
    <mergeCell ref="C82:G82"/>
    <mergeCell ref="C83:G83"/>
    <mergeCell ref="C84:G84"/>
    <mergeCell ref="C85:G85"/>
    <mergeCell ref="C87:G87"/>
    <mergeCell ref="B93:D93"/>
    <mergeCell ref="B90:D90"/>
    <mergeCell ref="E90:F90"/>
    <mergeCell ref="E91:F91"/>
    <mergeCell ref="E92:F92"/>
    <mergeCell ref="B91:D91"/>
    <mergeCell ref="B92:D92"/>
    <mergeCell ref="E93:F93"/>
    <mergeCell ref="C86:G86"/>
    <mergeCell ref="E113:F113"/>
    <mergeCell ref="E109:F109"/>
    <mergeCell ref="B107:D107"/>
    <mergeCell ref="B108:D108"/>
    <mergeCell ref="E103:F103"/>
    <mergeCell ref="E104:F104"/>
    <mergeCell ref="E105:F105"/>
    <mergeCell ref="E106:F106"/>
    <mergeCell ref="E107:F107"/>
    <mergeCell ref="E108:F108"/>
    <mergeCell ref="B105:D105"/>
    <mergeCell ref="B106:D106"/>
    <mergeCell ref="B109:D109"/>
    <mergeCell ref="E112:F112"/>
    <mergeCell ref="B112:D112"/>
  </mergeCells>
  <pageMargins left="0.7" right="0.7" top="0.75" bottom="0.75" header="0.3" footer="0.3"/>
  <pageSetup paperSize="9" orientation="landscape" horizontalDpi="300" verticalDpi="300" r:id="rId1"/>
  <legacy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</sheetPr>
  <dimension ref="A1:J33"/>
  <sheetViews>
    <sheetView topLeftCell="A10" workbookViewId="0">
      <selection activeCell="H15" sqref="H15"/>
    </sheetView>
  </sheetViews>
  <sheetFormatPr defaultRowHeight="15"/>
  <cols>
    <col min="1" max="1" width="10.42578125" style="26" customWidth="1"/>
    <col min="2" max="2" width="9.140625" style="26"/>
    <col min="3" max="3" width="18.85546875" style="26" customWidth="1"/>
    <col min="4" max="4" width="21.85546875" style="26" customWidth="1"/>
    <col min="5" max="5" width="10.5703125" style="26" customWidth="1"/>
    <col min="6" max="6" width="10.42578125" style="26" customWidth="1"/>
    <col min="7" max="7" width="7.28515625" style="26" customWidth="1"/>
    <col min="8" max="8" width="14" style="26" customWidth="1"/>
    <col min="9" max="9" width="12.5703125" style="151" customWidth="1"/>
    <col min="10" max="10" width="11.42578125" style="151" customWidth="1"/>
  </cols>
  <sheetData>
    <row r="1" spans="1:10">
      <c r="A1" s="146" t="s">
        <v>0</v>
      </c>
      <c r="B1" s="146"/>
      <c r="C1" s="146"/>
      <c r="D1" s="147"/>
      <c r="E1" s="147"/>
      <c r="F1" s="147"/>
      <c r="G1" s="148"/>
      <c r="H1" s="149"/>
      <c r="I1" s="150"/>
      <c r="J1" s="150"/>
    </row>
    <row r="2" spans="1:10">
      <c r="A2" s="146" t="s">
        <v>1</v>
      </c>
      <c r="B2" s="146"/>
      <c r="C2" s="146"/>
      <c r="D2" s="147"/>
      <c r="E2" s="147"/>
      <c r="F2" s="147"/>
      <c r="G2" s="148"/>
      <c r="H2" s="149"/>
      <c r="I2" s="150"/>
      <c r="J2" s="150"/>
    </row>
    <row r="3" spans="1:10">
      <c r="A3" s="146" t="s">
        <v>2</v>
      </c>
      <c r="B3" s="146"/>
      <c r="C3" s="146"/>
      <c r="D3" s="147"/>
      <c r="E3" s="147"/>
      <c r="F3" s="147"/>
      <c r="G3" s="148"/>
      <c r="H3" s="149"/>
      <c r="I3" s="150"/>
      <c r="J3" s="150"/>
    </row>
    <row r="4" spans="1:10">
      <c r="A4" s="146" t="s">
        <v>3</v>
      </c>
      <c r="B4" s="146"/>
      <c r="C4" s="146"/>
      <c r="D4" s="147"/>
      <c r="E4" s="147"/>
      <c r="F4" s="147"/>
      <c r="G4" s="148"/>
      <c r="H4" s="149"/>
      <c r="I4" s="150"/>
      <c r="J4" s="150"/>
    </row>
    <row r="5" spans="1:10">
      <c r="A5" s="316" t="s">
        <v>222</v>
      </c>
      <c r="B5" s="316"/>
      <c r="C5" s="316"/>
      <c r="D5" s="316"/>
      <c r="E5" s="316"/>
      <c r="F5" s="316"/>
      <c r="G5" s="316"/>
      <c r="H5" s="316"/>
      <c r="I5" s="316"/>
      <c r="J5" s="316"/>
    </row>
    <row r="6" spans="1:10">
      <c r="A6" s="316"/>
      <c r="B6" s="316"/>
      <c r="C6" s="316"/>
      <c r="D6" s="316"/>
      <c r="E6" s="316"/>
      <c r="F6" s="316"/>
      <c r="G6" s="316"/>
      <c r="H6" s="316"/>
      <c r="I6" s="316"/>
      <c r="J6" s="316"/>
    </row>
    <row r="7" spans="1:10">
      <c r="A7" s="316"/>
      <c r="B7" s="316"/>
      <c r="C7" s="316"/>
      <c r="D7" s="316"/>
      <c r="E7" s="316"/>
      <c r="F7" s="316"/>
      <c r="G7" s="316"/>
      <c r="H7" s="316"/>
      <c r="I7" s="316"/>
      <c r="J7" s="316"/>
    </row>
    <row r="8" spans="1:10" ht="18.75">
      <c r="D8" s="192" t="s">
        <v>403</v>
      </c>
    </row>
    <row r="11" spans="1:10">
      <c r="A11" s="83" t="s">
        <v>5</v>
      </c>
      <c r="B11" s="84" t="s">
        <v>6</v>
      </c>
      <c r="C11" s="84" t="s">
        <v>7</v>
      </c>
      <c r="D11" s="85" t="s">
        <v>8</v>
      </c>
      <c r="E11" s="84" t="s">
        <v>9</v>
      </c>
      <c r="F11" s="84" t="s">
        <v>10</v>
      </c>
      <c r="G11" s="86" t="s">
        <v>12</v>
      </c>
      <c r="H11" s="85" t="s">
        <v>13</v>
      </c>
      <c r="I11" s="85" t="s">
        <v>14</v>
      </c>
      <c r="J11" s="85" t="s">
        <v>15</v>
      </c>
    </row>
    <row r="12" spans="1:10">
      <c r="A12" s="193">
        <v>43160</v>
      </c>
      <c r="B12" s="194">
        <v>2890</v>
      </c>
      <c r="C12" s="194" t="s">
        <v>402</v>
      </c>
      <c r="D12" s="194" t="s">
        <v>400</v>
      </c>
      <c r="E12" s="144"/>
      <c r="F12" s="194" t="s">
        <v>238</v>
      </c>
      <c r="G12" s="194"/>
      <c r="H12" s="195">
        <v>35</v>
      </c>
      <c r="I12" s="275">
        <v>85000</v>
      </c>
      <c r="J12" s="145">
        <f>Table10[[#This Row],[ĐƠN GIÁ ]]*Table10[[#This Row],[SỐ LƯỢNG ]]</f>
        <v>2975000</v>
      </c>
    </row>
    <row r="13" spans="1:10">
      <c r="A13" s="193">
        <v>43163</v>
      </c>
      <c r="B13" s="194">
        <v>2890</v>
      </c>
      <c r="C13" s="194" t="s">
        <v>348</v>
      </c>
      <c r="D13" s="194" t="s">
        <v>246</v>
      </c>
      <c r="E13" s="144"/>
      <c r="F13" s="194" t="s">
        <v>238</v>
      </c>
      <c r="G13" s="194"/>
      <c r="H13" s="195">
        <v>9</v>
      </c>
      <c r="I13" s="276">
        <v>190000</v>
      </c>
      <c r="J13" s="145">
        <f>Table10[[#This Row],[ĐƠN GIÁ ]]*Table10[[#This Row],[SỐ LƯỢNG ]]</f>
        <v>1710000</v>
      </c>
    </row>
    <row r="14" spans="1:10">
      <c r="A14" s="193">
        <v>43163</v>
      </c>
      <c r="B14" s="194">
        <v>2890</v>
      </c>
      <c r="C14" s="194" t="s">
        <v>348</v>
      </c>
      <c r="D14" s="194" t="s">
        <v>398</v>
      </c>
      <c r="E14" s="144"/>
      <c r="F14" s="194" t="s">
        <v>238</v>
      </c>
      <c r="G14" s="194"/>
      <c r="H14" s="195">
        <v>3</v>
      </c>
      <c r="I14" s="276">
        <v>90000</v>
      </c>
      <c r="J14" s="145">
        <f>Table10[[#This Row],[ĐƠN GIÁ ]]*Table10[[#This Row],[SỐ LƯỢNG ]]</f>
        <v>270000</v>
      </c>
    </row>
    <row r="15" spans="1:10">
      <c r="A15" s="193">
        <v>43164</v>
      </c>
      <c r="B15" s="194">
        <v>2890</v>
      </c>
      <c r="C15" s="194" t="s">
        <v>258</v>
      </c>
      <c r="D15" s="194" t="s">
        <v>401</v>
      </c>
      <c r="E15" s="144"/>
      <c r="F15" s="194" t="s">
        <v>238</v>
      </c>
      <c r="G15" s="194"/>
      <c r="H15" s="195">
        <v>7</v>
      </c>
      <c r="I15" s="276">
        <v>230000</v>
      </c>
      <c r="J15" s="145">
        <f>Table10[[#This Row],[ĐƠN GIÁ ]]*Table10[[#This Row],[SỐ LƯỢNG ]]</f>
        <v>1610000</v>
      </c>
    </row>
    <row r="16" spans="1:10">
      <c r="A16" s="193">
        <v>43164</v>
      </c>
      <c r="B16" s="194">
        <v>2890</v>
      </c>
      <c r="C16" s="194" t="s">
        <v>348</v>
      </c>
      <c r="D16" s="194" t="s">
        <v>232</v>
      </c>
      <c r="E16" s="144"/>
      <c r="F16" s="194" t="s">
        <v>238</v>
      </c>
      <c r="G16" s="194"/>
      <c r="H16" s="195">
        <v>3</v>
      </c>
      <c r="I16" s="276">
        <v>170000</v>
      </c>
      <c r="J16" s="145">
        <f>Table10[[#This Row],[ĐƠN GIÁ ]]*Table10[[#This Row],[SỐ LƯỢNG ]]</f>
        <v>510000</v>
      </c>
    </row>
    <row r="17" spans="1:10">
      <c r="A17" s="193">
        <v>43164</v>
      </c>
      <c r="B17" s="194">
        <v>2890</v>
      </c>
      <c r="C17" s="194" t="s">
        <v>348</v>
      </c>
      <c r="D17" s="194" t="s">
        <v>237</v>
      </c>
      <c r="E17" s="144"/>
      <c r="F17" s="194" t="s">
        <v>238</v>
      </c>
      <c r="G17" s="194"/>
      <c r="H17" s="195">
        <v>4</v>
      </c>
      <c r="I17" s="276">
        <v>150000</v>
      </c>
      <c r="J17" s="145">
        <f>Table10[[#This Row],[ĐƠN GIÁ ]]*Table10[[#This Row],[SỐ LƯỢNG ]]</f>
        <v>600000</v>
      </c>
    </row>
    <row r="18" spans="1:10">
      <c r="A18" s="193">
        <v>43165</v>
      </c>
      <c r="B18" s="194">
        <v>2890</v>
      </c>
      <c r="C18" s="194" t="s">
        <v>402</v>
      </c>
      <c r="D18" s="194" t="s">
        <v>400</v>
      </c>
      <c r="E18" s="144"/>
      <c r="F18" s="194" t="s">
        <v>238</v>
      </c>
      <c r="G18" s="194"/>
      <c r="H18" s="195">
        <v>25</v>
      </c>
      <c r="I18" s="275">
        <v>85000</v>
      </c>
      <c r="J18" s="145">
        <f>Table10[[#This Row],[ĐƠN GIÁ ]]*Table10[[#This Row],[SỐ LƯỢNG ]]</f>
        <v>2125000</v>
      </c>
    </row>
    <row r="19" spans="1:10">
      <c r="A19" s="193">
        <v>43166</v>
      </c>
      <c r="B19" s="194">
        <v>2890</v>
      </c>
      <c r="C19" s="194" t="s">
        <v>275</v>
      </c>
      <c r="D19" s="194" t="s">
        <v>269</v>
      </c>
      <c r="E19" s="144"/>
      <c r="F19" s="194"/>
      <c r="G19" s="194" t="s">
        <v>503</v>
      </c>
      <c r="H19" s="195">
        <v>5</v>
      </c>
      <c r="I19" s="276">
        <v>190000</v>
      </c>
      <c r="J19" s="145">
        <f>Table10[[#This Row],[ĐƠN GIÁ ]]*Table10[[#This Row],[SỐ LƯỢNG ]]</f>
        <v>950000</v>
      </c>
    </row>
    <row r="20" spans="1:10">
      <c r="A20" s="193">
        <v>43166</v>
      </c>
      <c r="B20" s="194">
        <v>2890</v>
      </c>
      <c r="C20" s="194" t="s">
        <v>402</v>
      </c>
      <c r="D20" s="194" t="s">
        <v>400</v>
      </c>
      <c r="E20" s="144"/>
      <c r="F20" s="194" t="s">
        <v>238</v>
      </c>
      <c r="G20" s="194"/>
      <c r="H20" s="195">
        <v>16</v>
      </c>
      <c r="I20" s="275">
        <v>85000</v>
      </c>
      <c r="J20" s="145">
        <f>Table10[[#This Row],[ĐƠN GIÁ ]]*Table10[[#This Row],[SỐ LƯỢNG ]]</f>
        <v>1360000</v>
      </c>
    </row>
    <row r="21" spans="1:10">
      <c r="A21" s="193">
        <v>43167</v>
      </c>
      <c r="B21" s="194">
        <v>2890</v>
      </c>
      <c r="C21" s="194" t="s">
        <v>343</v>
      </c>
      <c r="D21" s="194" t="s">
        <v>344</v>
      </c>
      <c r="E21" s="144"/>
      <c r="F21" s="194" t="s">
        <v>238</v>
      </c>
      <c r="G21" s="194"/>
      <c r="H21" s="195">
        <v>2</v>
      </c>
      <c r="I21" s="276">
        <v>220000</v>
      </c>
      <c r="J21" s="145">
        <f>Table10[[#This Row],[ĐƠN GIÁ ]]*Table10[[#This Row],[SỐ LƯỢNG ]]</f>
        <v>440000</v>
      </c>
    </row>
    <row r="22" spans="1:10">
      <c r="A22" s="193">
        <v>43167</v>
      </c>
      <c r="B22" s="194">
        <v>2890</v>
      </c>
      <c r="C22" s="194" t="s">
        <v>343</v>
      </c>
      <c r="D22" s="194" t="s">
        <v>237</v>
      </c>
      <c r="E22" s="144"/>
      <c r="F22" s="194" t="s">
        <v>238</v>
      </c>
      <c r="G22" s="194"/>
      <c r="H22" s="195">
        <v>7</v>
      </c>
      <c r="I22" s="276">
        <v>220000</v>
      </c>
      <c r="J22" s="145">
        <f>Table10[[#This Row],[ĐƠN GIÁ ]]*Table10[[#This Row],[SỐ LƯỢNG ]]</f>
        <v>1540000</v>
      </c>
    </row>
    <row r="23" spans="1:10">
      <c r="A23" s="193">
        <v>43168</v>
      </c>
      <c r="B23" s="194">
        <v>2890</v>
      </c>
      <c r="C23" s="194" t="s">
        <v>252</v>
      </c>
      <c r="D23" s="194" t="s">
        <v>242</v>
      </c>
      <c r="E23" s="144"/>
      <c r="F23" s="194" t="s">
        <v>238</v>
      </c>
      <c r="G23" s="194"/>
      <c r="H23" s="195">
        <v>40</v>
      </c>
      <c r="I23" s="276">
        <v>80000</v>
      </c>
      <c r="J23" s="145">
        <f>Table10[[#This Row],[ĐƠN GIÁ ]]*Table10[[#This Row],[SỐ LƯỢNG ]]</f>
        <v>3200000</v>
      </c>
    </row>
    <row r="24" spans="1:10">
      <c r="A24" s="193">
        <v>43169</v>
      </c>
      <c r="B24" s="194">
        <v>2890</v>
      </c>
      <c r="C24" s="194" t="s">
        <v>399</v>
      </c>
      <c r="D24" s="194" t="s">
        <v>234</v>
      </c>
      <c r="E24" s="144"/>
      <c r="F24" s="194" t="s">
        <v>238</v>
      </c>
      <c r="G24" s="194"/>
      <c r="H24" s="195">
        <v>1</v>
      </c>
      <c r="I24" s="276">
        <v>100000</v>
      </c>
      <c r="J24" s="145">
        <f>Table10[[#This Row],[ĐƠN GIÁ ]]*Table10[[#This Row],[SỐ LƯỢNG ]]</f>
        <v>100000</v>
      </c>
    </row>
    <row r="25" spans="1:10">
      <c r="A25" s="193">
        <v>43169</v>
      </c>
      <c r="B25" s="194">
        <v>2890</v>
      </c>
      <c r="C25" s="194" t="s">
        <v>241</v>
      </c>
      <c r="D25" s="194" t="s">
        <v>371</v>
      </c>
      <c r="E25" s="144"/>
      <c r="F25" s="194"/>
      <c r="G25" s="194"/>
      <c r="H25" s="195">
        <v>6</v>
      </c>
      <c r="I25" s="276">
        <v>160000</v>
      </c>
      <c r="J25" s="145">
        <f>Table10[[#This Row],[ĐƠN GIÁ ]]*Table10[[#This Row],[SỐ LƯỢNG ]]</f>
        <v>960000</v>
      </c>
    </row>
    <row r="26" spans="1:10">
      <c r="A26" s="95">
        <v>43169</v>
      </c>
      <c r="B26" s="96">
        <v>2890</v>
      </c>
      <c r="C26" s="96" t="s">
        <v>348</v>
      </c>
      <c r="D26" s="96" t="s">
        <v>246</v>
      </c>
      <c r="E26" s="97"/>
      <c r="F26" s="96" t="s">
        <v>238</v>
      </c>
      <c r="G26" s="96"/>
      <c r="H26" s="98">
        <v>6</v>
      </c>
      <c r="I26" s="277">
        <v>190000</v>
      </c>
      <c r="J26" s="99">
        <f>Table10[[#This Row],[ĐƠN GIÁ ]]*Table10[[#This Row],[SỐ LƯỢNG ]]</f>
        <v>1140000</v>
      </c>
    </row>
    <row r="27" spans="1:10" s="26" customFormat="1">
      <c r="A27" s="95"/>
      <c r="B27" s="96"/>
      <c r="C27" s="96"/>
      <c r="D27" s="96"/>
      <c r="E27" s="97"/>
      <c r="F27" s="96"/>
      <c r="G27" s="96"/>
      <c r="H27" s="98">
        <f>SUM(H12:H26)</f>
        <v>169</v>
      </c>
      <c r="I27" s="277"/>
      <c r="J27" s="99">
        <f>SUBTOTAL(109,[[THÀNH TIỀN ]])</f>
        <v>19490000</v>
      </c>
    </row>
    <row r="31" spans="1:10" ht="14.25" customHeight="1">
      <c r="C31" s="313" t="s">
        <v>34</v>
      </c>
      <c r="D31" s="314"/>
      <c r="E31" s="314"/>
      <c r="F31" s="314"/>
      <c r="G31" s="315"/>
      <c r="H31" s="157"/>
      <c r="I31" s="158">
        <f>+Table10[[#Totals],[THÀNH TIỀN ]]</f>
        <v>19490000</v>
      </c>
    </row>
    <row r="32" spans="1:10">
      <c r="C32" s="313" t="s">
        <v>506</v>
      </c>
      <c r="D32" s="314"/>
      <c r="E32" s="314"/>
      <c r="F32" s="314"/>
      <c r="G32" s="315"/>
      <c r="H32" s="159"/>
      <c r="I32" s="158">
        <v>3482000</v>
      </c>
    </row>
    <row r="33" spans="3:9">
      <c r="C33" s="313" t="s">
        <v>112</v>
      </c>
      <c r="D33" s="314"/>
      <c r="E33" s="314"/>
      <c r="F33" s="314"/>
      <c r="G33" s="315"/>
      <c r="H33" s="159"/>
      <c r="I33" s="158">
        <f>+I31-I32</f>
        <v>16008000</v>
      </c>
    </row>
  </sheetData>
  <mergeCells count="4">
    <mergeCell ref="C32:G32"/>
    <mergeCell ref="C33:G33"/>
    <mergeCell ref="A5:J7"/>
    <mergeCell ref="C31:G31"/>
  </mergeCells>
  <pageMargins left="0.7" right="0.7" top="0.75" bottom="0.75" header="0.3" footer="0.3"/>
  <pageSetup paperSize="9" orientation="landscape" horizontalDpi="300" verticalDpi="30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C000"/>
  </sheetPr>
  <dimension ref="A1:J38"/>
  <sheetViews>
    <sheetView tabSelected="1" topLeftCell="A22" workbookViewId="0">
      <selection activeCell="O18" sqref="O18"/>
    </sheetView>
  </sheetViews>
  <sheetFormatPr defaultRowHeight="15"/>
  <cols>
    <col min="1" max="1" width="13.42578125" style="57" customWidth="1"/>
    <col min="2" max="2" width="10.140625" style="57" customWidth="1"/>
    <col min="3" max="3" width="22.7109375" style="57" customWidth="1"/>
    <col min="4" max="4" width="25.7109375" style="57" customWidth="1"/>
    <col min="5" max="5" width="9.7109375" style="57" customWidth="1"/>
    <col min="6" max="7" width="9.140625" style="57"/>
    <col min="8" max="8" width="14" style="57" customWidth="1"/>
    <col min="9" max="9" width="12.5703125" style="156" customWidth="1"/>
    <col min="10" max="10" width="15.140625" style="156" customWidth="1"/>
  </cols>
  <sheetData>
    <row r="1" spans="1:10">
      <c r="A1" s="196" t="s">
        <v>0</v>
      </c>
      <c r="B1" s="196"/>
      <c r="C1" s="196"/>
      <c r="D1" s="197"/>
      <c r="E1" s="197"/>
      <c r="F1" s="197"/>
      <c r="G1" s="198"/>
      <c r="H1" s="149"/>
      <c r="I1" s="199"/>
      <c r="J1" s="199"/>
    </row>
    <row r="2" spans="1:10">
      <c r="A2" s="196" t="s">
        <v>1</v>
      </c>
      <c r="B2" s="196"/>
      <c r="C2" s="196"/>
      <c r="D2" s="197"/>
      <c r="E2" s="197"/>
      <c r="F2" s="197"/>
      <c r="G2" s="198"/>
      <c r="H2" s="149"/>
      <c r="I2" s="199"/>
      <c r="J2" s="199"/>
    </row>
    <row r="3" spans="1:10">
      <c r="A3" s="196" t="s">
        <v>2</v>
      </c>
      <c r="B3" s="196"/>
      <c r="C3" s="196"/>
      <c r="D3" s="197"/>
      <c r="E3" s="197"/>
      <c r="F3" s="197"/>
      <c r="G3" s="198"/>
      <c r="H3" s="149"/>
      <c r="I3" s="199"/>
      <c r="J3" s="199"/>
    </row>
    <row r="4" spans="1:10">
      <c r="A4" s="196" t="s">
        <v>3</v>
      </c>
      <c r="B4" s="196"/>
      <c r="C4" s="196"/>
      <c r="D4" s="197"/>
      <c r="E4" s="197"/>
      <c r="F4" s="197"/>
      <c r="G4" s="198"/>
      <c r="H4" s="149"/>
      <c r="I4" s="199"/>
      <c r="J4" s="199"/>
    </row>
    <row r="5" spans="1:10">
      <c r="A5" s="354" t="s">
        <v>222</v>
      </c>
      <c r="B5" s="354"/>
      <c r="C5" s="354"/>
      <c r="D5" s="354"/>
      <c r="E5" s="354"/>
      <c r="F5" s="354"/>
      <c r="G5" s="354"/>
      <c r="H5" s="354"/>
      <c r="I5" s="354"/>
      <c r="J5" s="354"/>
    </row>
    <row r="6" spans="1:10">
      <c r="A6" s="354"/>
      <c r="B6" s="354"/>
      <c r="C6" s="354"/>
      <c r="D6" s="354"/>
      <c r="E6" s="354"/>
      <c r="F6" s="354"/>
      <c r="G6" s="354"/>
      <c r="H6" s="354"/>
      <c r="I6" s="354"/>
      <c r="J6" s="354"/>
    </row>
    <row r="7" spans="1:10" ht="18.75">
      <c r="D7" s="200" t="s">
        <v>438</v>
      </c>
    </row>
    <row r="8" spans="1:10" s="44" customFormat="1">
      <c r="A8" s="165" t="s">
        <v>5</v>
      </c>
      <c r="B8" s="166" t="s">
        <v>6</v>
      </c>
      <c r="C8" s="166" t="s">
        <v>7</v>
      </c>
      <c r="D8" s="167" t="s">
        <v>8</v>
      </c>
      <c r="E8" s="166" t="s">
        <v>9</v>
      </c>
      <c r="F8" s="166" t="s">
        <v>10</v>
      </c>
      <c r="G8" s="201" t="s">
        <v>12</v>
      </c>
      <c r="H8" s="167" t="s">
        <v>13</v>
      </c>
      <c r="I8" s="167" t="s">
        <v>14</v>
      </c>
      <c r="J8" s="167" t="s">
        <v>15</v>
      </c>
    </row>
    <row r="9" spans="1:10">
      <c r="A9" s="110">
        <v>43177</v>
      </c>
      <c r="B9" s="58"/>
      <c r="C9" s="58" t="s">
        <v>365</v>
      </c>
      <c r="D9" s="58" t="s">
        <v>266</v>
      </c>
      <c r="E9" s="58" t="s">
        <v>238</v>
      </c>
      <c r="F9" s="122"/>
      <c r="G9" s="89"/>
      <c r="H9" s="89">
        <v>3</v>
      </c>
      <c r="I9" s="123">
        <v>220000</v>
      </c>
      <c r="J9" s="123">
        <f>+Table12[[#This Row],[ĐƠN GIÁ ]]*Table12[[#This Row],[SỐ LƯỢNG ]]</f>
        <v>660000</v>
      </c>
    </row>
    <row r="10" spans="1:10">
      <c r="A10" s="110">
        <v>43177</v>
      </c>
      <c r="B10" s="58"/>
      <c r="C10" s="58" t="s">
        <v>363</v>
      </c>
      <c r="D10" s="58" t="s">
        <v>266</v>
      </c>
      <c r="E10" s="58" t="s">
        <v>238</v>
      </c>
      <c r="F10" s="122"/>
      <c r="G10" s="89"/>
      <c r="H10" s="89">
        <v>12</v>
      </c>
      <c r="I10" s="123">
        <v>170000</v>
      </c>
      <c r="J10" s="123">
        <f>+Table12[[#This Row],[ĐƠN GIÁ ]]*Table12[[#This Row],[SỐ LƯỢNG ]]</f>
        <v>2040000</v>
      </c>
    </row>
    <row r="11" spans="1:10">
      <c r="A11" s="110">
        <v>43178</v>
      </c>
      <c r="B11" s="58"/>
      <c r="C11" s="58" t="s">
        <v>365</v>
      </c>
      <c r="D11" s="58" t="s">
        <v>266</v>
      </c>
      <c r="E11" s="58" t="s">
        <v>238</v>
      </c>
      <c r="F11" s="122"/>
      <c r="G11" s="89"/>
      <c r="H11" s="89">
        <v>1</v>
      </c>
      <c r="I11" s="123">
        <v>220000</v>
      </c>
      <c r="J11" s="123">
        <f>+Table12[[#This Row],[ĐƠN GIÁ ]]*Table12[[#This Row],[SỐ LƯỢNG ]]</f>
        <v>220000</v>
      </c>
    </row>
    <row r="12" spans="1:10">
      <c r="A12" s="110">
        <v>43178</v>
      </c>
      <c r="B12" s="58"/>
      <c r="C12" s="58" t="s">
        <v>343</v>
      </c>
      <c r="D12" s="58" t="s">
        <v>352</v>
      </c>
      <c r="E12" s="58" t="s">
        <v>238</v>
      </c>
      <c r="F12" s="122"/>
      <c r="G12" s="89"/>
      <c r="H12" s="89">
        <v>3</v>
      </c>
      <c r="I12" s="123">
        <v>200000</v>
      </c>
      <c r="J12" s="123">
        <f>+Table12[[#This Row],[ĐƠN GIÁ ]]*Table12[[#This Row],[SỐ LƯỢNG ]]</f>
        <v>600000</v>
      </c>
    </row>
    <row r="13" spans="1:10">
      <c r="A13" s="110">
        <v>43178</v>
      </c>
      <c r="B13" s="58"/>
      <c r="C13" s="58" t="s">
        <v>363</v>
      </c>
      <c r="D13" s="58" t="s">
        <v>266</v>
      </c>
      <c r="E13" s="58" t="s">
        <v>238</v>
      </c>
      <c r="F13" s="122"/>
      <c r="G13" s="89"/>
      <c r="H13" s="89">
        <v>12</v>
      </c>
      <c r="I13" s="123">
        <v>170000</v>
      </c>
      <c r="J13" s="123">
        <f>+Table12[[#This Row],[ĐƠN GIÁ ]]*Table12[[#This Row],[SỐ LƯỢNG ]]</f>
        <v>2040000</v>
      </c>
    </row>
    <row r="14" spans="1:10">
      <c r="A14" s="110">
        <v>43179</v>
      </c>
      <c r="B14" s="58"/>
      <c r="C14" s="58" t="s">
        <v>440</v>
      </c>
      <c r="D14" s="58" t="s">
        <v>266</v>
      </c>
      <c r="E14" s="58" t="s">
        <v>238</v>
      </c>
      <c r="F14" s="122"/>
      <c r="G14" s="89"/>
      <c r="H14" s="89">
        <v>5</v>
      </c>
      <c r="I14" s="123">
        <v>220000</v>
      </c>
      <c r="J14" s="123">
        <f>+Table12[[#This Row],[ĐƠN GIÁ ]]*Table12[[#This Row],[SỐ LƯỢNG ]]</f>
        <v>1100000</v>
      </c>
    </row>
    <row r="15" spans="1:10">
      <c r="A15" s="110">
        <v>43179</v>
      </c>
      <c r="B15" s="58"/>
      <c r="C15" s="58" t="s">
        <v>440</v>
      </c>
      <c r="D15" s="58" t="s">
        <v>350</v>
      </c>
      <c r="E15" s="58" t="s">
        <v>238</v>
      </c>
      <c r="F15" s="122"/>
      <c r="G15" s="89"/>
      <c r="H15" s="89">
        <v>3</v>
      </c>
      <c r="I15" s="123">
        <v>210000</v>
      </c>
      <c r="J15" s="123">
        <f>+Table12[[#This Row],[ĐƠN GIÁ ]]*Table12[[#This Row],[SỐ LƯỢNG ]]</f>
        <v>630000</v>
      </c>
    </row>
    <row r="16" spans="1:10">
      <c r="A16" s="110">
        <v>43182</v>
      </c>
      <c r="B16" s="58"/>
      <c r="C16" s="58" t="s">
        <v>365</v>
      </c>
      <c r="D16" s="58" t="s">
        <v>260</v>
      </c>
      <c r="E16" s="58" t="s">
        <v>238</v>
      </c>
      <c r="F16" s="122"/>
      <c r="G16" s="89"/>
      <c r="H16" s="89">
        <v>7</v>
      </c>
      <c r="I16" s="123">
        <v>220000</v>
      </c>
      <c r="J16" s="123">
        <f>+Table12[[#This Row],[ĐƠN GIÁ ]]*Table12[[#This Row],[SỐ LƯỢNG ]]</f>
        <v>1540000</v>
      </c>
    </row>
    <row r="17" spans="1:10">
      <c r="A17" s="110">
        <v>43182</v>
      </c>
      <c r="B17" s="58"/>
      <c r="C17" s="58" t="s">
        <v>365</v>
      </c>
      <c r="D17" s="58" t="s">
        <v>378</v>
      </c>
      <c r="E17" s="58" t="s">
        <v>238</v>
      </c>
      <c r="F17" s="122"/>
      <c r="G17" s="89"/>
      <c r="H17" s="89">
        <v>1</v>
      </c>
      <c r="I17" s="123">
        <v>190000</v>
      </c>
      <c r="J17" s="123">
        <f>+Table12[[#This Row],[ĐƠN GIÁ ]]*Table12[[#This Row],[SỐ LƯỢNG ]]</f>
        <v>190000</v>
      </c>
    </row>
    <row r="18" spans="1:10">
      <c r="A18" s="110">
        <v>43183</v>
      </c>
      <c r="B18" s="58"/>
      <c r="C18" s="58" t="s">
        <v>365</v>
      </c>
      <c r="D18" s="58" t="s">
        <v>355</v>
      </c>
      <c r="E18" s="58" t="s">
        <v>238</v>
      </c>
      <c r="F18" s="122"/>
      <c r="G18" s="89"/>
      <c r="H18" s="89">
        <v>9</v>
      </c>
      <c r="I18" s="123">
        <v>220000</v>
      </c>
      <c r="J18" s="123">
        <f>+Table12[[#This Row],[ĐƠN GIÁ ]]*Table12[[#This Row],[SỐ LƯỢNG ]]</f>
        <v>1980000</v>
      </c>
    </row>
    <row r="19" spans="1:10">
      <c r="A19" s="110">
        <v>43183</v>
      </c>
      <c r="B19" s="58"/>
      <c r="C19" s="58" t="s">
        <v>343</v>
      </c>
      <c r="D19" s="58" t="s">
        <v>356</v>
      </c>
      <c r="E19" s="58" t="s">
        <v>238</v>
      </c>
      <c r="F19" s="122"/>
      <c r="G19" s="89"/>
      <c r="H19" s="89">
        <v>1</v>
      </c>
      <c r="I19" s="123">
        <v>200000</v>
      </c>
      <c r="J19" s="123">
        <f>+Table12[[#This Row],[ĐƠN GIÁ ]]*Table12[[#This Row],[SỐ LƯỢNG ]]</f>
        <v>200000</v>
      </c>
    </row>
    <row r="20" spans="1:10">
      <c r="A20" s="110">
        <v>43184</v>
      </c>
      <c r="B20" s="58"/>
      <c r="C20" s="58" t="s">
        <v>365</v>
      </c>
      <c r="D20" s="58" t="s">
        <v>355</v>
      </c>
      <c r="E20" s="58" t="s">
        <v>238</v>
      </c>
      <c r="F20" s="122"/>
      <c r="G20" s="89"/>
      <c r="H20" s="89">
        <v>4</v>
      </c>
      <c r="I20" s="123">
        <v>220000</v>
      </c>
      <c r="J20" s="123">
        <f>+Table12[[#This Row],[ĐƠN GIÁ ]]*Table12[[#This Row],[SỐ LƯỢNG ]]</f>
        <v>880000</v>
      </c>
    </row>
    <row r="21" spans="1:10">
      <c r="A21" s="110">
        <v>43184</v>
      </c>
      <c r="B21" s="58"/>
      <c r="C21" s="58" t="s">
        <v>343</v>
      </c>
      <c r="D21" s="58" t="s">
        <v>260</v>
      </c>
      <c r="E21" s="58" t="s">
        <v>238</v>
      </c>
      <c r="F21" s="122"/>
      <c r="G21" s="89"/>
      <c r="H21" s="89">
        <v>1</v>
      </c>
      <c r="I21" s="123">
        <v>200000</v>
      </c>
      <c r="J21" s="123">
        <f>+Table12[[#This Row],[ĐƠN GIÁ ]]*Table12[[#This Row],[SỐ LƯỢNG ]]</f>
        <v>200000</v>
      </c>
    </row>
    <row r="22" spans="1:10">
      <c r="A22" s="110">
        <v>43184</v>
      </c>
      <c r="B22" s="58"/>
      <c r="C22" s="58" t="s">
        <v>343</v>
      </c>
      <c r="D22" s="58" t="s">
        <v>266</v>
      </c>
      <c r="E22" s="58" t="s">
        <v>238</v>
      </c>
      <c r="F22" s="122"/>
      <c r="G22" s="89"/>
      <c r="H22" s="89">
        <v>3</v>
      </c>
      <c r="I22" s="123">
        <v>200000</v>
      </c>
      <c r="J22" s="123">
        <f>+Table12[[#This Row],[ĐƠN GIÁ ]]*Table12[[#This Row],[SỐ LƯỢNG ]]</f>
        <v>600000</v>
      </c>
    </row>
    <row r="23" spans="1:10">
      <c r="A23" s="110">
        <v>43184</v>
      </c>
      <c r="B23" s="58"/>
      <c r="C23" s="58" t="s">
        <v>363</v>
      </c>
      <c r="D23" s="58" t="s">
        <v>266</v>
      </c>
      <c r="E23" s="58" t="s">
        <v>238</v>
      </c>
      <c r="F23" s="122"/>
      <c r="G23" s="89"/>
      <c r="H23" s="89">
        <v>4</v>
      </c>
      <c r="I23" s="123">
        <v>170000</v>
      </c>
      <c r="J23" s="123">
        <f>+Table12[[#This Row],[ĐƠN GIÁ ]]*Table12[[#This Row],[SỐ LƯỢNG ]]</f>
        <v>680000</v>
      </c>
    </row>
    <row r="24" spans="1:10">
      <c r="A24" s="110">
        <v>43186</v>
      </c>
      <c r="B24" s="58"/>
      <c r="C24" s="58" t="s">
        <v>365</v>
      </c>
      <c r="D24" s="58" t="s">
        <v>350</v>
      </c>
      <c r="E24" s="58" t="s">
        <v>238</v>
      </c>
      <c r="F24" s="122"/>
      <c r="G24" s="89"/>
      <c r="H24" s="89">
        <v>8</v>
      </c>
      <c r="I24" s="123">
        <v>210000</v>
      </c>
      <c r="J24" s="123">
        <f>+Table12[[#This Row],[ĐƠN GIÁ ]]*Table12[[#This Row],[SỐ LƯỢNG ]]</f>
        <v>1680000</v>
      </c>
    </row>
    <row r="25" spans="1:10">
      <c r="A25" s="110">
        <v>43187</v>
      </c>
      <c r="B25" s="58"/>
      <c r="C25" s="58" t="s">
        <v>365</v>
      </c>
      <c r="D25" s="58" t="s">
        <v>266</v>
      </c>
      <c r="E25" s="58" t="s">
        <v>238</v>
      </c>
      <c r="F25" s="122"/>
      <c r="G25" s="89"/>
      <c r="H25" s="89">
        <v>9</v>
      </c>
      <c r="I25" s="123">
        <v>220000</v>
      </c>
      <c r="J25" s="123">
        <f>+Table12[[#This Row],[ĐƠN GIÁ ]]*Table12[[#This Row],[SỐ LƯỢNG ]]</f>
        <v>1980000</v>
      </c>
    </row>
    <row r="26" spans="1:10">
      <c r="A26" s="110">
        <v>43187</v>
      </c>
      <c r="B26" s="58"/>
      <c r="C26" s="58" t="s">
        <v>365</v>
      </c>
      <c r="D26" s="58" t="s">
        <v>354</v>
      </c>
      <c r="E26" s="58" t="s">
        <v>238</v>
      </c>
      <c r="F26" s="122"/>
      <c r="G26" s="89"/>
      <c r="H26" s="89">
        <v>2</v>
      </c>
      <c r="I26" s="123"/>
      <c r="J26" s="123">
        <f>+Table12[[#This Row],[ĐƠN GIÁ ]]*Table12[[#This Row],[SỐ LƯỢNG ]]</f>
        <v>0</v>
      </c>
    </row>
    <row r="27" spans="1:10">
      <c r="A27" s="110">
        <v>43187</v>
      </c>
      <c r="B27" s="58"/>
      <c r="C27" s="58" t="s">
        <v>365</v>
      </c>
      <c r="D27" s="58" t="s">
        <v>232</v>
      </c>
      <c r="E27" s="58" t="s">
        <v>238</v>
      </c>
      <c r="F27" s="122"/>
      <c r="G27" s="89"/>
      <c r="H27" s="89">
        <v>1</v>
      </c>
      <c r="I27" s="123">
        <v>200000</v>
      </c>
      <c r="J27" s="123">
        <f>+Table12[[#This Row],[ĐƠN GIÁ ]]*Table12[[#This Row],[SỐ LƯỢNG ]]</f>
        <v>200000</v>
      </c>
    </row>
    <row r="28" spans="1:10">
      <c r="A28" s="110">
        <v>43188</v>
      </c>
      <c r="B28" s="58"/>
      <c r="C28" s="58" t="s">
        <v>365</v>
      </c>
      <c r="D28" s="58" t="s">
        <v>246</v>
      </c>
      <c r="E28" s="58" t="s">
        <v>238</v>
      </c>
      <c r="F28" s="122"/>
      <c r="G28" s="89"/>
      <c r="H28" s="89">
        <v>6</v>
      </c>
      <c r="I28" s="123">
        <v>220000</v>
      </c>
      <c r="J28" s="123">
        <f>+Table12[[#This Row],[ĐƠN GIÁ ]]*Table12[[#This Row],[SỐ LƯỢNG ]]</f>
        <v>1320000</v>
      </c>
    </row>
    <row r="29" spans="1:10">
      <c r="A29" s="110">
        <v>43188</v>
      </c>
      <c r="B29" s="58"/>
      <c r="C29" s="58" t="s">
        <v>365</v>
      </c>
      <c r="D29" s="58" t="s">
        <v>396</v>
      </c>
      <c r="E29" s="58" t="s">
        <v>238</v>
      </c>
      <c r="F29" s="122"/>
      <c r="G29" s="89"/>
      <c r="H29" s="89">
        <v>3</v>
      </c>
      <c r="I29" s="123">
        <v>200000</v>
      </c>
      <c r="J29" s="123">
        <f>+Table12[[#This Row],[ĐƠN GIÁ ]]*Table12[[#This Row],[SỐ LƯỢNG ]]</f>
        <v>600000</v>
      </c>
    </row>
    <row r="30" spans="1:10">
      <c r="A30" s="110">
        <v>43188</v>
      </c>
      <c r="B30" s="58"/>
      <c r="C30" s="58" t="s">
        <v>365</v>
      </c>
      <c r="D30" s="58" t="s">
        <v>350</v>
      </c>
      <c r="E30" s="58" t="s">
        <v>238</v>
      </c>
      <c r="F30" s="122"/>
      <c r="G30" s="89"/>
      <c r="H30" s="89">
        <v>1</v>
      </c>
      <c r="I30" s="123">
        <v>210000</v>
      </c>
      <c r="J30" s="123">
        <f>+Table12[[#This Row],[ĐƠN GIÁ ]]*Table12[[#This Row],[SỐ LƯỢNG ]]</f>
        <v>210000</v>
      </c>
    </row>
    <row r="31" spans="1:10">
      <c r="A31" s="110">
        <v>43189</v>
      </c>
      <c r="B31" s="58"/>
      <c r="C31" s="58" t="s">
        <v>278</v>
      </c>
      <c r="D31" s="58" t="s">
        <v>439</v>
      </c>
      <c r="E31" s="58" t="s">
        <v>238</v>
      </c>
      <c r="F31" s="122"/>
      <c r="G31" s="89"/>
      <c r="H31" s="89">
        <v>4</v>
      </c>
      <c r="I31" s="123">
        <v>250000</v>
      </c>
      <c r="J31" s="123">
        <f>+Table12[[#This Row],[ĐƠN GIÁ ]]*Table12[[#This Row],[SỐ LƯỢNG ]]</f>
        <v>1000000</v>
      </c>
    </row>
    <row r="32" spans="1:10">
      <c r="A32" s="110">
        <v>43189</v>
      </c>
      <c r="B32" s="58"/>
      <c r="C32" s="58" t="s">
        <v>278</v>
      </c>
      <c r="D32" s="58" t="s">
        <v>279</v>
      </c>
      <c r="E32" s="58" t="s">
        <v>238</v>
      </c>
      <c r="F32" s="122"/>
      <c r="G32" s="89"/>
      <c r="H32" s="89">
        <v>6</v>
      </c>
      <c r="I32" s="123">
        <v>220000</v>
      </c>
      <c r="J32" s="123">
        <f>+Table12[[#This Row],[ĐƠN GIÁ ]]*Table12[[#This Row],[SỐ LƯỢNG ]]</f>
        <v>1320000</v>
      </c>
    </row>
    <row r="33" spans="1:10">
      <c r="A33" s="114">
        <v>43189</v>
      </c>
      <c r="B33" s="115"/>
      <c r="C33" s="115" t="s">
        <v>278</v>
      </c>
      <c r="D33" s="115" t="s">
        <v>397</v>
      </c>
      <c r="E33" s="115" t="s">
        <v>238</v>
      </c>
      <c r="F33" s="202"/>
      <c r="G33" s="116"/>
      <c r="H33" s="116">
        <v>1</v>
      </c>
      <c r="I33" s="235">
        <v>230000</v>
      </c>
      <c r="J33" s="235">
        <f>+Table12[[#This Row],[ĐƠN GIÁ ]]*Table12[[#This Row],[SỐ LƯỢNG ]]</f>
        <v>230000</v>
      </c>
    </row>
    <row r="34" spans="1:10">
      <c r="A34" s="68">
        <v>43189</v>
      </c>
      <c r="B34" s="58">
        <v>16586</v>
      </c>
      <c r="C34" s="58" t="s">
        <v>278</v>
      </c>
      <c r="D34" s="58" t="s">
        <v>377</v>
      </c>
      <c r="E34" s="58" t="s">
        <v>238</v>
      </c>
      <c r="F34" s="122"/>
      <c r="G34" s="278" t="s">
        <v>511</v>
      </c>
      <c r="H34" s="89">
        <v>1</v>
      </c>
      <c r="I34" s="123"/>
      <c r="J34" s="123">
        <f>+Table12[[#This Row],[ĐƠN GIÁ ]]*Table12[[#This Row],[SỐ LƯỢNG ]]</f>
        <v>0</v>
      </c>
    </row>
    <row r="35" spans="1:10">
      <c r="A35" s="110">
        <v>43190</v>
      </c>
      <c r="B35" s="58">
        <v>16586</v>
      </c>
      <c r="C35" s="58" t="s">
        <v>394</v>
      </c>
      <c r="D35" s="58" t="s">
        <v>420</v>
      </c>
      <c r="E35" s="58" t="s">
        <v>238</v>
      </c>
      <c r="F35" s="122"/>
      <c r="G35" s="89"/>
      <c r="H35" s="89">
        <v>3</v>
      </c>
      <c r="I35" s="123">
        <v>300000</v>
      </c>
      <c r="J35" s="123">
        <f>+Table12[[#This Row],[ĐƠN GIÁ ]]*Table12[[#This Row],[SỐ LƯỢNG ]]</f>
        <v>900000</v>
      </c>
    </row>
    <row r="36" spans="1:10">
      <c r="A36" s="110">
        <v>43190</v>
      </c>
      <c r="B36" s="58">
        <v>16586</v>
      </c>
      <c r="C36" s="58" t="s">
        <v>365</v>
      </c>
      <c r="D36" s="58" t="s">
        <v>469</v>
      </c>
      <c r="E36" s="58" t="s">
        <v>238</v>
      </c>
      <c r="F36" s="122"/>
      <c r="G36" s="89"/>
      <c r="H36" s="89">
        <v>3</v>
      </c>
      <c r="I36" s="123">
        <v>220000</v>
      </c>
      <c r="J36" s="123">
        <f>+Table12[[#This Row],[ĐƠN GIÁ ]]*Table12[[#This Row],[SỐ LƯỢNG ]]</f>
        <v>660000</v>
      </c>
    </row>
    <row r="37" spans="1:10">
      <c r="A37" s="114">
        <v>43190</v>
      </c>
      <c r="B37" s="115">
        <v>16586</v>
      </c>
      <c r="C37" s="58" t="s">
        <v>365</v>
      </c>
      <c r="D37" s="115" t="s">
        <v>472</v>
      </c>
      <c r="E37" s="115" t="s">
        <v>238</v>
      </c>
      <c r="F37" s="202"/>
      <c r="G37" s="116"/>
      <c r="H37" s="116">
        <v>3</v>
      </c>
      <c r="I37" s="235">
        <v>220000</v>
      </c>
      <c r="J37" s="235">
        <f>+Table12[[#This Row],[ĐƠN GIÁ ]]*Table12[[#This Row],[SỐ LƯỢNG ]]</f>
        <v>660000</v>
      </c>
    </row>
    <row r="38" spans="1:10">
      <c r="A38" s="356"/>
      <c r="B38" s="357"/>
      <c r="C38" s="357"/>
      <c r="D38" s="357"/>
      <c r="E38" s="357"/>
      <c r="F38" s="358"/>
      <c r="G38" s="359"/>
      <c r="H38" s="359">
        <f t="shared" ref="H38:J38" si="0">SUM(H9:H37)</f>
        <v>120</v>
      </c>
      <c r="I38" s="360"/>
      <c r="J38" s="360">
        <f t="shared" si="0"/>
        <v>24320000</v>
      </c>
    </row>
  </sheetData>
  <mergeCells count="1">
    <mergeCell ref="A5:J6"/>
  </mergeCells>
  <pageMargins left="0.47" right="0.53" top="0.19685039370078741" bottom="0.19685039370078741" header="0.19685039370078741" footer="0.19685039370078741"/>
  <pageSetup paperSize="9" scale="95" orientation="landscape" horizontalDpi="300" verticalDpi="30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C000"/>
  </sheetPr>
  <dimension ref="A1:J12"/>
  <sheetViews>
    <sheetView workbookViewId="0">
      <selection activeCell="F20" sqref="F20"/>
    </sheetView>
  </sheetViews>
  <sheetFormatPr defaultRowHeight="15"/>
  <cols>
    <col min="1" max="1" width="11" customWidth="1"/>
    <col min="3" max="3" width="21.140625" customWidth="1"/>
    <col min="4" max="4" width="17.85546875" customWidth="1"/>
    <col min="6" max="6" width="15.85546875" customWidth="1"/>
    <col min="7" max="7" width="13" customWidth="1"/>
    <col min="8" max="8" width="13.7109375" customWidth="1"/>
    <col min="9" max="9" width="15.5703125" customWidth="1"/>
  </cols>
  <sheetData>
    <row r="1" spans="1:10">
      <c r="A1" s="1" t="s">
        <v>0</v>
      </c>
      <c r="B1" s="1"/>
      <c r="C1" s="1"/>
      <c r="D1" s="3"/>
      <c r="E1" s="3"/>
      <c r="F1" s="3"/>
      <c r="G1" s="4"/>
      <c r="H1" s="10"/>
      <c r="I1" s="5"/>
      <c r="J1" s="5"/>
    </row>
    <row r="2" spans="1:10">
      <c r="A2" s="1" t="s">
        <v>1</v>
      </c>
      <c r="B2" s="1"/>
      <c r="C2" s="1"/>
      <c r="D2" s="3"/>
      <c r="E2" s="3"/>
      <c r="F2" s="3"/>
      <c r="G2" s="4"/>
      <c r="H2" s="10"/>
      <c r="I2" s="5"/>
      <c r="J2" s="5"/>
    </row>
    <row r="3" spans="1:10">
      <c r="A3" s="1" t="s">
        <v>2</v>
      </c>
      <c r="B3" s="1"/>
      <c r="C3" s="1"/>
      <c r="D3" s="3"/>
      <c r="E3" s="3"/>
      <c r="F3" s="3"/>
      <c r="G3" s="4"/>
      <c r="H3" s="10"/>
      <c r="I3" s="5"/>
      <c r="J3" s="5"/>
    </row>
    <row r="4" spans="1:10">
      <c r="A4" s="1" t="s">
        <v>3</v>
      </c>
      <c r="B4" s="1"/>
      <c r="C4" s="1"/>
      <c r="D4" s="3"/>
      <c r="E4" s="3"/>
      <c r="F4" s="3"/>
      <c r="G4" s="4"/>
      <c r="H4" s="10"/>
      <c r="I4" s="5"/>
      <c r="J4" s="5"/>
    </row>
    <row r="5" spans="1:10">
      <c r="A5" s="328" t="s">
        <v>222</v>
      </c>
      <c r="B5" s="328"/>
      <c r="C5" s="328"/>
      <c r="D5" s="328"/>
      <c r="E5" s="328"/>
      <c r="F5" s="328"/>
      <c r="G5" s="328"/>
      <c r="H5" s="328"/>
      <c r="I5" s="328"/>
      <c r="J5" s="328"/>
    </row>
    <row r="6" spans="1:10">
      <c r="A6" s="328"/>
      <c r="B6" s="328"/>
      <c r="C6" s="328"/>
      <c r="D6" s="328"/>
      <c r="E6" s="328"/>
      <c r="F6" s="328"/>
      <c r="G6" s="328"/>
      <c r="H6" s="328"/>
      <c r="I6" s="328"/>
      <c r="J6" s="328"/>
    </row>
    <row r="7" spans="1:10">
      <c r="A7" s="328"/>
      <c r="B7" s="328"/>
      <c r="C7" s="328"/>
      <c r="D7" s="328"/>
      <c r="E7" s="328"/>
      <c r="F7" s="328"/>
      <c r="G7" s="328"/>
      <c r="H7" s="328"/>
      <c r="I7" s="328"/>
      <c r="J7" s="328"/>
    </row>
    <row r="8" spans="1:10" ht="18.75">
      <c r="D8" s="88" t="s">
        <v>464</v>
      </c>
    </row>
    <row r="10" spans="1:10">
      <c r="A10" s="80" t="s">
        <v>5</v>
      </c>
      <c r="B10" s="80" t="s">
        <v>6</v>
      </c>
      <c r="C10" s="80" t="s">
        <v>7</v>
      </c>
      <c r="D10" s="81" t="s">
        <v>8</v>
      </c>
      <c r="E10" s="80" t="s">
        <v>9</v>
      </c>
      <c r="F10" s="81" t="s">
        <v>13</v>
      </c>
      <c r="G10" s="81" t="s">
        <v>14</v>
      </c>
      <c r="H10" s="81" t="s">
        <v>15</v>
      </c>
      <c r="I10" s="81" t="s">
        <v>16</v>
      </c>
    </row>
    <row r="11" spans="1:10">
      <c r="A11" s="74">
        <v>43160</v>
      </c>
      <c r="B11" s="75">
        <v>70297</v>
      </c>
      <c r="C11" s="75" t="s">
        <v>275</v>
      </c>
      <c r="D11" s="75" t="s">
        <v>269</v>
      </c>
      <c r="E11" s="8" t="s">
        <v>503</v>
      </c>
      <c r="F11" s="76">
        <v>13</v>
      </c>
      <c r="G11" s="268">
        <v>190000</v>
      </c>
      <c r="H11" s="271">
        <f>+G11*F11</f>
        <v>2470000</v>
      </c>
      <c r="I11" s="8"/>
    </row>
    <row r="12" spans="1:10">
      <c r="A12" s="74">
        <v>43177</v>
      </c>
      <c r="B12" s="75">
        <v>70297</v>
      </c>
      <c r="C12" s="75" t="s">
        <v>272</v>
      </c>
      <c r="D12" s="75" t="s">
        <v>269</v>
      </c>
      <c r="E12" s="8" t="s">
        <v>504</v>
      </c>
      <c r="F12" s="76">
        <v>10</v>
      </c>
      <c r="G12" s="268">
        <v>150000</v>
      </c>
      <c r="H12" s="271">
        <f>+G12*F12</f>
        <v>1500000</v>
      </c>
      <c r="I12" s="8"/>
    </row>
  </sheetData>
  <mergeCells count="1">
    <mergeCell ref="A5:J7"/>
  </mergeCells>
  <pageMargins left="0.7" right="0.7" top="0.75" bottom="0.75" header="0.3" footer="0.3"/>
  <pageSetup paperSize="9" orientation="landscape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C000"/>
  </sheetPr>
  <dimension ref="A1:I50"/>
  <sheetViews>
    <sheetView topLeftCell="A4" workbookViewId="0">
      <selection activeCell="H51" sqref="H51"/>
    </sheetView>
  </sheetViews>
  <sheetFormatPr defaultRowHeight="15"/>
  <cols>
    <col min="1" max="1" width="12.28515625" style="26" customWidth="1"/>
    <col min="2" max="2" width="8.5703125" style="26" customWidth="1"/>
    <col min="3" max="3" width="16.140625" style="26" customWidth="1"/>
    <col min="4" max="4" width="20.42578125" style="26" customWidth="1"/>
    <col min="5" max="5" width="10.85546875" style="26" customWidth="1"/>
    <col min="6" max="6" width="9.140625" style="26"/>
    <col min="7" max="7" width="14" style="26" customWidth="1"/>
    <col min="8" max="8" width="18.85546875" style="151" customWidth="1"/>
    <col min="9" max="9" width="16.5703125" style="151" customWidth="1"/>
  </cols>
  <sheetData>
    <row r="1" spans="1:9">
      <c r="A1" s="146" t="s">
        <v>0</v>
      </c>
      <c r="B1" s="146"/>
      <c r="C1" s="146"/>
      <c r="D1" s="147"/>
      <c r="E1" s="147"/>
      <c r="F1" s="148"/>
      <c r="G1" s="149"/>
      <c r="H1" s="150"/>
      <c r="I1" s="150"/>
    </row>
    <row r="2" spans="1:9">
      <c r="A2" s="146" t="s">
        <v>1</v>
      </c>
      <c r="B2" s="146"/>
      <c r="C2" s="146"/>
      <c r="D2" s="147"/>
      <c r="E2" s="147"/>
      <c r="F2" s="148"/>
      <c r="G2" s="149"/>
      <c r="H2" s="150"/>
      <c r="I2" s="150"/>
    </row>
    <row r="3" spans="1:9">
      <c r="A3" s="146" t="s">
        <v>2</v>
      </c>
      <c r="B3" s="146"/>
      <c r="C3" s="146"/>
      <c r="D3" s="147"/>
      <c r="E3" s="147"/>
      <c r="F3" s="148"/>
      <c r="G3" s="149"/>
      <c r="H3" s="150"/>
      <c r="I3" s="150"/>
    </row>
    <row r="4" spans="1:9">
      <c r="A4" s="146" t="s">
        <v>3</v>
      </c>
      <c r="B4" s="146"/>
      <c r="C4" s="146"/>
      <c r="D4" s="147"/>
      <c r="E4" s="147"/>
      <c r="F4" s="148"/>
      <c r="G4" s="149"/>
      <c r="H4" s="150"/>
      <c r="I4" s="150"/>
    </row>
    <row r="5" spans="1:9">
      <c r="A5" s="316" t="s">
        <v>221</v>
      </c>
      <c r="B5" s="316"/>
      <c r="C5" s="316"/>
      <c r="D5" s="316"/>
      <c r="E5" s="316"/>
      <c r="F5" s="316"/>
      <c r="G5" s="316"/>
      <c r="H5" s="316"/>
      <c r="I5" s="316"/>
    </row>
    <row r="6" spans="1:9">
      <c r="A6" s="316"/>
      <c r="B6" s="316"/>
      <c r="C6" s="316"/>
      <c r="D6" s="316"/>
      <c r="E6" s="316"/>
      <c r="F6" s="316"/>
      <c r="G6" s="316"/>
      <c r="H6" s="316"/>
      <c r="I6" s="316"/>
    </row>
    <row r="7" spans="1:9">
      <c r="A7" s="316"/>
      <c r="B7" s="316"/>
      <c r="C7" s="316"/>
      <c r="D7" s="316"/>
      <c r="E7" s="316"/>
      <c r="F7" s="316"/>
      <c r="G7" s="316"/>
      <c r="H7" s="316"/>
      <c r="I7" s="316"/>
    </row>
    <row r="8" spans="1:9" ht="18.75">
      <c r="D8" s="190" t="s">
        <v>32</v>
      </c>
    </row>
    <row r="10" spans="1:9" s="26" customFormat="1">
      <c r="A10" s="27" t="s">
        <v>5</v>
      </c>
      <c r="B10" s="28" t="s">
        <v>6</v>
      </c>
      <c r="C10" s="28" t="s">
        <v>7</v>
      </c>
      <c r="D10" s="29" t="s">
        <v>8</v>
      </c>
      <c r="E10" s="28" t="s">
        <v>446</v>
      </c>
      <c r="F10" s="30" t="s">
        <v>12</v>
      </c>
      <c r="G10" s="29" t="s">
        <v>13</v>
      </c>
      <c r="H10" s="29" t="s">
        <v>14</v>
      </c>
      <c r="I10" s="31" t="s">
        <v>15</v>
      </c>
    </row>
    <row r="11" spans="1:9" s="44" customFormat="1" hidden="1">
      <c r="A11" s="110">
        <v>43160</v>
      </c>
      <c r="B11" s="58">
        <v>30868</v>
      </c>
      <c r="C11" s="58" t="s">
        <v>275</v>
      </c>
      <c r="D11" s="58" t="s">
        <v>269</v>
      </c>
      <c r="E11" s="58"/>
      <c r="F11" s="140" t="s">
        <v>502</v>
      </c>
      <c r="G11" s="89">
        <v>17</v>
      </c>
      <c r="H11" s="111">
        <v>250000</v>
      </c>
      <c r="I11" s="113">
        <f>+Table13[[#This Row],[SỐ LƯỢNG ]]*Table13[[#This Row],[ĐƠN GIÁ ]]</f>
        <v>4250000</v>
      </c>
    </row>
    <row r="12" spans="1:9" s="44" customFormat="1" hidden="1">
      <c r="A12" s="110">
        <v>43161</v>
      </c>
      <c r="B12" s="58">
        <v>30868</v>
      </c>
      <c r="C12" s="58" t="s">
        <v>275</v>
      </c>
      <c r="D12" s="58" t="s">
        <v>269</v>
      </c>
      <c r="E12" s="58"/>
      <c r="F12" s="140" t="s">
        <v>503</v>
      </c>
      <c r="G12" s="89">
        <v>17</v>
      </c>
      <c r="H12" s="111">
        <v>190000</v>
      </c>
      <c r="I12" s="113">
        <f>+Table13[[#This Row],[SỐ LƯỢNG ]]*Table13[[#This Row],[ĐƠN GIÁ ]]</f>
        <v>3230000</v>
      </c>
    </row>
    <row r="13" spans="1:9" s="44" customFormat="1" hidden="1">
      <c r="A13" s="110">
        <v>43162</v>
      </c>
      <c r="B13" s="58">
        <v>30868</v>
      </c>
      <c r="C13" s="58" t="s">
        <v>275</v>
      </c>
      <c r="D13" s="58" t="s">
        <v>269</v>
      </c>
      <c r="E13" s="58"/>
      <c r="F13" s="140" t="s">
        <v>503</v>
      </c>
      <c r="G13" s="89">
        <v>23</v>
      </c>
      <c r="H13" s="111">
        <v>190000</v>
      </c>
      <c r="I13" s="113">
        <f>+Table13[[#This Row],[SỐ LƯỢNG ]]*Table13[[#This Row],[ĐƠN GIÁ ]]</f>
        <v>4370000</v>
      </c>
    </row>
    <row r="14" spans="1:9" s="44" customFormat="1" hidden="1">
      <c r="A14" s="110">
        <v>43163</v>
      </c>
      <c r="B14" s="58">
        <v>30868</v>
      </c>
      <c r="C14" s="58" t="s">
        <v>275</v>
      </c>
      <c r="D14" s="58" t="s">
        <v>269</v>
      </c>
      <c r="E14" s="58"/>
      <c r="F14" s="140" t="s">
        <v>504</v>
      </c>
      <c r="G14" s="89">
        <v>27</v>
      </c>
      <c r="H14" s="111">
        <v>150000</v>
      </c>
      <c r="I14" s="113">
        <f>+Table13[[#This Row],[SỐ LƯỢNG ]]*Table13[[#This Row],[ĐƠN GIÁ ]]</f>
        <v>4050000</v>
      </c>
    </row>
    <row r="15" spans="1:9" s="44" customFormat="1" hidden="1">
      <c r="A15" s="110">
        <v>43164</v>
      </c>
      <c r="B15" s="58">
        <v>30868</v>
      </c>
      <c r="C15" s="58" t="s">
        <v>275</v>
      </c>
      <c r="D15" s="58" t="s">
        <v>269</v>
      </c>
      <c r="E15" s="58"/>
      <c r="F15" s="140" t="s">
        <v>500</v>
      </c>
      <c r="G15" s="89">
        <v>25</v>
      </c>
      <c r="H15" s="111">
        <v>100000</v>
      </c>
      <c r="I15" s="113">
        <f>+Table13[[#This Row],[SỐ LƯỢNG ]]*Table13[[#This Row],[ĐƠN GIÁ ]]</f>
        <v>2500000</v>
      </c>
    </row>
    <row r="16" spans="1:9" s="44" customFormat="1" hidden="1">
      <c r="A16" s="110">
        <v>43167</v>
      </c>
      <c r="B16" s="58">
        <v>30868</v>
      </c>
      <c r="C16" s="58" t="s">
        <v>343</v>
      </c>
      <c r="D16" s="58" t="s">
        <v>344</v>
      </c>
      <c r="E16" s="58" t="s">
        <v>238</v>
      </c>
      <c r="F16" s="140"/>
      <c r="G16" s="89">
        <v>2</v>
      </c>
      <c r="H16" s="111">
        <v>200000</v>
      </c>
      <c r="I16" s="113">
        <f>+Table13[[#This Row],[SỐ LƯỢNG ]]*Table13[[#This Row],[ĐƠN GIÁ ]]</f>
        <v>400000</v>
      </c>
    </row>
    <row r="17" spans="1:9" s="44" customFormat="1" hidden="1">
      <c r="A17" s="110">
        <v>43167</v>
      </c>
      <c r="B17" s="58">
        <v>30868</v>
      </c>
      <c r="C17" s="58" t="s">
        <v>275</v>
      </c>
      <c r="D17" s="58" t="s">
        <v>342</v>
      </c>
      <c r="E17" s="58"/>
      <c r="F17" s="140" t="s">
        <v>504</v>
      </c>
      <c r="G17" s="89">
        <v>3</v>
      </c>
      <c r="H17" s="111">
        <v>150000</v>
      </c>
      <c r="I17" s="113">
        <f>+Table13[[#This Row],[SỐ LƯỢNG ]]*Table13[[#This Row],[ĐƠN GIÁ ]]</f>
        <v>450000</v>
      </c>
    </row>
    <row r="18" spans="1:9" s="44" customFormat="1" hidden="1">
      <c r="A18" s="110">
        <v>43167</v>
      </c>
      <c r="B18" s="58">
        <v>30868</v>
      </c>
      <c r="C18" s="58" t="s">
        <v>343</v>
      </c>
      <c r="D18" s="58" t="s">
        <v>237</v>
      </c>
      <c r="E18" s="58" t="s">
        <v>238</v>
      </c>
      <c r="F18" s="140"/>
      <c r="G18" s="89">
        <v>4</v>
      </c>
      <c r="H18" s="111">
        <v>220000</v>
      </c>
      <c r="I18" s="113">
        <f>+Table13[[#This Row],[SỐ LƯỢNG ]]*Table13[[#This Row],[ĐƠN GIÁ ]]</f>
        <v>880000</v>
      </c>
    </row>
    <row r="19" spans="1:9" s="44" customFormat="1" hidden="1">
      <c r="A19" s="110">
        <v>43167</v>
      </c>
      <c r="B19" s="58">
        <v>30868</v>
      </c>
      <c r="C19" s="58" t="s">
        <v>343</v>
      </c>
      <c r="D19" s="58" t="s">
        <v>264</v>
      </c>
      <c r="E19" s="58" t="s">
        <v>238</v>
      </c>
      <c r="F19" s="140"/>
      <c r="G19" s="89">
        <v>1</v>
      </c>
      <c r="H19" s="111">
        <v>220000</v>
      </c>
      <c r="I19" s="113">
        <f>+Table13[[#This Row],[SỐ LƯỢNG ]]*Table13[[#This Row],[ĐƠN GIÁ ]]</f>
        <v>220000</v>
      </c>
    </row>
    <row r="20" spans="1:9" s="44" customFormat="1" hidden="1">
      <c r="A20" s="110">
        <v>43170</v>
      </c>
      <c r="B20" s="58">
        <v>30868</v>
      </c>
      <c r="C20" s="58" t="s">
        <v>275</v>
      </c>
      <c r="D20" s="58" t="s">
        <v>342</v>
      </c>
      <c r="E20" s="58"/>
      <c r="F20" s="140" t="s">
        <v>504</v>
      </c>
      <c r="G20" s="89">
        <v>3</v>
      </c>
      <c r="H20" s="111">
        <v>150000</v>
      </c>
      <c r="I20" s="113">
        <f>+Table13[[#This Row],[SỐ LƯỢNG ]]*Table13[[#This Row],[ĐƠN GIÁ ]]</f>
        <v>450000</v>
      </c>
    </row>
    <row r="21" spans="1:9" s="44" customFormat="1" hidden="1">
      <c r="A21" s="110">
        <v>43170</v>
      </c>
      <c r="B21" s="58">
        <v>30868</v>
      </c>
      <c r="C21" s="58" t="s">
        <v>275</v>
      </c>
      <c r="D21" s="58" t="s">
        <v>342</v>
      </c>
      <c r="E21" s="58"/>
      <c r="F21" s="140" t="s">
        <v>504</v>
      </c>
      <c r="G21" s="89">
        <v>13</v>
      </c>
      <c r="H21" s="111">
        <v>150000</v>
      </c>
      <c r="I21" s="113">
        <f>+Table13[[#This Row],[SỐ LƯỢNG ]]*Table13[[#This Row],[ĐƠN GIÁ ]]</f>
        <v>1950000</v>
      </c>
    </row>
    <row r="22" spans="1:9" s="44" customFormat="1" hidden="1">
      <c r="A22" s="110">
        <v>43171</v>
      </c>
      <c r="B22" s="58">
        <v>30868</v>
      </c>
      <c r="C22" s="58" t="s">
        <v>275</v>
      </c>
      <c r="D22" s="58" t="s">
        <v>342</v>
      </c>
      <c r="E22" s="58"/>
      <c r="F22" s="140" t="s">
        <v>500</v>
      </c>
      <c r="G22" s="89">
        <v>22</v>
      </c>
      <c r="H22" s="111">
        <v>100000</v>
      </c>
      <c r="I22" s="113">
        <f>+Table13[[#This Row],[SỐ LƯỢNG ]]*Table13[[#This Row],[ĐƠN GIÁ ]]</f>
        <v>2200000</v>
      </c>
    </row>
    <row r="23" spans="1:9" s="44" customFormat="1" hidden="1">
      <c r="A23" s="110">
        <v>43172</v>
      </c>
      <c r="B23" s="58">
        <v>30868</v>
      </c>
      <c r="C23" s="58" t="s">
        <v>275</v>
      </c>
      <c r="D23" s="58" t="s">
        <v>342</v>
      </c>
      <c r="E23" s="58"/>
      <c r="F23" s="140" t="s">
        <v>500</v>
      </c>
      <c r="G23" s="89">
        <v>10</v>
      </c>
      <c r="H23" s="111">
        <v>100000</v>
      </c>
      <c r="I23" s="113">
        <f>+Table13[[#This Row],[SỐ LƯỢNG ]]*Table13[[#This Row],[ĐƠN GIÁ ]]</f>
        <v>1000000</v>
      </c>
    </row>
    <row r="24" spans="1:9" s="44" customFormat="1" hidden="1">
      <c r="A24" s="110">
        <v>43172</v>
      </c>
      <c r="B24" s="58">
        <v>30868</v>
      </c>
      <c r="C24" s="58" t="s">
        <v>275</v>
      </c>
      <c r="D24" s="58" t="s">
        <v>342</v>
      </c>
      <c r="E24" s="58"/>
      <c r="F24" s="140" t="s">
        <v>501</v>
      </c>
      <c r="G24" s="89">
        <v>1</v>
      </c>
      <c r="H24" s="111">
        <v>250000</v>
      </c>
      <c r="I24" s="113">
        <f>+Table13[[#This Row],[SỐ LƯỢNG ]]*Table13[[#This Row],[ĐƠN GIÁ ]]</f>
        <v>250000</v>
      </c>
    </row>
    <row r="25" spans="1:9" s="44" customFormat="1" hidden="1">
      <c r="A25" s="110">
        <v>43175</v>
      </c>
      <c r="B25" s="58">
        <v>30868</v>
      </c>
      <c r="C25" s="58" t="s">
        <v>258</v>
      </c>
      <c r="D25" s="58" t="s">
        <v>260</v>
      </c>
      <c r="E25" s="58" t="s">
        <v>238</v>
      </c>
      <c r="F25" s="140"/>
      <c r="G25" s="89">
        <v>9</v>
      </c>
      <c r="H25" s="111">
        <v>230000</v>
      </c>
      <c r="I25" s="113">
        <f>+Table13[[#This Row],[SỐ LƯỢNG ]]*Table13[[#This Row],[ĐƠN GIÁ ]]</f>
        <v>2070000</v>
      </c>
    </row>
    <row r="26" spans="1:9" s="44" customFormat="1" hidden="1">
      <c r="A26" s="110">
        <v>43176</v>
      </c>
      <c r="B26" s="58">
        <v>30868</v>
      </c>
      <c r="C26" s="58" t="s">
        <v>265</v>
      </c>
      <c r="D26" s="58" t="s">
        <v>260</v>
      </c>
      <c r="E26" s="58" t="s">
        <v>238</v>
      </c>
      <c r="F26" s="140"/>
      <c r="G26" s="89">
        <v>15</v>
      </c>
      <c r="H26" s="111">
        <v>180000</v>
      </c>
      <c r="I26" s="113">
        <f>+Table13[[#This Row],[SỐ LƯỢNG ]]*Table13[[#This Row],[ĐƠN GIÁ ]]</f>
        <v>2700000</v>
      </c>
    </row>
    <row r="27" spans="1:9" s="44" customFormat="1" hidden="1">
      <c r="A27" s="110">
        <v>43176</v>
      </c>
      <c r="B27" s="58">
        <v>30868</v>
      </c>
      <c r="C27" s="58" t="s">
        <v>351</v>
      </c>
      <c r="D27" s="58" t="s">
        <v>350</v>
      </c>
      <c r="E27" s="58" t="s">
        <v>238</v>
      </c>
      <c r="F27" s="140"/>
      <c r="G27" s="89">
        <v>2</v>
      </c>
      <c r="H27" s="111">
        <v>220000</v>
      </c>
      <c r="I27" s="113">
        <f>+Table13[[#This Row],[SỐ LƯỢNG ]]*Table13[[#This Row],[ĐƠN GIÁ ]]</f>
        <v>440000</v>
      </c>
    </row>
    <row r="28" spans="1:9" s="44" customFormat="1" hidden="1">
      <c r="A28" s="110">
        <v>43176</v>
      </c>
      <c r="B28" s="58">
        <v>30868</v>
      </c>
      <c r="C28" s="58" t="s">
        <v>265</v>
      </c>
      <c r="D28" s="58" t="s">
        <v>350</v>
      </c>
      <c r="E28" s="58" t="s">
        <v>238</v>
      </c>
      <c r="F28" s="140"/>
      <c r="G28" s="89">
        <v>1</v>
      </c>
      <c r="H28" s="111">
        <v>180000</v>
      </c>
      <c r="I28" s="113">
        <f>+Table13[[#This Row],[SỐ LƯỢNG ]]*Table13[[#This Row],[ĐƠN GIÁ ]]</f>
        <v>180000</v>
      </c>
    </row>
    <row r="29" spans="1:9" s="44" customFormat="1" hidden="1">
      <c r="A29" s="110">
        <v>43177</v>
      </c>
      <c r="B29" s="58">
        <v>30868</v>
      </c>
      <c r="C29" s="58" t="s">
        <v>272</v>
      </c>
      <c r="D29" s="58" t="s">
        <v>269</v>
      </c>
      <c r="E29" s="58"/>
      <c r="F29" s="140" t="s">
        <v>503</v>
      </c>
      <c r="G29" s="89">
        <v>19</v>
      </c>
      <c r="H29" s="111">
        <v>190000</v>
      </c>
      <c r="I29" s="113">
        <f>+Table13[[#This Row],[SỐ LƯỢNG ]]*Table13[[#This Row],[ĐƠN GIÁ ]]</f>
        <v>3610000</v>
      </c>
    </row>
    <row r="30" spans="1:9" s="44" customFormat="1" hidden="1">
      <c r="A30" s="110">
        <v>43178</v>
      </c>
      <c r="B30" s="58">
        <v>30868</v>
      </c>
      <c r="C30" s="58" t="s">
        <v>275</v>
      </c>
      <c r="D30" s="58" t="s">
        <v>269</v>
      </c>
      <c r="E30" s="58"/>
      <c r="F30" s="63" t="s">
        <v>503</v>
      </c>
      <c r="G30" s="89">
        <v>5</v>
      </c>
      <c r="H30" s="111">
        <v>190000</v>
      </c>
      <c r="I30" s="113">
        <f>+Table13[[#This Row],[SỐ LƯỢNG ]]*Table13[[#This Row],[ĐƠN GIÁ ]]</f>
        <v>950000</v>
      </c>
    </row>
    <row r="31" spans="1:9" s="44" customFormat="1" hidden="1">
      <c r="A31" s="110">
        <v>43178</v>
      </c>
      <c r="B31" s="58">
        <v>30868</v>
      </c>
      <c r="C31" s="58" t="s">
        <v>275</v>
      </c>
      <c r="D31" s="58" t="s">
        <v>269</v>
      </c>
      <c r="E31" s="58"/>
      <c r="F31" s="63" t="s">
        <v>500</v>
      </c>
      <c r="G31" s="89">
        <v>18</v>
      </c>
      <c r="H31" s="266">
        <v>100000</v>
      </c>
      <c r="I31" s="113">
        <f>+Table13[[#This Row],[SỐ LƯỢNG ]]*Table13[[#This Row],[ĐƠN GIÁ ]]</f>
        <v>1800000</v>
      </c>
    </row>
    <row r="32" spans="1:9" s="44" customFormat="1" hidden="1">
      <c r="A32" s="110">
        <v>43179</v>
      </c>
      <c r="B32" s="58">
        <v>30868</v>
      </c>
      <c r="C32" s="58" t="s">
        <v>272</v>
      </c>
      <c r="D32" s="58" t="s">
        <v>269</v>
      </c>
      <c r="E32" s="58"/>
      <c r="F32" s="140" t="s">
        <v>500</v>
      </c>
      <c r="G32" s="89">
        <v>14</v>
      </c>
      <c r="H32" s="111">
        <v>100000</v>
      </c>
      <c r="I32" s="113">
        <f>+Table13[[#This Row],[SỐ LƯỢNG ]]*Table13[[#This Row],[ĐƠN GIÁ ]]</f>
        <v>1400000</v>
      </c>
    </row>
    <row r="33" spans="1:9" s="44" customFormat="1" hidden="1">
      <c r="A33" s="110">
        <v>43179</v>
      </c>
      <c r="B33" s="58">
        <v>30868</v>
      </c>
      <c r="C33" s="58" t="s">
        <v>272</v>
      </c>
      <c r="D33" s="58" t="s">
        <v>269</v>
      </c>
      <c r="E33" s="58"/>
      <c r="F33" s="140" t="s">
        <v>507</v>
      </c>
      <c r="G33" s="89">
        <v>8</v>
      </c>
      <c r="H33" s="266">
        <v>150000</v>
      </c>
      <c r="I33" s="113">
        <f>+Table13[[#This Row],[SỐ LƯỢNG ]]*Table13[[#This Row],[ĐƠN GIÁ ]]</f>
        <v>1200000</v>
      </c>
    </row>
    <row r="34" spans="1:9" s="44" customFormat="1">
      <c r="A34" s="110">
        <v>43180</v>
      </c>
      <c r="B34" s="58">
        <v>30868</v>
      </c>
      <c r="C34" s="58" t="s">
        <v>257</v>
      </c>
      <c r="D34" s="58" t="s">
        <v>269</v>
      </c>
      <c r="E34" s="58" t="s">
        <v>270</v>
      </c>
      <c r="F34" s="140">
        <v>10.6</v>
      </c>
      <c r="G34" s="89">
        <v>1</v>
      </c>
      <c r="H34" s="111">
        <v>800000</v>
      </c>
      <c r="I34" s="113">
        <f>+Table13[[#This Row],[SỐ LƯỢNG ]]*Table13[[#This Row],[ĐƠN GIÁ ]]</f>
        <v>800000</v>
      </c>
    </row>
    <row r="35" spans="1:9" s="44" customFormat="1">
      <c r="A35" s="110">
        <v>43182</v>
      </c>
      <c r="B35" s="58">
        <v>30868</v>
      </c>
      <c r="C35" s="58" t="s">
        <v>257</v>
      </c>
      <c r="D35" s="58" t="s">
        <v>269</v>
      </c>
      <c r="E35" s="58" t="s">
        <v>270</v>
      </c>
      <c r="F35" s="140">
        <v>26.6</v>
      </c>
      <c r="G35" s="89">
        <v>2</v>
      </c>
      <c r="H35" s="280">
        <v>800000</v>
      </c>
      <c r="I35" s="113">
        <f>+Table13[[#This Row],[SỐ LƯỢNG ]]*Table13[[#This Row],[ĐƠN GIÁ ]]</f>
        <v>1600000</v>
      </c>
    </row>
    <row r="36" spans="1:9" s="44" customFormat="1">
      <c r="A36" s="110">
        <v>43183</v>
      </c>
      <c r="B36" s="58">
        <v>30868</v>
      </c>
      <c r="C36" s="58" t="s">
        <v>257</v>
      </c>
      <c r="D36" s="58" t="s">
        <v>269</v>
      </c>
      <c r="E36" s="58" t="s">
        <v>270</v>
      </c>
      <c r="F36" s="140">
        <v>39.9</v>
      </c>
      <c r="G36" s="89">
        <v>3</v>
      </c>
      <c r="H36" s="280">
        <v>800000</v>
      </c>
      <c r="I36" s="113">
        <f>+Table13[[#This Row],[SỐ LƯỢNG ]]*Table13[[#This Row],[ĐƠN GIÁ ]]</f>
        <v>2400000</v>
      </c>
    </row>
    <row r="37" spans="1:9" s="44" customFormat="1">
      <c r="A37" s="110">
        <v>43184</v>
      </c>
      <c r="B37" s="58">
        <v>30868</v>
      </c>
      <c r="C37" s="58" t="s">
        <v>257</v>
      </c>
      <c r="D37" s="58" t="s">
        <v>269</v>
      </c>
      <c r="E37" s="58" t="s">
        <v>270</v>
      </c>
      <c r="F37" s="140">
        <v>39.9</v>
      </c>
      <c r="G37" s="89">
        <v>3</v>
      </c>
      <c r="H37" s="280">
        <v>800000</v>
      </c>
      <c r="I37" s="113">
        <f>+Table13[[#This Row],[SỐ LƯỢNG ]]*Table13[[#This Row],[ĐƠN GIÁ ]]</f>
        <v>2400000</v>
      </c>
    </row>
    <row r="38" spans="1:9" s="44" customFormat="1">
      <c r="A38" s="110">
        <v>43185</v>
      </c>
      <c r="B38" s="58">
        <v>30868</v>
      </c>
      <c r="C38" s="58" t="s">
        <v>257</v>
      </c>
      <c r="D38" s="58" t="s">
        <v>269</v>
      </c>
      <c r="E38" s="58" t="s">
        <v>270</v>
      </c>
      <c r="F38" s="140">
        <v>39.9</v>
      </c>
      <c r="G38" s="89">
        <v>3</v>
      </c>
      <c r="H38" s="280">
        <v>800000</v>
      </c>
      <c r="I38" s="113">
        <f>+Table13[[#This Row],[SỐ LƯỢNG ]]*Table13[[#This Row],[ĐƠN GIÁ ]]</f>
        <v>2400000</v>
      </c>
    </row>
    <row r="39" spans="1:9" s="44" customFormat="1">
      <c r="A39" s="110">
        <v>43186</v>
      </c>
      <c r="B39" s="58">
        <v>30868</v>
      </c>
      <c r="C39" s="58" t="s">
        <v>257</v>
      </c>
      <c r="D39" s="58" t="s">
        <v>269</v>
      </c>
      <c r="E39" s="58" t="s">
        <v>270</v>
      </c>
      <c r="F39" s="140">
        <v>39.9</v>
      </c>
      <c r="G39" s="89">
        <v>3</v>
      </c>
      <c r="H39" s="280">
        <v>800000</v>
      </c>
      <c r="I39" s="113">
        <f>+Table13[[#This Row],[SỐ LƯỢNG ]]*Table13[[#This Row],[ĐƠN GIÁ ]]</f>
        <v>2400000</v>
      </c>
    </row>
    <row r="40" spans="1:9" s="44" customFormat="1">
      <c r="A40" s="110">
        <v>43187</v>
      </c>
      <c r="B40" s="58">
        <v>30868</v>
      </c>
      <c r="C40" s="58" t="s">
        <v>257</v>
      </c>
      <c r="D40" s="58" t="s">
        <v>269</v>
      </c>
      <c r="E40" s="58" t="s">
        <v>270</v>
      </c>
      <c r="F40" s="140">
        <v>39.9</v>
      </c>
      <c r="G40" s="89">
        <v>3</v>
      </c>
      <c r="H40" s="280">
        <v>800000</v>
      </c>
      <c r="I40" s="113">
        <f>+Table13[[#This Row],[SỐ LƯỢNG ]]*Table13[[#This Row],[ĐƠN GIÁ ]]</f>
        <v>2400000</v>
      </c>
    </row>
    <row r="41" spans="1:9" s="44" customFormat="1" hidden="1">
      <c r="A41" s="110">
        <v>43187</v>
      </c>
      <c r="B41" s="58">
        <v>30868</v>
      </c>
      <c r="C41" s="58" t="s">
        <v>275</v>
      </c>
      <c r="D41" s="58" t="s">
        <v>269</v>
      </c>
      <c r="E41" s="58"/>
      <c r="F41" s="140" t="s">
        <v>500</v>
      </c>
      <c r="G41" s="89">
        <v>2</v>
      </c>
      <c r="H41" s="111">
        <v>100000</v>
      </c>
      <c r="I41" s="113">
        <f>+Table13[[#This Row],[SỐ LƯỢNG ]]*Table13[[#This Row],[ĐƠN GIÁ ]]</f>
        <v>200000</v>
      </c>
    </row>
    <row r="42" spans="1:9" s="44" customFormat="1" hidden="1">
      <c r="A42" s="110">
        <v>43187</v>
      </c>
      <c r="B42" s="58">
        <v>30868</v>
      </c>
      <c r="C42" s="58" t="s">
        <v>415</v>
      </c>
      <c r="D42" s="58" t="s">
        <v>232</v>
      </c>
      <c r="E42" s="58"/>
      <c r="F42" s="140"/>
      <c r="G42" s="89">
        <v>1</v>
      </c>
      <c r="H42" s="111">
        <v>200000</v>
      </c>
      <c r="I42" s="113">
        <f>+Table13[[#This Row],[SỐ LƯỢNG ]]*Table13[[#This Row],[ĐƠN GIÁ ]]</f>
        <v>200000</v>
      </c>
    </row>
    <row r="43" spans="1:9" s="44" customFormat="1">
      <c r="A43" s="110">
        <v>43188</v>
      </c>
      <c r="B43" s="58">
        <v>30868</v>
      </c>
      <c r="C43" s="58" t="s">
        <v>257</v>
      </c>
      <c r="D43" s="58" t="s">
        <v>269</v>
      </c>
      <c r="E43" s="58" t="s">
        <v>270</v>
      </c>
      <c r="F43" s="140">
        <v>13.3</v>
      </c>
      <c r="G43" s="89">
        <v>1</v>
      </c>
      <c r="H43" s="280">
        <v>800000</v>
      </c>
      <c r="I43" s="113">
        <f>+Table13[[#This Row],[SỐ LƯỢNG ]]*Table13[[#This Row],[ĐƠN GIÁ ]]</f>
        <v>800000</v>
      </c>
    </row>
    <row r="44" spans="1:9" s="44" customFormat="1" hidden="1">
      <c r="A44" s="110">
        <v>43188</v>
      </c>
      <c r="B44" s="58">
        <v>30868</v>
      </c>
      <c r="C44" s="58" t="s">
        <v>275</v>
      </c>
      <c r="D44" s="58" t="s">
        <v>269</v>
      </c>
      <c r="E44" s="58"/>
      <c r="F44" s="140" t="s">
        <v>500</v>
      </c>
      <c r="G44" s="89">
        <v>10</v>
      </c>
      <c r="H44" s="111">
        <v>100000</v>
      </c>
      <c r="I44" s="113">
        <f>+Table13[[#This Row],[SỐ LƯỢNG ]]*Table13[[#This Row],[ĐƠN GIÁ ]]</f>
        <v>1000000</v>
      </c>
    </row>
    <row r="45" spans="1:9" s="44" customFormat="1">
      <c r="A45" s="114">
        <v>43189</v>
      </c>
      <c r="B45" s="115">
        <v>30868</v>
      </c>
      <c r="C45" s="115" t="s">
        <v>257</v>
      </c>
      <c r="D45" s="115" t="s">
        <v>269</v>
      </c>
      <c r="E45" s="115" t="s">
        <v>270</v>
      </c>
      <c r="F45" s="191">
        <v>53.2</v>
      </c>
      <c r="G45" s="116">
        <v>4</v>
      </c>
      <c r="H45" s="280">
        <v>800000</v>
      </c>
      <c r="I45" s="118">
        <f>+Table13[[#This Row],[SỐ LƯỢNG ]]*Table13[[#This Row],[ĐƠN GIÁ ]]</f>
        <v>3200000</v>
      </c>
    </row>
    <row r="46" spans="1:9" s="44" customFormat="1">
      <c r="A46" s="110">
        <v>43190</v>
      </c>
      <c r="B46" s="58">
        <v>30868</v>
      </c>
      <c r="C46" s="58" t="s">
        <v>257</v>
      </c>
      <c r="D46" s="58" t="s">
        <v>471</v>
      </c>
      <c r="E46" s="58" t="s">
        <v>250</v>
      </c>
      <c r="F46" s="140">
        <v>70</v>
      </c>
      <c r="G46" s="89">
        <v>5</v>
      </c>
      <c r="H46" s="280">
        <v>800000</v>
      </c>
      <c r="I46" s="113">
        <f>+Table13[[#This Row],[SỐ LƯỢNG ]]*Table13[[#This Row],[ĐƠN GIÁ ]]</f>
        <v>4000000</v>
      </c>
    </row>
    <row r="47" spans="1:9" s="44" customFormat="1">
      <c r="A47" s="293"/>
      <c r="B47" s="282"/>
      <c r="C47" s="282"/>
      <c r="D47" s="282"/>
      <c r="E47" s="282"/>
      <c r="F47" s="283"/>
      <c r="G47" s="283">
        <f>SUM(G11:G46)</f>
        <v>300</v>
      </c>
      <c r="H47" s="285"/>
      <c r="I47" s="295">
        <f>SUBTOTAL(109,[[THÀNH TIỀN ]])</f>
        <v>22400000</v>
      </c>
    </row>
    <row r="50" spans="4:7">
      <c r="D50" s="355" t="s">
        <v>515</v>
      </c>
      <c r="E50" s="355"/>
      <c r="F50" s="355"/>
      <c r="G50" s="355"/>
    </row>
  </sheetData>
  <mergeCells count="2">
    <mergeCell ref="A5:I7"/>
    <mergeCell ref="D50:G50"/>
  </mergeCells>
  <pageMargins left="0.7" right="0.7" top="0.75" bottom="0.75" header="0.3" footer="0.3"/>
  <pageSetup paperSize="9" orientation="landscape" horizontalDpi="300" verticalDpi="300" r:id="rId1"/>
  <legacy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>
  <dimension ref="A1:K24"/>
  <sheetViews>
    <sheetView topLeftCell="A7" workbookViewId="0">
      <selection activeCell="E24" sqref="E24"/>
    </sheetView>
  </sheetViews>
  <sheetFormatPr defaultRowHeight="15"/>
  <cols>
    <col min="1" max="1" width="12.28515625" customWidth="1"/>
    <col min="3" max="3" width="12" customWidth="1"/>
    <col min="4" max="4" width="12.7109375" customWidth="1"/>
    <col min="8" max="8" width="15.140625" customWidth="1"/>
    <col min="9" max="9" width="13.28515625" style="6" bestFit="1" customWidth="1"/>
    <col min="10" max="10" width="18.140625" style="6" customWidth="1"/>
    <col min="11" max="11" width="12" customWidth="1"/>
  </cols>
  <sheetData>
    <row r="1" spans="1:11">
      <c r="A1" s="1" t="s">
        <v>0</v>
      </c>
      <c r="B1" s="1"/>
      <c r="C1" s="1"/>
      <c r="D1" s="3"/>
      <c r="E1" s="3"/>
      <c r="F1" s="3"/>
      <c r="G1" s="4"/>
      <c r="H1" s="10"/>
      <c r="I1" s="5"/>
      <c r="J1" s="5"/>
      <c r="K1" s="5"/>
    </row>
    <row r="2" spans="1:11">
      <c r="A2" s="1" t="s">
        <v>1</v>
      </c>
      <c r="B2" s="1"/>
      <c r="C2" s="1"/>
      <c r="D2" s="3"/>
      <c r="E2" s="3"/>
      <c r="F2" s="3"/>
      <c r="G2" s="4"/>
      <c r="H2" s="10"/>
      <c r="I2" s="5"/>
      <c r="J2" s="5"/>
      <c r="K2" s="5"/>
    </row>
    <row r="3" spans="1:11">
      <c r="A3" s="1" t="s">
        <v>2</v>
      </c>
      <c r="B3" s="1"/>
      <c r="C3" s="1"/>
      <c r="D3" s="3"/>
      <c r="E3" s="3"/>
      <c r="F3" s="3"/>
      <c r="G3" s="4"/>
      <c r="H3" s="10"/>
      <c r="I3" s="5"/>
      <c r="J3" s="5"/>
      <c r="K3" s="5"/>
    </row>
    <row r="4" spans="1:11">
      <c r="A4" s="1" t="s">
        <v>3</v>
      </c>
      <c r="B4" s="1"/>
      <c r="C4" s="1"/>
      <c r="D4" s="3"/>
      <c r="E4" s="3"/>
      <c r="F4" s="3"/>
      <c r="G4" s="4"/>
      <c r="H4" s="10"/>
      <c r="I4" s="5"/>
      <c r="J4" s="5"/>
      <c r="K4" s="5"/>
    </row>
    <row r="5" spans="1:11">
      <c r="A5" s="328" t="s">
        <v>222</v>
      </c>
      <c r="B5" s="328"/>
      <c r="C5" s="328"/>
      <c r="D5" s="328"/>
      <c r="E5" s="328"/>
      <c r="F5" s="328"/>
      <c r="G5" s="328"/>
      <c r="H5" s="328"/>
      <c r="I5" s="328"/>
      <c r="J5" s="328"/>
      <c r="K5" s="328"/>
    </row>
    <row r="6" spans="1:11">
      <c r="A6" s="328"/>
      <c r="B6" s="328"/>
      <c r="C6" s="328"/>
      <c r="D6" s="328"/>
      <c r="E6" s="328"/>
      <c r="F6" s="328"/>
      <c r="G6" s="328"/>
      <c r="H6" s="328"/>
      <c r="I6" s="328"/>
      <c r="J6" s="328"/>
      <c r="K6" s="328"/>
    </row>
    <row r="7" spans="1:11">
      <c r="A7" s="328"/>
      <c r="B7" s="328"/>
      <c r="C7" s="328"/>
      <c r="D7" s="328"/>
      <c r="E7" s="328"/>
      <c r="F7" s="328"/>
      <c r="G7" s="328"/>
      <c r="H7" s="328"/>
      <c r="I7" s="328"/>
      <c r="J7" s="328"/>
      <c r="K7" s="328"/>
    </row>
    <row r="8" spans="1:11" ht="18.75">
      <c r="D8" s="88" t="s">
        <v>465</v>
      </c>
    </row>
    <row r="11" spans="1:11">
      <c r="A11" s="80" t="s">
        <v>5</v>
      </c>
      <c r="B11" s="80" t="s">
        <v>6</v>
      </c>
      <c r="C11" s="80" t="s">
        <v>7</v>
      </c>
      <c r="D11" s="81" t="s">
        <v>8</v>
      </c>
      <c r="E11" s="80" t="s">
        <v>9</v>
      </c>
      <c r="F11" s="80" t="s">
        <v>10</v>
      </c>
      <c r="G11" s="82" t="s">
        <v>12</v>
      </c>
      <c r="H11" s="81" t="s">
        <v>13</v>
      </c>
      <c r="I11" s="81" t="s">
        <v>14</v>
      </c>
      <c r="J11" s="81" t="s">
        <v>15</v>
      </c>
      <c r="K11" s="81" t="s">
        <v>16</v>
      </c>
    </row>
    <row r="12" spans="1:11">
      <c r="A12" s="72">
        <v>43180</v>
      </c>
      <c r="B12" s="73">
        <v>93025</v>
      </c>
      <c r="C12" s="73" t="s">
        <v>257</v>
      </c>
      <c r="D12" s="73" t="s">
        <v>269</v>
      </c>
      <c r="E12" s="8"/>
      <c r="F12" s="73" t="s">
        <v>270</v>
      </c>
      <c r="G12" s="87">
        <v>10.199999999999999</v>
      </c>
      <c r="H12" s="11">
        <v>2</v>
      </c>
      <c r="I12" s="7">
        <v>800000</v>
      </c>
      <c r="J12" s="79">
        <f>+I12*H12</f>
        <v>1600000</v>
      </c>
      <c r="K12" s="79">
        <f>+J12*10%</f>
        <v>160000</v>
      </c>
    </row>
    <row r="13" spans="1:11">
      <c r="A13" s="72">
        <v>43183</v>
      </c>
      <c r="B13" s="73">
        <v>93025</v>
      </c>
      <c r="C13" s="73" t="s">
        <v>257</v>
      </c>
      <c r="D13" s="73" t="s">
        <v>269</v>
      </c>
      <c r="E13" s="8"/>
      <c r="F13" s="73" t="s">
        <v>270</v>
      </c>
      <c r="G13" s="87">
        <v>10.199999999999999</v>
      </c>
      <c r="H13" s="11">
        <v>2</v>
      </c>
      <c r="I13" s="7">
        <v>800000</v>
      </c>
      <c r="J13" s="79">
        <f t="shared" ref="J13:J20" si="0">+I13*H13</f>
        <v>1600000</v>
      </c>
      <c r="K13" s="79">
        <f t="shared" ref="K13:K21" si="1">+J13*10%</f>
        <v>160000</v>
      </c>
    </row>
    <row r="14" spans="1:11">
      <c r="A14" s="72">
        <v>43184</v>
      </c>
      <c r="B14" s="73">
        <v>93025</v>
      </c>
      <c r="C14" s="73" t="s">
        <v>257</v>
      </c>
      <c r="D14" s="73" t="s">
        <v>269</v>
      </c>
      <c r="E14" s="8"/>
      <c r="F14" s="73" t="s">
        <v>270</v>
      </c>
      <c r="G14" s="87">
        <v>10.199999999999999</v>
      </c>
      <c r="H14" s="11">
        <v>2</v>
      </c>
      <c r="I14" s="7">
        <v>800000</v>
      </c>
      <c r="J14" s="79">
        <f t="shared" si="0"/>
        <v>1600000</v>
      </c>
      <c r="K14" s="79">
        <f t="shared" si="1"/>
        <v>160000</v>
      </c>
    </row>
    <row r="15" spans="1:11">
      <c r="A15" s="72">
        <v>43185</v>
      </c>
      <c r="B15" s="73">
        <v>93025</v>
      </c>
      <c r="C15" s="73" t="s">
        <v>257</v>
      </c>
      <c r="D15" s="73" t="s">
        <v>269</v>
      </c>
      <c r="E15" s="8"/>
      <c r="F15" s="73" t="s">
        <v>270</v>
      </c>
      <c r="G15" s="87">
        <v>20.399999999999999</v>
      </c>
      <c r="H15" s="11">
        <v>4</v>
      </c>
      <c r="I15" s="7">
        <v>800000</v>
      </c>
      <c r="J15" s="79">
        <f t="shared" si="0"/>
        <v>3200000</v>
      </c>
      <c r="K15" s="79">
        <f t="shared" si="1"/>
        <v>320000</v>
      </c>
    </row>
    <row r="16" spans="1:11">
      <c r="A16" s="72">
        <v>43186</v>
      </c>
      <c r="B16" s="73">
        <v>93025</v>
      </c>
      <c r="C16" s="73" t="s">
        <v>257</v>
      </c>
      <c r="D16" s="73" t="s">
        <v>269</v>
      </c>
      <c r="E16" s="8"/>
      <c r="F16" s="73" t="s">
        <v>270</v>
      </c>
      <c r="G16" s="87">
        <v>20.3</v>
      </c>
      <c r="H16" s="11">
        <v>4</v>
      </c>
      <c r="I16" s="7">
        <v>800000</v>
      </c>
      <c r="J16" s="79">
        <f t="shared" si="0"/>
        <v>3200000</v>
      </c>
      <c r="K16" s="79">
        <f t="shared" si="1"/>
        <v>320000</v>
      </c>
    </row>
    <row r="17" spans="1:11">
      <c r="A17" s="72">
        <v>43187</v>
      </c>
      <c r="B17" s="73">
        <v>93025</v>
      </c>
      <c r="C17" s="73" t="s">
        <v>257</v>
      </c>
      <c r="D17" s="73" t="s">
        <v>269</v>
      </c>
      <c r="E17" s="8"/>
      <c r="F17" s="73" t="s">
        <v>270</v>
      </c>
      <c r="G17" s="87">
        <v>15.3</v>
      </c>
      <c r="H17" s="11">
        <v>3</v>
      </c>
      <c r="I17" s="7">
        <v>800000</v>
      </c>
      <c r="J17" s="79">
        <f t="shared" si="0"/>
        <v>2400000</v>
      </c>
      <c r="K17" s="79">
        <f t="shared" si="1"/>
        <v>240000</v>
      </c>
    </row>
    <row r="18" spans="1:11">
      <c r="A18" s="72">
        <v>43188</v>
      </c>
      <c r="B18" s="73">
        <v>93025</v>
      </c>
      <c r="C18" s="73" t="s">
        <v>257</v>
      </c>
      <c r="D18" s="73" t="s">
        <v>269</v>
      </c>
      <c r="E18" s="8"/>
      <c r="F18" s="73" t="s">
        <v>270</v>
      </c>
      <c r="G18" s="87">
        <v>10.199999999999999</v>
      </c>
      <c r="H18" s="11">
        <v>2</v>
      </c>
      <c r="I18" s="7">
        <v>800000</v>
      </c>
      <c r="J18" s="79">
        <f t="shared" si="0"/>
        <v>1600000</v>
      </c>
      <c r="K18" s="79">
        <f t="shared" si="1"/>
        <v>160000</v>
      </c>
    </row>
    <row r="19" spans="1:11">
      <c r="A19" s="72">
        <v>43189</v>
      </c>
      <c r="B19" s="73">
        <v>93025</v>
      </c>
      <c r="C19" s="73" t="s">
        <v>257</v>
      </c>
      <c r="D19" s="73" t="s">
        <v>269</v>
      </c>
      <c r="E19" s="8"/>
      <c r="F19" s="73" t="s">
        <v>270</v>
      </c>
      <c r="G19" s="87">
        <v>25.5</v>
      </c>
      <c r="H19" s="11">
        <v>5</v>
      </c>
      <c r="I19" s="7">
        <v>800000</v>
      </c>
      <c r="J19" s="79">
        <f t="shared" si="0"/>
        <v>4000000</v>
      </c>
      <c r="K19" s="79">
        <f t="shared" si="1"/>
        <v>400000</v>
      </c>
    </row>
    <row r="20" spans="1:11">
      <c r="A20" s="93">
        <v>43190</v>
      </c>
      <c r="B20" s="94">
        <v>93025</v>
      </c>
      <c r="C20" s="94" t="s">
        <v>257</v>
      </c>
      <c r="D20" s="94" t="s">
        <v>257</v>
      </c>
      <c r="E20" s="94"/>
      <c r="F20" s="94" t="s">
        <v>250</v>
      </c>
      <c r="G20" s="87">
        <v>36</v>
      </c>
      <c r="H20" s="87">
        <v>6</v>
      </c>
      <c r="I20" s="7">
        <v>800000</v>
      </c>
      <c r="J20" s="79">
        <f t="shared" si="0"/>
        <v>4800000</v>
      </c>
      <c r="K20" s="79">
        <f t="shared" si="1"/>
        <v>480000</v>
      </c>
    </row>
    <row r="21" spans="1:11">
      <c r="A21" s="19"/>
      <c r="B21" s="19"/>
      <c r="C21" s="19"/>
      <c r="D21" s="19"/>
      <c r="E21" s="19"/>
      <c r="F21" s="19"/>
      <c r="G21" s="294">
        <f>SUM(G12:G20)</f>
        <v>158.30000000000001</v>
      </c>
      <c r="H21" s="19"/>
      <c r="I21" s="14"/>
      <c r="J21" s="14">
        <f>SUM(J12:J20)</f>
        <v>24000000</v>
      </c>
      <c r="K21" s="273">
        <f t="shared" si="1"/>
        <v>2400000</v>
      </c>
    </row>
    <row r="24" spans="1:11">
      <c r="D24" s="52" t="s">
        <v>515</v>
      </c>
      <c r="E24" s="52"/>
      <c r="F24" s="52"/>
      <c r="G24" s="52"/>
    </row>
  </sheetData>
  <mergeCells count="1">
    <mergeCell ref="A5:K7"/>
  </mergeCells>
  <pageMargins left="0.7" right="0.7" top="0.75" bottom="0.75" header="0.3" footer="0.3"/>
  <pageSetup paperSize="9" orientation="landscape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B9:H164"/>
  <sheetViews>
    <sheetView workbookViewId="0">
      <selection activeCell="B105" sqref="B105:E110"/>
    </sheetView>
  </sheetViews>
  <sheetFormatPr defaultRowHeight="15"/>
  <cols>
    <col min="2" max="2" width="14.7109375" customWidth="1"/>
    <col min="3" max="3" width="14.85546875" style="34" customWidth="1"/>
    <col min="4" max="4" width="29.85546875" customWidth="1"/>
    <col min="5" max="5" width="14.5703125" style="6" customWidth="1"/>
  </cols>
  <sheetData>
    <row r="9" spans="2:6">
      <c r="B9" s="36" t="s">
        <v>97</v>
      </c>
      <c r="C9" s="37" t="s">
        <v>39</v>
      </c>
      <c r="D9" s="38" t="s">
        <v>40</v>
      </c>
      <c r="E9" s="39" t="s">
        <v>98</v>
      </c>
      <c r="F9" s="42" t="s">
        <v>109</v>
      </c>
    </row>
    <row r="10" spans="2:6" hidden="1">
      <c r="B10" s="16">
        <v>1171</v>
      </c>
      <c r="C10" s="35" t="s">
        <v>88</v>
      </c>
      <c r="D10" s="8" t="s">
        <v>89</v>
      </c>
      <c r="E10" s="15">
        <v>16000000</v>
      </c>
    </row>
    <row r="11" spans="2:6" hidden="1">
      <c r="B11" s="16">
        <v>25907</v>
      </c>
      <c r="C11" s="35">
        <v>43223</v>
      </c>
      <c r="D11" s="8" t="s">
        <v>41</v>
      </c>
      <c r="E11" s="15">
        <v>400000</v>
      </c>
    </row>
    <row r="12" spans="2:6" hidden="1">
      <c r="B12" s="16">
        <v>25907</v>
      </c>
      <c r="C12" s="35">
        <v>43376</v>
      </c>
      <c r="D12" s="8" t="s">
        <v>44</v>
      </c>
      <c r="E12" s="15">
        <v>50000</v>
      </c>
    </row>
    <row r="13" spans="2:6" hidden="1">
      <c r="B13" s="16">
        <v>25907</v>
      </c>
      <c r="C13" s="35" t="s">
        <v>211</v>
      </c>
      <c r="D13" s="8" t="s">
        <v>212</v>
      </c>
      <c r="E13" s="61">
        <v>2450000</v>
      </c>
    </row>
    <row r="14" spans="2:6" hidden="1">
      <c r="B14" s="16">
        <v>25907</v>
      </c>
      <c r="C14" s="35" t="s">
        <v>211</v>
      </c>
      <c r="D14" s="8" t="s">
        <v>213</v>
      </c>
      <c r="E14" s="61">
        <v>50000</v>
      </c>
    </row>
    <row r="15" spans="2:6" hidden="1">
      <c r="B15" s="16">
        <v>25907</v>
      </c>
      <c r="C15" s="35" t="s">
        <v>211</v>
      </c>
      <c r="D15" s="8" t="s">
        <v>214</v>
      </c>
      <c r="E15" s="61">
        <v>255000</v>
      </c>
    </row>
    <row r="16" spans="2:6" hidden="1">
      <c r="B16" s="16">
        <v>25907</v>
      </c>
      <c r="C16" s="35" t="s">
        <v>478</v>
      </c>
      <c r="D16" s="8" t="s">
        <v>479</v>
      </c>
      <c r="E16" s="15">
        <v>100000</v>
      </c>
    </row>
    <row r="17" spans="2:6" hidden="1">
      <c r="B17" s="16">
        <v>25907</v>
      </c>
      <c r="C17" s="35" t="s">
        <v>481</v>
      </c>
      <c r="D17" s="8" t="s">
        <v>482</v>
      </c>
      <c r="E17" s="15">
        <v>120000</v>
      </c>
    </row>
    <row r="18" spans="2:6" hidden="1">
      <c r="B18" s="16">
        <v>25907</v>
      </c>
      <c r="C18" s="35" t="s">
        <v>484</v>
      </c>
      <c r="D18" s="8" t="s">
        <v>485</v>
      </c>
      <c r="E18" s="15">
        <v>300000</v>
      </c>
    </row>
    <row r="19" spans="2:6" hidden="1">
      <c r="B19" s="48">
        <v>25907</v>
      </c>
      <c r="C19" s="49" t="s">
        <v>155</v>
      </c>
      <c r="D19" s="50" t="s">
        <v>46</v>
      </c>
      <c r="E19" s="51">
        <v>1400000</v>
      </c>
      <c r="F19" s="52"/>
    </row>
    <row r="20" spans="2:6" hidden="1">
      <c r="B20" s="48">
        <v>25907</v>
      </c>
      <c r="C20" s="49" t="s">
        <v>156</v>
      </c>
      <c r="D20" s="50" t="s">
        <v>43</v>
      </c>
      <c r="E20" s="51">
        <v>250000</v>
      </c>
      <c r="F20" s="52"/>
    </row>
    <row r="21" spans="2:6" hidden="1">
      <c r="B21" s="48">
        <v>25907</v>
      </c>
      <c r="C21" s="49" t="s">
        <v>25</v>
      </c>
      <c r="D21" s="50" t="s">
        <v>94</v>
      </c>
      <c r="E21" s="51">
        <v>13400000</v>
      </c>
      <c r="F21" s="52"/>
    </row>
    <row r="22" spans="2:6" hidden="1">
      <c r="B22" s="48">
        <v>25907</v>
      </c>
      <c r="C22" s="49" t="s">
        <v>157</v>
      </c>
      <c r="D22" s="50" t="s">
        <v>43</v>
      </c>
      <c r="E22" s="51">
        <v>250000</v>
      </c>
      <c r="F22" s="52"/>
    </row>
    <row r="23" spans="2:6" hidden="1">
      <c r="B23" s="48">
        <v>25907</v>
      </c>
      <c r="C23" s="49" t="s">
        <v>158</v>
      </c>
      <c r="D23" s="50" t="s">
        <v>45</v>
      </c>
      <c r="E23" s="51">
        <v>100000</v>
      </c>
      <c r="F23" s="52"/>
    </row>
    <row r="24" spans="2:6" hidden="1">
      <c r="B24" s="48">
        <v>25907</v>
      </c>
      <c r="C24" s="49" t="s">
        <v>158</v>
      </c>
      <c r="D24" s="50" t="s">
        <v>46</v>
      </c>
      <c r="E24" s="51">
        <v>700000</v>
      </c>
      <c r="F24" s="52"/>
    </row>
    <row r="25" spans="2:6" hidden="1">
      <c r="B25" s="48">
        <v>25907</v>
      </c>
      <c r="C25" s="49" t="s">
        <v>158</v>
      </c>
      <c r="D25" s="50" t="s">
        <v>47</v>
      </c>
      <c r="E25" s="51">
        <v>600000</v>
      </c>
      <c r="F25" s="52"/>
    </row>
    <row r="26" spans="2:6" hidden="1">
      <c r="B26" s="48">
        <v>25907</v>
      </c>
      <c r="C26" s="49" t="s">
        <v>158</v>
      </c>
      <c r="D26" s="50" t="s">
        <v>46</v>
      </c>
      <c r="E26" s="51">
        <v>2410000</v>
      </c>
      <c r="F26" s="52"/>
    </row>
    <row r="27" spans="2:6" hidden="1">
      <c r="B27" s="48">
        <v>25907</v>
      </c>
      <c r="C27" s="49" t="s">
        <v>159</v>
      </c>
      <c r="D27" s="50" t="s">
        <v>42</v>
      </c>
      <c r="E27" s="51">
        <v>135000</v>
      </c>
      <c r="F27" s="52"/>
    </row>
    <row r="28" spans="2:6" hidden="1">
      <c r="B28" s="16">
        <v>25907</v>
      </c>
      <c r="C28" s="35" t="s">
        <v>215</v>
      </c>
      <c r="D28" s="8" t="s">
        <v>216</v>
      </c>
      <c r="E28" s="61">
        <v>270000</v>
      </c>
    </row>
    <row r="29" spans="2:6" hidden="1">
      <c r="B29" s="16">
        <v>25907</v>
      </c>
      <c r="C29" s="35" t="s">
        <v>215</v>
      </c>
      <c r="D29" s="8" t="s">
        <v>217</v>
      </c>
      <c r="E29" s="61">
        <v>20000</v>
      </c>
    </row>
    <row r="30" spans="2:6" hidden="1">
      <c r="B30" s="16">
        <v>25907</v>
      </c>
      <c r="C30" s="35" t="s">
        <v>215</v>
      </c>
      <c r="D30" s="8" t="s">
        <v>218</v>
      </c>
      <c r="E30" s="61">
        <v>50000</v>
      </c>
    </row>
    <row r="31" spans="2:6" hidden="1">
      <c r="B31" s="16">
        <v>25907</v>
      </c>
      <c r="C31" s="35" t="s">
        <v>215</v>
      </c>
      <c r="D31" s="8" t="s">
        <v>219</v>
      </c>
      <c r="E31" s="61">
        <v>6000</v>
      </c>
    </row>
    <row r="32" spans="2:6" hidden="1">
      <c r="B32" s="16">
        <v>25907</v>
      </c>
      <c r="C32" s="35" t="s">
        <v>215</v>
      </c>
      <c r="D32" s="8" t="s">
        <v>220</v>
      </c>
      <c r="E32" s="61">
        <v>150000</v>
      </c>
    </row>
    <row r="33" spans="2:5" hidden="1">
      <c r="B33" s="16">
        <v>25907</v>
      </c>
      <c r="C33" s="35" t="s">
        <v>487</v>
      </c>
      <c r="D33" s="8" t="s">
        <v>488</v>
      </c>
      <c r="E33" s="15">
        <v>400000</v>
      </c>
    </row>
    <row r="34" spans="2:5" hidden="1">
      <c r="B34" s="16">
        <v>25907</v>
      </c>
      <c r="C34" s="35" t="s">
        <v>154</v>
      </c>
      <c r="D34" s="8" t="s">
        <v>118</v>
      </c>
      <c r="E34" s="41">
        <v>40000</v>
      </c>
    </row>
    <row r="35" spans="2:5" hidden="1">
      <c r="B35" s="16">
        <v>25907</v>
      </c>
      <c r="C35" s="35" t="s">
        <v>154</v>
      </c>
      <c r="D35" s="8" t="s">
        <v>119</v>
      </c>
      <c r="E35" s="41">
        <v>55000</v>
      </c>
    </row>
    <row r="36" spans="2:5" hidden="1">
      <c r="B36" s="16">
        <v>25907</v>
      </c>
      <c r="C36" s="35" t="s">
        <v>154</v>
      </c>
      <c r="D36" s="8" t="s">
        <v>129</v>
      </c>
      <c r="E36" s="41">
        <v>20000</v>
      </c>
    </row>
    <row r="37" spans="2:5" hidden="1">
      <c r="B37" s="16">
        <v>25907</v>
      </c>
      <c r="C37" s="35" t="s">
        <v>117</v>
      </c>
      <c r="D37" s="8" t="s">
        <v>153</v>
      </c>
      <c r="E37" s="41">
        <v>670000</v>
      </c>
    </row>
    <row r="38" spans="2:5" hidden="1">
      <c r="B38" s="16">
        <v>25907</v>
      </c>
      <c r="C38" s="35" t="s">
        <v>204</v>
      </c>
      <c r="D38" s="8" t="s">
        <v>205</v>
      </c>
      <c r="E38" s="61">
        <v>600000</v>
      </c>
    </row>
    <row r="39" spans="2:5" hidden="1">
      <c r="B39" s="16">
        <v>25907</v>
      </c>
      <c r="C39" s="35" t="s">
        <v>204</v>
      </c>
      <c r="D39" s="8" t="s">
        <v>206</v>
      </c>
      <c r="E39" s="61">
        <v>250000</v>
      </c>
    </row>
    <row r="40" spans="2:5" hidden="1">
      <c r="B40" s="16">
        <v>25907</v>
      </c>
      <c r="C40" s="35" t="s">
        <v>204</v>
      </c>
      <c r="D40" s="8" t="s">
        <v>207</v>
      </c>
      <c r="E40" s="61">
        <v>430000</v>
      </c>
    </row>
    <row r="41" spans="2:5" hidden="1">
      <c r="B41" s="16">
        <v>25907</v>
      </c>
      <c r="C41" s="35" t="s">
        <v>204</v>
      </c>
      <c r="D41" s="8" t="s">
        <v>208</v>
      </c>
      <c r="E41" s="61">
        <v>480000</v>
      </c>
    </row>
    <row r="42" spans="2:5" hidden="1">
      <c r="B42" s="16">
        <v>25907</v>
      </c>
      <c r="C42" s="35" t="s">
        <v>204</v>
      </c>
      <c r="D42" s="8" t="s">
        <v>209</v>
      </c>
      <c r="E42" s="61">
        <v>32000</v>
      </c>
    </row>
    <row r="43" spans="2:5" hidden="1">
      <c r="B43" s="16">
        <v>25907</v>
      </c>
      <c r="C43" s="35" t="s">
        <v>204</v>
      </c>
      <c r="D43" s="8" t="s">
        <v>82</v>
      </c>
      <c r="E43" s="61">
        <v>200000</v>
      </c>
    </row>
    <row r="44" spans="2:5" hidden="1">
      <c r="B44" s="16">
        <v>25907</v>
      </c>
      <c r="C44" s="35" t="s">
        <v>204</v>
      </c>
      <c r="D44" s="8" t="s">
        <v>210</v>
      </c>
      <c r="E44" s="61">
        <v>8000</v>
      </c>
    </row>
    <row r="45" spans="2:5" hidden="1">
      <c r="B45" s="16" t="s">
        <v>68</v>
      </c>
      <c r="C45" s="35" t="s">
        <v>69</v>
      </c>
      <c r="D45" s="8" t="s">
        <v>70</v>
      </c>
      <c r="E45" s="15">
        <v>450000</v>
      </c>
    </row>
    <row r="46" spans="2:5" hidden="1">
      <c r="B46" s="16" t="s">
        <v>68</v>
      </c>
      <c r="C46" s="35" t="s">
        <v>69</v>
      </c>
      <c r="D46" s="8" t="s">
        <v>71</v>
      </c>
      <c r="E46" s="15">
        <v>390000</v>
      </c>
    </row>
    <row r="47" spans="2:5" hidden="1">
      <c r="B47" s="16" t="s">
        <v>68</v>
      </c>
      <c r="C47" s="35" t="s">
        <v>69</v>
      </c>
      <c r="D47" s="8" t="s">
        <v>72</v>
      </c>
      <c r="E47" s="15">
        <v>160000</v>
      </c>
    </row>
    <row r="48" spans="2:5" hidden="1">
      <c r="B48" s="16" t="s">
        <v>68</v>
      </c>
      <c r="C48" s="35" t="s">
        <v>74</v>
      </c>
      <c r="D48" s="8" t="s">
        <v>87</v>
      </c>
      <c r="E48" s="15">
        <v>250000</v>
      </c>
    </row>
    <row r="49" spans="2:8" hidden="1">
      <c r="B49" s="16" t="s">
        <v>68</v>
      </c>
      <c r="C49" s="35" t="s">
        <v>99</v>
      </c>
      <c r="D49" s="8" t="s">
        <v>100</v>
      </c>
      <c r="E49" s="41">
        <v>500000</v>
      </c>
    </row>
    <row r="50" spans="2:8" hidden="1">
      <c r="B50" s="16" t="s">
        <v>68</v>
      </c>
      <c r="C50" s="35" t="s">
        <v>102</v>
      </c>
      <c r="D50" s="8" t="s">
        <v>100</v>
      </c>
      <c r="E50" s="41">
        <v>500000</v>
      </c>
      <c r="H50" t="s">
        <v>104</v>
      </c>
    </row>
    <row r="51" spans="2:8" hidden="1">
      <c r="B51" s="16" t="s">
        <v>68</v>
      </c>
      <c r="C51" s="35" t="s">
        <v>102</v>
      </c>
      <c r="D51" s="8" t="s">
        <v>103</v>
      </c>
      <c r="E51" s="41">
        <v>2000000</v>
      </c>
    </row>
    <row r="52" spans="2:8" hidden="1">
      <c r="B52" s="16" t="s">
        <v>68</v>
      </c>
      <c r="C52" s="35" t="s">
        <v>105</v>
      </c>
      <c r="D52" s="8" t="s">
        <v>82</v>
      </c>
      <c r="E52" s="41">
        <v>1000000</v>
      </c>
    </row>
    <row r="53" spans="2:8" hidden="1">
      <c r="B53" s="16" t="s">
        <v>68</v>
      </c>
      <c r="C53" s="35" t="s">
        <v>105</v>
      </c>
      <c r="D53" s="8" t="s">
        <v>106</v>
      </c>
      <c r="E53" s="41">
        <v>1850000</v>
      </c>
    </row>
    <row r="54" spans="2:8" hidden="1">
      <c r="B54" s="16" t="s">
        <v>68</v>
      </c>
      <c r="C54" s="35" t="s">
        <v>113</v>
      </c>
      <c r="D54" s="8" t="s">
        <v>73</v>
      </c>
      <c r="E54" s="15">
        <v>300000</v>
      </c>
    </row>
    <row r="55" spans="2:8" hidden="1">
      <c r="B55" s="16" t="s">
        <v>68</v>
      </c>
      <c r="C55" s="35" t="s">
        <v>101</v>
      </c>
      <c r="D55" s="8" t="s">
        <v>100</v>
      </c>
      <c r="E55" s="41">
        <v>1000000</v>
      </c>
    </row>
    <row r="56" spans="2:8" hidden="1">
      <c r="B56" s="16" t="s">
        <v>75</v>
      </c>
      <c r="C56" s="35" t="s">
        <v>79</v>
      </c>
      <c r="D56" s="8" t="s">
        <v>80</v>
      </c>
      <c r="E56" s="15">
        <v>580000</v>
      </c>
    </row>
    <row r="57" spans="2:8" hidden="1">
      <c r="B57" s="16" t="s">
        <v>75</v>
      </c>
      <c r="C57" s="35" t="s">
        <v>79</v>
      </c>
      <c r="D57" s="8" t="s">
        <v>82</v>
      </c>
      <c r="E57" s="15">
        <v>430000</v>
      </c>
    </row>
    <row r="58" spans="2:8" hidden="1">
      <c r="B58" s="16" t="s">
        <v>75</v>
      </c>
      <c r="C58" s="35" t="s">
        <v>79</v>
      </c>
      <c r="D58" s="8" t="s">
        <v>83</v>
      </c>
      <c r="E58" s="15">
        <v>45000</v>
      </c>
    </row>
    <row r="59" spans="2:8" hidden="1">
      <c r="B59" s="16" t="s">
        <v>75</v>
      </c>
      <c r="C59" s="35" t="s">
        <v>79</v>
      </c>
      <c r="D59" s="8" t="s">
        <v>84</v>
      </c>
      <c r="E59" s="15">
        <v>30000</v>
      </c>
    </row>
    <row r="60" spans="2:8" hidden="1">
      <c r="B60" s="16" t="s">
        <v>75</v>
      </c>
      <c r="C60" s="35" t="s">
        <v>107</v>
      </c>
      <c r="D60" s="8" t="s">
        <v>108</v>
      </c>
      <c r="E60" s="41">
        <v>6500000</v>
      </c>
    </row>
    <row r="61" spans="2:8" hidden="1">
      <c r="B61" s="16" t="s">
        <v>75</v>
      </c>
      <c r="C61" s="35" t="s">
        <v>48</v>
      </c>
      <c r="D61" s="8" t="s">
        <v>76</v>
      </c>
      <c r="E61" s="15">
        <v>440000</v>
      </c>
    </row>
    <row r="62" spans="2:8" hidden="1">
      <c r="B62" s="16" t="s">
        <v>75</v>
      </c>
      <c r="C62" s="35" t="s">
        <v>48</v>
      </c>
      <c r="D62" s="8" t="s">
        <v>77</v>
      </c>
      <c r="E62" s="15">
        <v>470000</v>
      </c>
    </row>
    <row r="63" spans="2:8" hidden="1">
      <c r="B63" s="16" t="s">
        <v>75</v>
      </c>
      <c r="C63" s="35" t="s">
        <v>48</v>
      </c>
      <c r="D63" s="8" t="s">
        <v>78</v>
      </c>
      <c r="E63" s="15">
        <v>184000</v>
      </c>
    </row>
    <row r="64" spans="2:8" hidden="1">
      <c r="B64" s="16" t="s">
        <v>75</v>
      </c>
      <c r="C64" s="35" t="s">
        <v>22</v>
      </c>
      <c r="D64" s="8" t="s">
        <v>85</v>
      </c>
      <c r="E64" s="15">
        <v>210000</v>
      </c>
    </row>
    <row r="65" spans="2:6" hidden="1">
      <c r="B65" s="16" t="s">
        <v>75</v>
      </c>
      <c r="C65" s="35" t="s">
        <v>22</v>
      </c>
      <c r="D65" s="8" t="s">
        <v>86</v>
      </c>
      <c r="E65" s="15">
        <v>180000</v>
      </c>
    </row>
    <row r="66" spans="2:6" hidden="1">
      <c r="B66" s="16" t="s">
        <v>75</v>
      </c>
      <c r="C66" s="35" t="s">
        <v>143</v>
      </c>
      <c r="D66" s="8" t="s">
        <v>144</v>
      </c>
      <c r="E66" s="41">
        <v>480000</v>
      </c>
    </row>
    <row r="67" spans="2:6" hidden="1">
      <c r="B67" s="48" t="s">
        <v>141</v>
      </c>
      <c r="C67" s="49" t="s">
        <v>17</v>
      </c>
      <c r="D67" s="50" t="s">
        <v>96</v>
      </c>
      <c r="E67" s="51">
        <v>300000</v>
      </c>
      <c r="F67" s="52"/>
    </row>
    <row r="68" spans="2:6" hidden="1">
      <c r="B68" s="16" t="s">
        <v>141</v>
      </c>
      <c r="C68" s="35" t="s">
        <v>107</v>
      </c>
      <c r="D68" s="8" t="s">
        <v>142</v>
      </c>
      <c r="E68" s="41">
        <v>840000</v>
      </c>
    </row>
    <row r="69" spans="2:6" hidden="1">
      <c r="B69" s="48" t="s">
        <v>57</v>
      </c>
      <c r="C69" s="49" t="s">
        <v>99</v>
      </c>
      <c r="D69" s="50" t="s">
        <v>96</v>
      </c>
      <c r="E69" s="51">
        <v>650000</v>
      </c>
      <c r="F69" s="52"/>
    </row>
    <row r="70" spans="2:6" hidden="1">
      <c r="B70" s="16" t="s">
        <v>57</v>
      </c>
      <c r="C70" s="105" t="s">
        <v>476</v>
      </c>
      <c r="D70" s="106" t="s">
        <v>82</v>
      </c>
      <c r="E70" s="60">
        <v>150000</v>
      </c>
      <c r="F70" s="44"/>
    </row>
    <row r="71" spans="2:6" hidden="1">
      <c r="B71" s="16" t="s">
        <v>57</v>
      </c>
      <c r="C71" s="35" t="s">
        <v>79</v>
      </c>
      <c r="D71" s="8" t="s">
        <v>81</v>
      </c>
      <c r="E71" s="15">
        <v>260000</v>
      </c>
    </row>
    <row r="72" spans="2:6" hidden="1">
      <c r="B72" s="16" t="s">
        <v>57</v>
      </c>
      <c r="C72" s="35" t="s">
        <v>143</v>
      </c>
      <c r="D72" s="8" t="s">
        <v>486</v>
      </c>
      <c r="E72" s="15">
        <v>250000</v>
      </c>
    </row>
    <row r="73" spans="2:6" hidden="1">
      <c r="B73" s="16" t="s">
        <v>57</v>
      </c>
      <c r="C73" s="35" t="s">
        <v>145</v>
      </c>
      <c r="D73" s="8" t="s">
        <v>146</v>
      </c>
      <c r="E73" s="41">
        <v>280000</v>
      </c>
    </row>
    <row r="74" spans="2:6" hidden="1">
      <c r="B74" s="16" t="s">
        <v>57</v>
      </c>
      <c r="C74" s="35" t="s">
        <v>145</v>
      </c>
      <c r="D74" s="8" t="s">
        <v>147</v>
      </c>
      <c r="E74" s="41">
        <v>15000</v>
      </c>
    </row>
    <row r="75" spans="2:6" hidden="1">
      <c r="B75" s="48" t="s">
        <v>57</v>
      </c>
      <c r="C75" s="49" t="s">
        <v>67</v>
      </c>
      <c r="D75" s="50" t="s">
        <v>50</v>
      </c>
      <c r="E75" s="51">
        <v>100000</v>
      </c>
      <c r="F75" s="52"/>
    </row>
    <row r="76" spans="2:6" hidden="1">
      <c r="B76" s="48" t="s">
        <v>57</v>
      </c>
      <c r="C76" s="49" t="s">
        <v>67</v>
      </c>
      <c r="D76" s="50" t="s">
        <v>63</v>
      </c>
      <c r="E76" s="51">
        <v>100000</v>
      </c>
      <c r="F76" s="52"/>
    </row>
    <row r="77" spans="2:6" hidden="1">
      <c r="B77" s="48" t="s">
        <v>57</v>
      </c>
      <c r="C77" s="49" t="s">
        <v>67</v>
      </c>
      <c r="D77" s="50" t="s">
        <v>64</v>
      </c>
      <c r="E77" s="51">
        <v>50000</v>
      </c>
      <c r="F77" s="52"/>
    </row>
    <row r="78" spans="2:6" hidden="1">
      <c r="B78" s="48" t="s">
        <v>57</v>
      </c>
      <c r="C78" s="49" t="s">
        <v>67</v>
      </c>
      <c r="D78" s="50" t="s">
        <v>65</v>
      </c>
      <c r="E78" s="51">
        <v>50000</v>
      </c>
      <c r="F78" s="52"/>
    </row>
    <row r="79" spans="2:6" hidden="1">
      <c r="B79" s="48" t="s">
        <v>57</v>
      </c>
      <c r="C79" s="49" t="s">
        <v>67</v>
      </c>
      <c r="D79" s="50" t="s">
        <v>66</v>
      </c>
      <c r="E79" s="51">
        <v>100000</v>
      </c>
      <c r="F79" s="52"/>
    </row>
    <row r="80" spans="2:6" hidden="1">
      <c r="B80" s="48" t="s">
        <v>57</v>
      </c>
      <c r="C80" s="49" t="s">
        <v>67</v>
      </c>
      <c r="D80" s="50" t="s">
        <v>24</v>
      </c>
      <c r="E80" s="51">
        <v>250000</v>
      </c>
      <c r="F80" s="52"/>
    </row>
    <row r="81" spans="2:6" hidden="1">
      <c r="B81" s="48" t="s">
        <v>57</v>
      </c>
      <c r="C81" s="49" t="s">
        <v>58</v>
      </c>
      <c r="D81" s="50" t="s">
        <v>61</v>
      </c>
      <c r="E81" s="51">
        <v>1080000</v>
      </c>
      <c r="F81" s="52"/>
    </row>
    <row r="82" spans="2:6" hidden="1">
      <c r="B82" s="48" t="s">
        <v>57</v>
      </c>
      <c r="C82" s="49" t="s">
        <v>58</v>
      </c>
      <c r="D82" s="50" t="s">
        <v>60</v>
      </c>
      <c r="E82" s="51">
        <v>400000</v>
      </c>
      <c r="F82" s="52"/>
    </row>
    <row r="83" spans="2:6" hidden="1">
      <c r="B83" s="48" t="s">
        <v>57</v>
      </c>
      <c r="C83" s="49" t="s">
        <v>58</v>
      </c>
      <c r="D83" s="50" t="s">
        <v>59</v>
      </c>
      <c r="E83" s="51">
        <v>180000</v>
      </c>
      <c r="F83" s="52"/>
    </row>
    <row r="84" spans="2:6" hidden="1">
      <c r="B84" s="48" t="s">
        <v>57</v>
      </c>
      <c r="C84" s="49" t="s">
        <v>58</v>
      </c>
      <c r="D84" s="50" t="s">
        <v>62</v>
      </c>
      <c r="E84" s="51">
        <v>170000</v>
      </c>
      <c r="F84" s="52"/>
    </row>
    <row r="85" spans="2:6" hidden="1">
      <c r="B85" s="16" t="s">
        <v>49</v>
      </c>
      <c r="C85" s="35" t="s">
        <v>107</v>
      </c>
      <c r="D85" s="8" t="s">
        <v>110</v>
      </c>
      <c r="E85" s="41">
        <v>1500000</v>
      </c>
    </row>
    <row r="86" spans="2:6" hidden="1">
      <c r="B86" s="16" t="s">
        <v>49</v>
      </c>
      <c r="C86" s="35" t="s">
        <v>52</v>
      </c>
      <c r="D86" s="35" t="s">
        <v>50</v>
      </c>
      <c r="E86" s="15">
        <v>200000</v>
      </c>
    </row>
    <row r="87" spans="2:6" hidden="1">
      <c r="B87" s="16" t="s">
        <v>49</v>
      </c>
      <c r="C87" s="35" t="s">
        <v>52</v>
      </c>
      <c r="D87" s="35" t="s">
        <v>51</v>
      </c>
      <c r="E87" s="15">
        <v>1300000</v>
      </c>
    </row>
    <row r="88" spans="2:6" hidden="1">
      <c r="B88" s="48" t="s">
        <v>49</v>
      </c>
      <c r="C88" s="49" t="s">
        <v>56</v>
      </c>
      <c r="D88" s="50" t="s">
        <v>53</v>
      </c>
      <c r="E88" s="51">
        <v>1800000</v>
      </c>
      <c r="F88" s="52"/>
    </row>
    <row r="89" spans="2:6" hidden="1">
      <c r="B89" s="48" t="s">
        <v>49</v>
      </c>
      <c r="C89" s="49" t="s">
        <v>56</v>
      </c>
      <c r="D89" s="50" t="s">
        <v>54</v>
      </c>
      <c r="E89" s="51">
        <v>150000</v>
      </c>
      <c r="F89" s="52"/>
    </row>
    <row r="90" spans="2:6" hidden="1">
      <c r="B90" s="48" t="s">
        <v>49</v>
      </c>
      <c r="C90" s="49" t="s">
        <v>56</v>
      </c>
      <c r="D90" s="50" t="s">
        <v>55</v>
      </c>
      <c r="E90" s="51">
        <v>280000</v>
      </c>
      <c r="F90" s="52"/>
    </row>
    <row r="91" spans="2:6" hidden="1">
      <c r="B91" s="16" t="s">
        <v>150</v>
      </c>
      <c r="C91" s="105" t="s">
        <v>314</v>
      </c>
      <c r="D91" s="106" t="s">
        <v>477</v>
      </c>
      <c r="E91" s="60">
        <v>500000</v>
      </c>
      <c r="F91" s="44"/>
    </row>
    <row r="92" spans="2:6" hidden="1">
      <c r="B92" s="16" t="s">
        <v>150</v>
      </c>
      <c r="C92" s="35" t="s">
        <v>88</v>
      </c>
      <c r="D92" s="8" t="s">
        <v>90</v>
      </c>
      <c r="E92" s="15">
        <v>15000000</v>
      </c>
    </row>
    <row r="93" spans="2:6" hidden="1">
      <c r="B93" s="16" t="s">
        <v>150</v>
      </c>
      <c r="C93" s="35" t="s">
        <v>21</v>
      </c>
      <c r="D93" s="8" t="s">
        <v>93</v>
      </c>
      <c r="E93" s="15">
        <v>5000000</v>
      </c>
    </row>
    <row r="94" spans="2:6" hidden="1">
      <c r="B94" s="16" t="s">
        <v>150</v>
      </c>
      <c r="C94" s="35" t="s">
        <v>151</v>
      </c>
      <c r="D94" s="8" t="s">
        <v>45</v>
      </c>
      <c r="E94" s="15">
        <v>200000</v>
      </c>
    </row>
    <row r="95" spans="2:6" hidden="1">
      <c r="B95" s="16" t="s">
        <v>150</v>
      </c>
      <c r="C95" s="35" t="s">
        <v>151</v>
      </c>
      <c r="D95" s="8" t="s">
        <v>152</v>
      </c>
      <c r="E95" s="41">
        <v>380000</v>
      </c>
    </row>
    <row r="96" spans="2:6" hidden="1">
      <c r="B96" s="16" t="s">
        <v>150</v>
      </c>
      <c r="C96" s="35" t="s">
        <v>154</v>
      </c>
      <c r="D96" s="8" t="s">
        <v>488</v>
      </c>
      <c r="E96" s="15">
        <v>200000</v>
      </c>
    </row>
    <row r="97" spans="2:5" hidden="1">
      <c r="B97" s="16" t="s">
        <v>150</v>
      </c>
      <c r="C97" s="35" t="s">
        <v>154</v>
      </c>
      <c r="D97" s="8" t="s">
        <v>45</v>
      </c>
      <c r="E97" s="15">
        <v>70000</v>
      </c>
    </row>
    <row r="98" spans="2:5" hidden="1">
      <c r="B98" s="16" t="s">
        <v>150</v>
      </c>
      <c r="C98" s="35" t="s">
        <v>198</v>
      </c>
      <c r="D98" s="8" t="s">
        <v>147</v>
      </c>
      <c r="E98" s="61">
        <v>15000</v>
      </c>
    </row>
    <row r="99" spans="2:5" hidden="1">
      <c r="B99" s="16" t="s">
        <v>150</v>
      </c>
      <c r="C99" s="35" t="s">
        <v>198</v>
      </c>
      <c r="D99" s="8" t="s">
        <v>199</v>
      </c>
      <c r="E99" s="61">
        <v>20000</v>
      </c>
    </row>
    <row r="100" spans="2:5" hidden="1">
      <c r="B100" s="16" t="s">
        <v>150</v>
      </c>
      <c r="C100" s="35" t="s">
        <v>198</v>
      </c>
      <c r="D100" s="8" t="s">
        <v>200</v>
      </c>
      <c r="E100" s="61">
        <v>220000</v>
      </c>
    </row>
    <row r="101" spans="2:5" hidden="1">
      <c r="B101" s="16" t="s">
        <v>150</v>
      </c>
      <c r="C101" s="35" t="s">
        <v>494</v>
      </c>
      <c r="D101" s="8" t="s">
        <v>488</v>
      </c>
      <c r="E101" s="15">
        <v>280000</v>
      </c>
    </row>
    <row r="102" spans="2:5" hidden="1">
      <c r="B102" s="16" t="s">
        <v>91</v>
      </c>
      <c r="C102" s="35" t="s">
        <v>88</v>
      </c>
      <c r="D102" s="8" t="s">
        <v>92</v>
      </c>
      <c r="E102" s="15">
        <v>6500000</v>
      </c>
    </row>
    <row r="103" spans="2:5" hidden="1">
      <c r="B103" s="16" t="s">
        <v>91</v>
      </c>
      <c r="C103" s="35" t="s">
        <v>23</v>
      </c>
      <c r="D103" s="8" t="s">
        <v>95</v>
      </c>
      <c r="E103" s="15">
        <v>1000000</v>
      </c>
    </row>
    <row r="104" spans="2:5" hidden="1">
      <c r="B104" s="16" t="s">
        <v>114</v>
      </c>
      <c r="C104" s="35" t="s">
        <v>115</v>
      </c>
      <c r="D104" s="8" t="s">
        <v>116</v>
      </c>
      <c r="E104" s="15">
        <v>3300000</v>
      </c>
    </row>
    <row r="105" spans="2:5">
      <c r="B105" s="16" t="s">
        <v>120</v>
      </c>
      <c r="C105" s="35" t="s">
        <v>126</v>
      </c>
      <c r="D105" s="8" t="s">
        <v>121</v>
      </c>
      <c r="E105" s="15">
        <v>3800000</v>
      </c>
    </row>
    <row r="106" spans="2:5">
      <c r="B106" s="16" t="s">
        <v>120</v>
      </c>
      <c r="C106" s="35" t="s">
        <v>126</v>
      </c>
      <c r="D106" s="8" t="s">
        <v>122</v>
      </c>
      <c r="E106" s="15">
        <v>2400000</v>
      </c>
    </row>
    <row r="107" spans="2:5">
      <c r="B107" s="16" t="s">
        <v>120</v>
      </c>
      <c r="C107" s="35" t="s">
        <v>126</v>
      </c>
      <c r="D107" s="8" t="s">
        <v>123</v>
      </c>
      <c r="E107" s="15">
        <v>450000</v>
      </c>
    </row>
    <row r="108" spans="2:5">
      <c r="B108" s="16" t="s">
        <v>120</v>
      </c>
      <c r="C108" s="35" t="s">
        <v>126</v>
      </c>
      <c r="D108" s="8" t="s">
        <v>124</v>
      </c>
      <c r="E108" s="15">
        <v>450000</v>
      </c>
    </row>
    <row r="109" spans="2:5">
      <c r="B109" s="16" t="s">
        <v>120</v>
      </c>
      <c r="C109" s="35" t="s">
        <v>126</v>
      </c>
      <c r="D109" s="8" t="s">
        <v>125</v>
      </c>
      <c r="E109" s="15">
        <v>300000</v>
      </c>
    </row>
    <row r="110" spans="2:5">
      <c r="B110" s="16" t="s">
        <v>120</v>
      </c>
      <c r="C110" s="35" t="s">
        <v>491</v>
      </c>
      <c r="D110" s="8" t="s">
        <v>492</v>
      </c>
      <c r="E110" s="15">
        <v>7400000</v>
      </c>
    </row>
    <row r="111" spans="2:5" hidden="1">
      <c r="B111" s="16"/>
      <c r="C111" s="35"/>
      <c r="D111" s="8"/>
      <c r="E111" s="15"/>
    </row>
    <row r="112" spans="2:5" hidden="1">
      <c r="B112" s="16" t="s">
        <v>131</v>
      </c>
      <c r="C112" s="35" t="s">
        <v>149</v>
      </c>
      <c r="D112" s="8" t="s">
        <v>148</v>
      </c>
      <c r="E112" s="15">
        <v>420000</v>
      </c>
    </row>
    <row r="113" spans="2:6" hidden="1">
      <c r="B113" s="16" t="s">
        <v>131</v>
      </c>
      <c r="C113" s="35" t="s">
        <v>174</v>
      </c>
      <c r="D113" s="8" t="s">
        <v>175</v>
      </c>
      <c r="E113" s="61">
        <v>120000</v>
      </c>
      <c r="F113" s="56"/>
    </row>
    <row r="114" spans="2:6" hidden="1">
      <c r="B114" s="16" t="s">
        <v>131</v>
      </c>
      <c r="C114" s="35" t="s">
        <v>174</v>
      </c>
      <c r="D114" s="8" t="s">
        <v>176</v>
      </c>
      <c r="E114" s="61">
        <v>9000</v>
      </c>
    </row>
    <row r="115" spans="2:6" hidden="1">
      <c r="B115" s="16" t="s">
        <v>131</v>
      </c>
      <c r="C115" s="35" t="s">
        <v>174</v>
      </c>
      <c r="D115" s="8" t="s">
        <v>177</v>
      </c>
      <c r="E115" s="61">
        <v>8000</v>
      </c>
    </row>
    <row r="116" spans="2:6" hidden="1">
      <c r="B116" s="16" t="s">
        <v>131</v>
      </c>
      <c r="C116" s="35" t="s">
        <v>319</v>
      </c>
      <c r="D116" s="8" t="s">
        <v>45</v>
      </c>
      <c r="E116" s="15">
        <v>300000</v>
      </c>
    </row>
    <row r="117" spans="2:6" hidden="1">
      <c r="B117" s="16" t="s">
        <v>132</v>
      </c>
      <c r="C117" s="35" t="s">
        <v>133</v>
      </c>
      <c r="D117" s="8" t="s">
        <v>134</v>
      </c>
      <c r="E117" s="15">
        <v>200000</v>
      </c>
    </row>
    <row r="118" spans="2:6" hidden="1">
      <c r="B118" s="16" t="s">
        <v>132</v>
      </c>
      <c r="C118" s="35" t="s">
        <v>133</v>
      </c>
      <c r="D118" s="8" t="s">
        <v>47</v>
      </c>
      <c r="E118" s="15">
        <v>600000</v>
      </c>
    </row>
    <row r="119" spans="2:6" hidden="1">
      <c r="B119" s="16"/>
      <c r="C119" s="35"/>
      <c r="D119" s="8"/>
      <c r="E119" s="15"/>
    </row>
    <row r="120" spans="2:6" hidden="1">
      <c r="B120" s="16" t="s">
        <v>135</v>
      </c>
      <c r="C120" s="35" t="s">
        <v>160</v>
      </c>
      <c r="D120" s="8" t="s">
        <v>161</v>
      </c>
      <c r="E120" s="54">
        <v>1250000</v>
      </c>
    </row>
    <row r="121" spans="2:6" hidden="1">
      <c r="B121" s="16" t="s">
        <v>135</v>
      </c>
      <c r="C121" s="35" t="s">
        <v>136</v>
      </c>
      <c r="D121" s="8" t="s">
        <v>137</v>
      </c>
      <c r="E121" s="15">
        <v>80000</v>
      </c>
    </row>
    <row r="122" spans="2:6" hidden="1">
      <c r="B122" s="16" t="s">
        <v>135</v>
      </c>
      <c r="C122" s="35" t="s">
        <v>151</v>
      </c>
      <c r="D122" s="8" t="s">
        <v>489</v>
      </c>
      <c r="E122" s="15">
        <v>400000</v>
      </c>
    </row>
    <row r="123" spans="2:6" hidden="1">
      <c r="B123" s="16" t="s">
        <v>135</v>
      </c>
      <c r="C123" s="35" t="s">
        <v>201</v>
      </c>
      <c r="D123" s="8" t="s">
        <v>202</v>
      </c>
      <c r="E123" s="61">
        <v>150000</v>
      </c>
      <c r="F123" t="s">
        <v>194</v>
      </c>
    </row>
    <row r="124" spans="2:6" hidden="1">
      <c r="B124" s="16" t="s">
        <v>135</v>
      </c>
      <c r="C124" s="35" t="s">
        <v>201</v>
      </c>
      <c r="D124" s="8" t="s">
        <v>203</v>
      </c>
      <c r="E124" s="61">
        <v>210000</v>
      </c>
      <c r="F124" t="s">
        <v>194</v>
      </c>
    </row>
    <row r="125" spans="2:6" hidden="1">
      <c r="B125" s="16" t="s">
        <v>135</v>
      </c>
      <c r="C125" s="35" t="s">
        <v>491</v>
      </c>
      <c r="D125" s="8" t="s">
        <v>488</v>
      </c>
      <c r="E125" s="15">
        <v>350000</v>
      </c>
    </row>
    <row r="126" spans="2:6" hidden="1">
      <c r="B126" s="16" t="s">
        <v>135</v>
      </c>
      <c r="C126" s="35" t="s">
        <v>192</v>
      </c>
      <c r="D126" s="8" t="s">
        <v>193</v>
      </c>
      <c r="E126" s="61">
        <v>400000</v>
      </c>
      <c r="F126" t="s">
        <v>194</v>
      </c>
    </row>
    <row r="127" spans="2:6" hidden="1">
      <c r="B127" s="16" t="s">
        <v>135</v>
      </c>
      <c r="C127" s="35" t="s">
        <v>192</v>
      </c>
      <c r="D127" s="8" t="s">
        <v>195</v>
      </c>
      <c r="E127" s="61">
        <v>100000</v>
      </c>
      <c r="F127" t="s">
        <v>194</v>
      </c>
    </row>
    <row r="128" spans="2:6" hidden="1">
      <c r="B128" s="16" t="s">
        <v>140</v>
      </c>
      <c r="C128" s="35" t="s">
        <v>102</v>
      </c>
      <c r="D128" s="8" t="s">
        <v>138</v>
      </c>
      <c r="E128" s="15">
        <v>100000</v>
      </c>
    </row>
    <row r="129" spans="2:5" hidden="1">
      <c r="B129" s="16" t="s">
        <v>140</v>
      </c>
      <c r="C129" s="35" t="s">
        <v>102</v>
      </c>
      <c r="D129" s="8" t="s">
        <v>139</v>
      </c>
      <c r="E129" s="15">
        <v>100000</v>
      </c>
    </row>
    <row r="130" spans="2:5" hidden="1">
      <c r="B130" s="16"/>
      <c r="C130" s="35"/>
      <c r="D130" s="8"/>
      <c r="E130" s="15"/>
    </row>
    <row r="131" spans="2:5" hidden="1">
      <c r="B131" s="17" t="s">
        <v>162</v>
      </c>
      <c r="C131" s="35" t="s">
        <v>163</v>
      </c>
      <c r="D131" s="20" t="s">
        <v>164</v>
      </c>
      <c r="E131" s="18">
        <v>300000</v>
      </c>
    </row>
    <row r="132" spans="2:5" hidden="1">
      <c r="B132" s="17" t="s">
        <v>162</v>
      </c>
      <c r="C132" s="35" t="s">
        <v>165</v>
      </c>
      <c r="D132" s="8" t="s">
        <v>166</v>
      </c>
      <c r="E132" s="54">
        <v>250000</v>
      </c>
    </row>
    <row r="133" spans="2:5" hidden="1">
      <c r="B133" s="17" t="s">
        <v>162</v>
      </c>
      <c r="C133" s="35" t="s">
        <v>167</v>
      </c>
      <c r="D133" s="8" t="s">
        <v>45</v>
      </c>
      <c r="E133" s="54">
        <v>150000</v>
      </c>
    </row>
    <row r="134" spans="2:5" hidden="1">
      <c r="B134" s="17" t="s">
        <v>162</v>
      </c>
      <c r="C134" s="35" t="s">
        <v>473</v>
      </c>
      <c r="D134" s="8" t="s">
        <v>474</v>
      </c>
      <c r="E134" s="54">
        <v>650000</v>
      </c>
    </row>
    <row r="135" spans="2:5" hidden="1">
      <c r="B135" s="17" t="s">
        <v>162</v>
      </c>
      <c r="C135" s="35" t="s">
        <v>196</v>
      </c>
      <c r="D135" s="8" t="s">
        <v>197</v>
      </c>
      <c r="E135" s="54">
        <v>150000</v>
      </c>
    </row>
    <row r="136" spans="2:5" hidden="1">
      <c r="B136" s="16"/>
      <c r="C136" s="35"/>
      <c r="D136" s="8"/>
      <c r="E136" s="54"/>
    </row>
    <row r="137" spans="2:5" hidden="1">
      <c r="B137" s="16" t="s">
        <v>190</v>
      </c>
      <c r="C137" s="35" t="s">
        <v>191</v>
      </c>
      <c r="D137" s="8" t="s">
        <v>89</v>
      </c>
      <c r="E137" s="54">
        <v>15800000</v>
      </c>
    </row>
    <row r="138" spans="2:5" hidden="1">
      <c r="B138" s="16"/>
      <c r="C138" s="35"/>
      <c r="D138" s="8"/>
      <c r="E138" s="54"/>
    </row>
    <row r="139" spans="2:5" hidden="1">
      <c r="B139" s="16"/>
      <c r="C139" s="35"/>
      <c r="D139" s="8"/>
      <c r="E139" s="54"/>
    </row>
    <row r="140" spans="2:5" hidden="1">
      <c r="B140" s="16"/>
      <c r="C140" s="35"/>
      <c r="D140" s="8"/>
      <c r="E140" s="54"/>
    </row>
    <row r="141" spans="2:5" hidden="1">
      <c r="B141" s="16"/>
      <c r="C141" s="35"/>
      <c r="D141" s="8"/>
      <c r="E141" s="54"/>
    </row>
    <row r="142" spans="2:5" hidden="1">
      <c r="B142" s="16"/>
      <c r="C142" s="35"/>
      <c r="D142" s="8"/>
      <c r="E142" s="54"/>
    </row>
    <row r="143" spans="2:5" hidden="1">
      <c r="B143" s="16"/>
      <c r="C143" s="35"/>
      <c r="D143" s="8"/>
      <c r="E143" s="54"/>
    </row>
    <row r="144" spans="2:5" hidden="1">
      <c r="B144" s="16"/>
      <c r="C144" s="35"/>
      <c r="D144" s="8"/>
      <c r="E144" s="54"/>
    </row>
    <row r="145" spans="2:6" hidden="1">
      <c r="B145" s="17"/>
      <c r="C145" s="40"/>
      <c r="D145" s="20"/>
      <c r="E145" s="55"/>
      <c r="F145" s="56"/>
    </row>
    <row r="146" spans="2:6" hidden="1">
      <c r="B146" s="16" t="s">
        <v>131</v>
      </c>
      <c r="C146" s="40" t="s">
        <v>174</v>
      </c>
      <c r="D146" s="20" t="s">
        <v>178</v>
      </c>
      <c r="E146" s="62">
        <v>24000</v>
      </c>
    </row>
    <row r="147" spans="2:6" hidden="1">
      <c r="B147" s="16" t="s">
        <v>131</v>
      </c>
      <c r="C147" s="40" t="s">
        <v>174</v>
      </c>
      <c r="D147" s="8" t="s">
        <v>179</v>
      </c>
      <c r="E147" s="61">
        <v>12000</v>
      </c>
    </row>
    <row r="148" spans="2:6" hidden="1">
      <c r="B148" s="16" t="s">
        <v>131</v>
      </c>
      <c r="C148" s="40" t="s">
        <v>174</v>
      </c>
      <c r="D148" s="8" t="s">
        <v>180</v>
      </c>
      <c r="E148" s="61">
        <v>14000</v>
      </c>
      <c r="F148" s="56"/>
    </row>
    <row r="149" spans="2:6" hidden="1">
      <c r="B149" s="16" t="s">
        <v>131</v>
      </c>
      <c r="C149" s="40" t="s">
        <v>174</v>
      </c>
      <c r="D149" s="8" t="s">
        <v>181</v>
      </c>
      <c r="E149" s="61">
        <v>200000</v>
      </c>
      <c r="F149" s="56"/>
    </row>
    <row r="150" spans="2:6" hidden="1">
      <c r="B150" s="16" t="s">
        <v>131</v>
      </c>
      <c r="C150" s="40" t="s">
        <v>127</v>
      </c>
      <c r="D150" s="8" t="s">
        <v>128</v>
      </c>
      <c r="E150" s="15">
        <v>700000</v>
      </c>
    </row>
    <row r="151" spans="2:6" hidden="1">
      <c r="B151" s="16" t="s">
        <v>131</v>
      </c>
      <c r="C151" s="40" t="s">
        <v>127</v>
      </c>
      <c r="D151" s="20" t="s">
        <v>129</v>
      </c>
      <c r="E151" s="18">
        <v>30000</v>
      </c>
    </row>
    <row r="152" spans="2:6" hidden="1">
      <c r="B152" s="16" t="s">
        <v>131</v>
      </c>
      <c r="C152" s="40" t="s">
        <v>127</v>
      </c>
      <c r="D152" s="20" t="s">
        <v>130</v>
      </c>
      <c r="E152" s="18">
        <v>1400000</v>
      </c>
    </row>
    <row r="153" spans="2:6" hidden="1">
      <c r="B153" s="16" t="s">
        <v>131</v>
      </c>
      <c r="C153" s="35" t="s">
        <v>196</v>
      </c>
      <c r="D153" s="8" t="s">
        <v>45</v>
      </c>
      <c r="E153" s="61">
        <v>300000</v>
      </c>
    </row>
    <row r="154" spans="2:6" hidden="1">
      <c r="B154" s="16"/>
      <c r="C154" s="35"/>
      <c r="D154" s="8"/>
      <c r="E154" s="61"/>
    </row>
    <row r="155" spans="2:6" hidden="1">
      <c r="B155" s="16" t="s">
        <v>495</v>
      </c>
      <c r="C155" s="103">
        <v>43103</v>
      </c>
      <c r="D155" s="8" t="s">
        <v>96</v>
      </c>
      <c r="E155" s="104">
        <v>170000</v>
      </c>
    </row>
    <row r="156" spans="2:6" hidden="1">
      <c r="B156" s="16" t="s">
        <v>495</v>
      </c>
      <c r="C156" s="35" t="s">
        <v>182</v>
      </c>
      <c r="D156" s="8" t="s">
        <v>183</v>
      </c>
      <c r="E156" s="61"/>
    </row>
    <row r="157" spans="2:6" hidden="1">
      <c r="B157" s="16" t="s">
        <v>495</v>
      </c>
      <c r="C157" s="35" t="s">
        <v>182</v>
      </c>
      <c r="D157" s="8" t="s">
        <v>184</v>
      </c>
      <c r="E157" s="61"/>
    </row>
    <row r="158" spans="2:6" hidden="1">
      <c r="B158" s="16" t="s">
        <v>495</v>
      </c>
      <c r="C158" s="35" t="s">
        <v>182</v>
      </c>
      <c r="D158" s="8" t="s">
        <v>185</v>
      </c>
      <c r="E158" s="61">
        <v>70000</v>
      </c>
    </row>
    <row r="159" spans="2:6" hidden="1">
      <c r="B159" s="16" t="s">
        <v>495</v>
      </c>
      <c r="C159" s="35" t="s">
        <v>182</v>
      </c>
      <c r="D159" s="8" t="s">
        <v>186</v>
      </c>
      <c r="E159" s="61">
        <v>20000</v>
      </c>
    </row>
    <row r="160" spans="2:6" hidden="1">
      <c r="B160" s="16" t="s">
        <v>495</v>
      </c>
      <c r="C160" s="35" t="s">
        <v>182</v>
      </c>
      <c r="D160" s="8" t="s">
        <v>187</v>
      </c>
      <c r="E160" s="61">
        <v>26000</v>
      </c>
    </row>
    <row r="161" spans="2:6" hidden="1">
      <c r="B161" s="16" t="s">
        <v>495</v>
      </c>
      <c r="C161" s="35" t="s">
        <v>182</v>
      </c>
      <c r="D161" s="8" t="s">
        <v>188</v>
      </c>
      <c r="E161" s="61">
        <v>24000</v>
      </c>
    </row>
    <row r="162" spans="2:6" hidden="1">
      <c r="B162" s="16" t="s">
        <v>495</v>
      </c>
      <c r="C162" s="35" t="s">
        <v>182</v>
      </c>
      <c r="D162" s="8" t="s">
        <v>189</v>
      </c>
      <c r="E162" s="61">
        <v>4000</v>
      </c>
    </row>
    <row r="163" spans="2:6" hidden="1">
      <c r="B163" s="16" t="s">
        <v>495</v>
      </c>
      <c r="C163" s="35" t="s">
        <v>496</v>
      </c>
      <c r="D163" s="8" t="s">
        <v>488</v>
      </c>
      <c r="E163" s="61">
        <v>500000</v>
      </c>
    </row>
    <row r="164" spans="2:6" hidden="1">
      <c r="B164" s="17"/>
      <c r="C164" s="40"/>
      <c r="D164" s="20"/>
      <c r="E164" s="62"/>
      <c r="F164" s="56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>
  <dimension ref="A1:K30"/>
  <sheetViews>
    <sheetView topLeftCell="A7" workbookViewId="0">
      <selection activeCell="C31" sqref="C31"/>
    </sheetView>
  </sheetViews>
  <sheetFormatPr defaultRowHeight="15"/>
  <cols>
    <col min="1" max="1" width="9.140625" style="296"/>
    <col min="2" max="2" width="17.140625" customWidth="1"/>
    <col min="3" max="3" width="17.140625" style="6" customWidth="1"/>
  </cols>
  <sheetData>
    <row r="1" spans="1:11">
      <c r="A1" s="305" t="s">
        <v>0</v>
      </c>
      <c r="B1" s="305"/>
      <c r="C1" s="304"/>
      <c r="D1" s="304"/>
      <c r="E1" s="304"/>
      <c r="F1" s="304"/>
      <c r="G1" s="303"/>
      <c r="H1" s="302"/>
      <c r="I1" s="6"/>
      <c r="J1" s="6"/>
      <c r="K1" s="6"/>
    </row>
    <row r="2" spans="1:11">
      <c r="A2" s="305" t="s">
        <v>1</v>
      </c>
      <c r="B2" s="305"/>
      <c r="C2" s="304"/>
      <c r="D2" s="304"/>
      <c r="E2" s="304"/>
      <c r="F2" s="304"/>
      <c r="G2" s="303"/>
      <c r="H2" s="302"/>
      <c r="I2" s="6"/>
      <c r="J2" s="6"/>
      <c r="K2" s="6"/>
    </row>
    <row r="3" spans="1:11">
      <c r="A3" s="305" t="s">
        <v>2</v>
      </c>
      <c r="B3" s="305"/>
      <c r="C3" s="304"/>
      <c r="D3" s="304"/>
      <c r="E3" s="304"/>
      <c r="F3" s="304"/>
      <c r="G3" s="303"/>
      <c r="H3" s="302"/>
      <c r="I3" s="6"/>
      <c r="J3" s="6"/>
      <c r="K3" s="6"/>
    </row>
    <row r="4" spans="1:11">
      <c r="A4" s="305" t="s">
        <v>3</v>
      </c>
      <c r="B4" s="305"/>
      <c r="C4" s="304"/>
      <c r="D4" s="304"/>
      <c r="E4" s="304"/>
      <c r="F4" s="304"/>
      <c r="G4" s="303"/>
      <c r="H4" s="302"/>
      <c r="I4" s="6"/>
      <c r="J4" s="6"/>
      <c r="K4" s="6"/>
    </row>
    <row r="6" spans="1:11" s="299" customFormat="1" ht="21">
      <c r="A6" s="301" t="s">
        <v>519</v>
      </c>
      <c r="C6" s="300"/>
    </row>
    <row r="7" spans="1:11">
      <c r="A7" s="298" t="s">
        <v>518</v>
      </c>
      <c r="B7" s="8" t="s">
        <v>517</v>
      </c>
      <c r="C7" s="7" t="s">
        <v>516</v>
      </c>
      <c r="D7" s="8"/>
      <c r="E7" s="8"/>
      <c r="F7" s="8"/>
      <c r="G7" s="8"/>
    </row>
    <row r="8" spans="1:11">
      <c r="A8" s="297">
        <v>1</v>
      </c>
      <c r="B8" s="8">
        <v>6373</v>
      </c>
      <c r="C8" s="7">
        <f>+'6373'!I82</f>
        <v>106106028</v>
      </c>
      <c r="D8" s="8"/>
      <c r="E8" s="8"/>
      <c r="F8" s="8"/>
      <c r="G8" s="8"/>
    </row>
    <row r="9" spans="1:11">
      <c r="A9" s="297">
        <v>2</v>
      </c>
      <c r="B9" s="8">
        <v>68553</v>
      </c>
      <c r="C9" s="286">
        <f>+'68553.'!I111</f>
        <v>32360000</v>
      </c>
      <c r="D9" s="8"/>
      <c r="E9" s="8"/>
      <c r="F9" s="8"/>
      <c r="G9" s="8"/>
    </row>
    <row r="10" spans="1:11">
      <c r="A10" s="297">
        <v>3</v>
      </c>
      <c r="B10" s="8">
        <v>7477</v>
      </c>
      <c r="C10" s="7">
        <f>+'7477'!H67</f>
        <v>82630000</v>
      </c>
      <c r="D10" s="8"/>
      <c r="E10" s="8"/>
      <c r="F10" s="8"/>
      <c r="G10" s="8"/>
    </row>
    <row r="11" spans="1:11">
      <c r="A11" s="297">
        <v>4</v>
      </c>
      <c r="B11" s="8">
        <v>2229</v>
      </c>
      <c r="C11" s="7">
        <f>+'2229'!I74</f>
        <v>71666600</v>
      </c>
      <c r="D11" s="8"/>
      <c r="E11" s="8"/>
      <c r="F11" s="8"/>
      <c r="G11" s="8"/>
    </row>
    <row r="12" spans="1:11">
      <c r="A12" s="297">
        <v>5</v>
      </c>
      <c r="B12" s="8">
        <v>8339</v>
      </c>
      <c r="C12" s="7">
        <f>+'8339'!I70</f>
        <v>65970000</v>
      </c>
      <c r="D12" s="8"/>
      <c r="E12" s="8"/>
      <c r="F12" s="8"/>
      <c r="G12" s="8"/>
    </row>
    <row r="13" spans="1:11">
      <c r="A13" s="297">
        <v>6</v>
      </c>
      <c r="B13" s="8">
        <v>3099</v>
      </c>
      <c r="C13" s="7">
        <f>+'3099'!H54</f>
        <v>52307896</v>
      </c>
      <c r="D13" s="8"/>
      <c r="E13" s="8"/>
      <c r="F13" s="8"/>
      <c r="G13" s="8"/>
    </row>
    <row r="14" spans="1:11">
      <c r="A14" s="297">
        <v>7</v>
      </c>
      <c r="B14" s="8">
        <v>3795</v>
      </c>
      <c r="C14" s="7">
        <f>+Table14[[#Totals],[THÀNH TIỀN ]]</f>
        <v>60160000</v>
      </c>
      <c r="D14" s="8"/>
      <c r="E14" s="8"/>
      <c r="F14" s="8"/>
      <c r="G14" s="8"/>
    </row>
    <row r="15" spans="1:11">
      <c r="A15" s="297">
        <v>8</v>
      </c>
      <c r="B15" s="8">
        <v>5136</v>
      </c>
      <c r="C15" s="7">
        <f>+Table16[[#Totals],[THÀNH TIỀN ]]</f>
        <v>56250000</v>
      </c>
      <c r="D15" s="8"/>
      <c r="E15" s="8"/>
      <c r="F15" s="8"/>
      <c r="G15" s="8"/>
    </row>
    <row r="16" spans="1:11">
      <c r="A16" s="297">
        <v>9</v>
      </c>
      <c r="B16" s="8">
        <v>1171</v>
      </c>
      <c r="C16" s="7">
        <f>+Table8[[#Totals],[THÀNH TIỀN ]]</f>
        <v>78480000</v>
      </c>
      <c r="D16" s="8"/>
      <c r="E16" s="8"/>
      <c r="F16" s="8"/>
      <c r="G16" s="8"/>
    </row>
    <row r="17" spans="1:7">
      <c r="A17" s="297">
        <v>10</v>
      </c>
      <c r="B17" s="8">
        <v>9918</v>
      </c>
      <c r="C17" s="7">
        <f>+'9918'!I86</f>
        <v>81586900</v>
      </c>
      <c r="D17" s="8"/>
      <c r="E17" s="8"/>
      <c r="F17" s="8"/>
      <c r="G17" s="8"/>
    </row>
    <row r="18" spans="1:7">
      <c r="A18" s="297">
        <v>11</v>
      </c>
      <c r="B18" s="8">
        <v>10096</v>
      </c>
      <c r="C18" s="7">
        <f>+'10096'!I94</f>
        <v>82103800</v>
      </c>
      <c r="D18" s="8"/>
      <c r="E18" s="8"/>
      <c r="F18" s="8"/>
      <c r="G18" s="8"/>
    </row>
    <row r="19" spans="1:7">
      <c r="A19" s="297">
        <v>12</v>
      </c>
      <c r="B19" s="8">
        <v>25907</v>
      </c>
      <c r="C19" s="7">
        <f>+'25907'!I81</f>
        <v>92210000</v>
      </c>
      <c r="D19" s="8"/>
      <c r="E19" s="8"/>
      <c r="F19" s="8"/>
      <c r="G19" s="8"/>
    </row>
    <row r="20" spans="1:7">
      <c r="A20" s="297">
        <v>13</v>
      </c>
      <c r="B20" s="8">
        <v>2890</v>
      </c>
      <c r="C20" s="7">
        <f>+'2890'!I31</f>
        <v>19490000</v>
      </c>
      <c r="D20" s="8"/>
      <c r="E20" s="8"/>
      <c r="F20" s="8"/>
      <c r="G20" s="8"/>
    </row>
    <row r="21" spans="1:7">
      <c r="A21" s="297">
        <v>14</v>
      </c>
      <c r="B21" s="8">
        <v>16586</v>
      </c>
      <c r="C21" s="7">
        <f>+Table12[[#Totals],[THÀNH TIỀN ]]</f>
        <v>24320000</v>
      </c>
      <c r="D21" s="8"/>
      <c r="E21" s="8"/>
      <c r="F21" s="8"/>
      <c r="G21" s="8"/>
    </row>
    <row r="22" spans="1:7">
      <c r="A22" s="297">
        <v>15</v>
      </c>
      <c r="B22" s="8">
        <v>70297</v>
      </c>
      <c r="C22" s="7">
        <f>+'70297'!H11+'70297'!H12</f>
        <v>3970000</v>
      </c>
      <c r="D22" s="8"/>
      <c r="E22" s="8"/>
      <c r="F22" s="8"/>
      <c r="G22" s="8"/>
    </row>
    <row r="23" spans="1:7">
      <c r="A23" s="297">
        <v>16</v>
      </c>
      <c r="B23" s="8">
        <v>38068</v>
      </c>
      <c r="C23" s="7">
        <f>+Table13[[#Totals],[THÀNH TIỀN ]]</f>
        <v>22400000</v>
      </c>
      <c r="D23" s="8"/>
      <c r="E23" s="8"/>
      <c r="F23" s="8"/>
      <c r="G23" s="8"/>
    </row>
    <row r="24" spans="1:7">
      <c r="A24" s="297">
        <v>17</v>
      </c>
      <c r="B24" s="8">
        <v>93025</v>
      </c>
      <c r="C24" s="7">
        <f>+'93025'!J21</f>
        <v>24000000</v>
      </c>
      <c r="D24" s="8"/>
      <c r="E24" s="8"/>
      <c r="F24" s="8"/>
      <c r="G24" s="8"/>
    </row>
    <row r="25" spans="1:7">
      <c r="A25" s="297">
        <v>18</v>
      </c>
      <c r="B25" s="8"/>
      <c r="C25" s="7"/>
      <c r="D25" s="8"/>
      <c r="E25" s="8"/>
      <c r="F25" s="8"/>
      <c r="G25" s="8"/>
    </row>
    <row r="26" spans="1:7">
      <c r="A26" s="297">
        <v>19</v>
      </c>
      <c r="B26" s="8"/>
      <c r="C26" s="7"/>
      <c r="D26" s="8"/>
      <c r="E26" s="8"/>
      <c r="F26" s="8"/>
      <c r="G26" s="8"/>
    </row>
    <row r="27" spans="1:7">
      <c r="A27" s="297">
        <v>20</v>
      </c>
      <c r="B27" s="8"/>
      <c r="C27" s="7"/>
      <c r="D27" s="8"/>
      <c r="E27" s="8"/>
      <c r="F27" s="8"/>
      <c r="G27" s="8"/>
    </row>
    <row r="28" spans="1:7">
      <c r="A28" s="297">
        <v>21</v>
      </c>
      <c r="B28" s="8"/>
      <c r="C28" s="7"/>
      <c r="D28" s="8"/>
      <c r="E28" s="8"/>
      <c r="F28" s="8"/>
      <c r="G28" s="8"/>
    </row>
    <row r="29" spans="1:7">
      <c r="A29" s="297">
        <v>22</v>
      </c>
      <c r="B29" s="8"/>
      <c r="C29" s="7"/>
      <c r="D29" s="8"/>
      <c r="E29" s="8"/>
      <c r="F29" s="8"/>
      <c r="G29" s="8"/>
    </row>
    <row r="30" spans="1:7">
      <c r="A30" s="297"/>
      <c r="B30" s="8"/>
      <c r="C30" s="7">
        <f>SUM(C8:C29)</f>
        <v>956011224</v>
      </c>
      <c r="D30" s="8"/>
      <c r="E30" s="8"/>
      <c r="F30" s="8"/>
      <c r="G30" s="8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C000"/>
  </sheetPr>
  <dimension ref="A1:O146"/>
  <sheetViews>
    <sheetView topLeftCell="A54" workbookViewId="0">
      <selection activeCell="M114" sqref="M114"/>
    </sheetView>
  </sheetViews>
  <sheetFormatPr defaultRowHeight="15"/>
  <cols>
    <col min="1" max="1" width="11.140625" style="26" customWidth="1"/>
    <col min="2" max="2" width="7.7109375" style="26" customWidth="1"/>
    <col min="3" max="3" width="16.140625" style="26" customWidth="1"/>
    <col min="4" max="4" width="17" style="26" customWidth="1"/>
    <col min="5" max="5" width="12.140625" style="26" customWidth="1"/>
    <col min="6" max="6" width="5.85546875" style="26" customWidth="1"/>
    <col min="7" max="7" width="5.7109375" style="26" customWidth="1"/>
    <col min="8" max="8" width="9.140625" style="26"/>
    <col min="9" max="9" width="12" style="151" customWidth="1"/>
    <col min="10" max="10" width="11.85546875" style="151" customWidth="1"/>
    <col min="11" max="11" width="12.140625" style="151" customWidth="1"/>
    <col min="12" max="12" width="12.42578125" style="151" customWidth="1"/>
    <col min="13" max="13" width="9.140625" style="26"/>
  </cols>
  <sheetData>
    <row r="1" spans="1:15">
      <c r="A1" s="146" t="s">
        <v>0</v>
      </c>
      <c r="B1" s="146"/>
      <c r="C1" s="146"/>
      <c r="D1" s="147"/>
      <c r="E1" s="147"/>
      <c r="F1" s="147"/>
      <c r="G1" s="147"/>
      <c r="H1" s="148"/>
      <c r="I1" s="149"/>
      <c r="J1" s="150"/>
      <c r="K1" s="150"/>
      <c r="L1" s="150"/>
    </row>
    <row r="2" spans="1:15">
      <c r="A2" s="146" t="s">
        <v>1</v>
      </c>
      <c r="B2" s="146"/>
      <c r="C2" s="146"/>
      <c r="D2" s="147"/>
      <c r="E2" s="147"/>
      <c r="F2" s="147"/>
      <c r="G2" s="147"/>
      <c r="H2" s="148"/>
      <c r="I2" s="149"/>
      <c r="J2" s="150"/>
      <c r="K2" s="150"/>
      <c r="L2" s="150"/>
    </row>
    <row r="3" spans="1:15">
      <c r="A3" s="146" t="s">
        <v>2</v>
      </c>
      <c r="B3" s="146"/>
      <c r="C3" s="146"/>
      <c r="D3" s="147"/>
      <c r="E3" s="147"/>
      <c r="F3" s="147"/>
      <c r="G3" s="147"/>
      <c r="H3" s="148"/>
      <c r="I3" s="149"/>
      <c r="J3" s="150"/>
      <c r="K3" s="150"/>
      <c r="L3" s="150"/>
    </row>
    <row r="4" spans="1:15">
      <c r="A4" s="146" t="s">
        <v>3</v>
      </c>
      <c r="B4" s="146"/>
      <c r="C4" s="146"/>
      <c r="D4" s="147"/>
      <c r="E4" s="147"/>
      <c r="F4" s="147"/>
      <c r="G4" s="147"/>
      <c r="H4" s="148"/>
      <c r="I4" s="149"/>
      <c r="J4" s="150"/>
      <c r="K4" s="150"/>
      <c r="L4" s="150"/>
    </row>
    <row r="5" spans="1:15">
      <c r="A5" s="316" t="s">
        <v>221</v>
      </c>
      <c r="B5" s="316"/>
      <c r="C5" s="316"/>
      <c r="D5" s="316"/>
      <c r="E5" s="316"/>
      <c r="F5" s="316"/>
      <c r="G5" s="316"/>
      <c r="H5" s="316"/>
      <c r="I5" s="316"/>
      <c r="J5" s="316"/>
      <c r="K5" s="316"/>
      <c r="L5" s="316"/>
    </row>
    <row r="6" spans="1:15">
      <c r="A6" s="316"/>
      <c r="B6" s="316"/>
      <c r="C6" s="316"/>
      <c r="D6" s="316"/>
      <c r="E6" s="316"/>
      <c r="F6" s="316"/>
      <c r="G6" s="316"/>
      <c r="H6" s="316"/>
      <c r="I6" s="316"/>
      <c r="J6" s="316"/>
      <c r="K6" s="316"/>
      <c r="L6" s="316"/>
    </row>
    <row r="7" spans="1:15">
      <c r="A7" s="316"/>
      <c r="B7" s="316"/>
      <c r="C7" s="316"/>
      <c r="D7" s="316"/>
      <c r="E7" s="316"/>
      <c r="F7" s="316"/>
      <c r="G7" s="316"/>
      <c r="H7" s="316"/>
      <c r="I7" s="316"/>
      <c r="J7" s="316"/>
      <c r="K7" s="316"/>
      <c r="L7" s="316"/>
    </row>
    <row r="8" spans="1:15" ht="21">
      <c r="A8" s="317" t="s">
        <v>18</v>
      </c>
      <c r="B8" s="317"/>
      <c r="C8" s="317"/>
      <c r="D8" s="317"/>
      <c r="E8" s="317"/>
      <c r="F8" s="317"/>
      <c r="G8" s="317"/>
      <c r="H8" s="317"/>
      <c r="I8" s="317"/>
      <c r="J8" s="317"/>
      <c r="K8" s="317"/>
      <c r="L8" s="317"/>
    </row>
    <row r="9" spans="1:15" s="57" customFormat="1">
      <c r="A9" s="130" t="s">
        <v>5</v>
      </c>
      <c r="B9" s="131" t="s">
        <v>6</v>
      </c>
      <c r="C9" s="131" t="s">
        <v>7</v>
      </c>
      <c r="D9" s="132" t="s">
        <v>8</v>
      </c>
      <c r="E9" s="131" t="s">
        <v>9</v>
      </c>
      <c r="F9" s="131" t="s">
        <v>10</v>
      </c>
      <c r="G9" s="131" t="s">
        <v>11</v>
      </c>
      <c r="H9" s="133" t="s">
        <v>12</v>
      </c>
      <c r="I9" s="132" t="s">
        <v>38</v>
      </c>
      <c r="J9" s="132" t="s">
        <v>14</v>
      </c>
      <c r="K9" s="132" t="s">
        <v>15</v>
      </c>
      <c r="L9" s="134" t="s">
        <v>16</v>
      </c>
    </row>
    <row r="10" spans="1:15" s="44" customFormat="1" hidden="1">
      <c r="A10" s="68">
        <v>43160</v>
      </c>
      <c r="B10" s="58" t="s">
        <v>447</v>
      </c>
      <c r="C10" s="124" t="s">
        <v>231</v>
      </c>
      <c r="D10" s="124" t="s">
        <v>240</v>
      </c>
      <c r="E10" s="58"/>
      <c r="F10" s="124" t="s">
        <v>250</v>
      </c>
      <c r="G10" s="124"/>
      <c r="H10" s="140">
        <v>15.475</v>
      </c>
      <c r="I10" s="89">
        <v>1</v>
      </c>
      <c r="J10" s="185">
        <v>1000000</v>
      </c>
      <c r="K10" s="185">
        <f>Table2[[#This Row],[ĐƠN GIÁ ]]*Table2[[#This Row],[SL]]</f>
        <v>1000000</v>
      </c>
      <c r="L10" s="209">
        <f>+Table2[[#This Row],[THÀNH TIỀN ]]*10%</f>
        <v>100000</v>
      </c>
      <c r="M10" s="57"/>
    </row>
    <row r="11" spans="1:15" s="44" customFormat="1" ht="14.25" hidden="1" customHeight="1">
      <c r="A11" s="68">
        <v>43160</v>
      </c>
      <c r="B11" s="58" t="s">
        <v>447</v>
      </c>
      <c r="C11" s="58" t="s">
        <v>231</v>
      </c>
      <c r="D11" s="58" t="s">
        <v>459</v>
      </c>
      <c r="E11" s="58"/>
      <c r="F11" s="58" t="s">
        <v>261</v>
      </c>
      <c r="G11" s="58"/>
      <c r="H11" s="140">
        <v>14</v>
      </c>
      <c r="I11" s="89">
        <v>1</v>
      </c>
      <c r="J11" s="185">
        <v>1000000</v>
      </c>
      <c r="K11" s="280">
        <f>Table2[[#This Row],[ĐƠN GIÁ ]]*Table2[[#This Row],[SL]]</f>
        <v>1000000</v>
      </c>
      <c r="L11" s="210">
        <f>+Table2[[#This Row],[THÀNH TIỀN ]]*10%</f>
        <v>100000</v>
      </c>
      <c r="M11" s="57"/>
    </row>
    <row r="12" spans="1:15" s="44" customFormat="1" hidden="1">
      <c r="A12" s="68">
        <v>43160</v>
      </c>
      <c r="B12" s="58" t="s">
        <v>447</v>
      </c>
      <c r="C12" s="58" t="s">
        <v>231</v>
      </c>
      <c r="D12" s="58" t="s">
        <v>232</v>
      </c>
      <c r="E12" s="58"/>
      <c r="F12" s="58" t="s">
        <v>233</v>
      </c>
      <c r="G12" s="58"/>
      <c r="H12" s="58" t="s">
        <v>448</v>
      </c>
      <c r="I12" s="89">
        <v>1</v>
      </c>
      <c r="J12" s="185">
        <v>1000000</v>
      </c>
      <c r="K12" s="280">
        <f>Table2[[#This Row],[ĐƠN GIÁ ]]*Table2[[#This Row],[SL]]</f>
        <v>1000000</v>
      </c>
      <c r="L12" s="210">
        <f>+Table2[[#This Row],[THÀNH TIỀN ]]*10%</f>
        <v>100000</v>
      </c>
      <c r="M12" s="57"/>
    </row>
    <row r="13" spans="1:15" s="44" customFormat="1">
      <c r="A13" s="68">
        <v>43160</v>
      </c>
      <c r="B13" s="58" t="s">
        <v>447</v>
      </c>
      <c r="C13" s="58" t="s">
        <v>348</v>
      </c>
      <c r="D13" s="58" t="s">
        <v>237</v>
      </c>
      <c r="E13" s="58" t="s">
        <v>238</v>
      </c>
      <c r="F13" s="58"/>
      <c r="G13" s="58"/>
      <c r="H13" s="140"/>
      <c r="I13" s="89">
        <v>4</v>
      </c>
      <c r="J13" s="185">
        <v>120000</v>
      </c>
      <c r="K13" s="280">
        <f>Table2[[#This Row],[ĐƠN GIÁ ]]*Table2[[#This Row],[SL]]</f>
        <v>480000</v>
      </c>
      <c r="L13" s="210">
        <f>+Table2[[#This Row],[THÀNH TIỀN ]]*10%</f>
        <v>48000</v>
      </c>
      <c r="M13" s="57"/>
    </row>
    <row r="14" spans="1:15" s="44" customFormat="1" hidden="1">
      <c r="A14" s="68">
        <v>43161</v>
      </c>
      <c r="B14" s="58" t="s">
        <v>447</v>
      </c>
      <c r="C14" s="58" t="s">
        <v>372</v>
      </c>
      <c r="D14" s="58" t="s">
        <v>234</v>
      </c>
      <c r="E14" s="58"/>
      <c r="F14" s="58" t="s">
        <v>235</v>
      </c>
      <c r="G14" s="58"/>
      <c r="H14" s="140">
        <v>15.592592592592593</v>
      </c>
      <c r="I14" s="89">
        <v>1</v>
      </c>
      <c r="J14" s="185">
        <v>1100000</v>
      </c>
      <c r="K14" s="280">
        <f>Table2[[#This Row],[ĐƠN GIÁ ]]*Table2[[#This Row],[SL]]</f>
        <v>1100000</v>
      </c>
      <c r="L14" s="210">
        <f>+Table2[[#This Row],[THÀNH TIỀN ]]*10%</f>
        <v>110000</v>
      </c>
      <c r="M14" s="57"/>
    </row>
    <row r="15" spans="1:15" s="44" customFormat="1" hidden="1">
      <c r="A15" s="68">
        <v>43161</v>
      </c>
      <c r="B15" s="58" t="s">
        <v>447</v>
      </c>
      <c r="C15" s="58" t="s">
        <v>449</v>
      </c>
      <c r="D15" s="58" t="s">
        <v>240</v>
      </c>
      <c r="E15" s="58"/>
      <c r="F15" s="58" t="s">
        <v>235</v>
      </c>
      <c r="G15" s="58"/>
      <c r="H15" s="140">
        <v>13.906666666666666</v>
      </c>
      <c r="I15" s="89">
        <v>1</v>
      </c>
      <c r="J15" s="185">
        <v>200000</v>
      </c>
      <c r="K15" s="280">
        <f>Table2[[#This Row],[ĐƠN GIÁ ]]*Table2[[#This Row],[SL]]</f>
        <v>200000</v>
      </c>
      <c r="L15" s="210">
        <f>+Table2[[#This Row],[THÀNH TIỀN ]]*10%</f>
        <v>20000</v>
      </c>
      <c r="M15" s="57"/>
    </row>
    <row r="16" spans="1:15" s="44" customFormat="1">
      <c r="A16" s="68">
        <v>43161</v>
      </c>
      <c r="B16" s="58" t="s">
        <v>447</v>
      </c>
      <c r="C16" s="58" t="s">
        <v>348</v>
      </c>
      <c r="D16" s="58" t="s">
        <v>237</v>
      </c>
      <c r="E16" s="58" t="s">
        <v>238</v>
      </c>
      <c r="F16" s="58"/>
      <c r="G16" s="58"/>
      <c r="H16" s="140"/>
      <c r="I16" s="89">
        <v>10</v>
      </c>
      <c r="J16" s="185">
        <v>120000</v>
      </c>
      <c r="K16" s="280">
        <f>Table2[[#This Row],[ĐƠN GIÁ ]]*Table2[[#This Row],[SL]]</f>
        <v>1200000</v>
      </c>
      <c r="L16" s="210">
        <f>+Table2[[#This Row],[THÀNH TIỀN ]]*10%</f>
        <v>120000</v>
      </c>
      <c r="M16" s="57"/>
      <c r="O16" s="44" t="s">
        <v>505</v>
      </c>
    </row>
    <row r="17" spans="1:13" s="44" customFormat="1">
      <c r="A17" s="68">
        <v>43161</v>
      </c>
      <c r="B17" s="58" t="s">
        <v>447</v>
      </c>
      <c r="C17" s="58" t="s">
        <v>348</v>
      </c>
      <c r="D17" s="58" t="s">
        <v>450</v>
      </c>
      <c r="E17" s="58" t="s">
        <v>238</v>
      </c>
      <c r="F17" s="58"/>
      <c r="G17" s="58"/>
      <c r="H17" s="140"/>
      <c r="I17" s="89">
        <v>1</v>
      </c>
      <c r="J17" s="280">
        <v>350000</v>
      </c>
      <c r="K17" s="280">
        <f>Table2[[#This Row],[ĐƠN GIÁ ]]*Table2[[#This Row],[SL]]</f>
        <v>350000</v>
      </c>
      <c r="L17" s="210">
        <f>+Table2[[#This Row],[THÀNH TIỀN ]]*10%</f>
        <v>35000</v>
      </c>
      <c r="M17" s="57"/>
    </row>
    <row r="18" spans="1:13" s="44" customFormat="1">
      <c r="A18" s="68">
        <v>43162</v>
      </c>
      <c r="B18" s="58" t="s">
        <v>447</v>
      </c>
      <c r="C18" s="58" t="s">
        <v>348</v>
      </c>
      <c r="D18" s="58" t="s">
        <v>237</v>
      </c>
      <c r="E18" s="58" t="s">
        <v>238</v>
      </c>
      <c r="F18" s="58"/>
      <c r="G18" s="58"/>
      <c r="H18" s="140"/>
      <c r="I18" s="89">
        <v>21</v>
      </c>
      <c r="J18" s="185">
        <v>120000</v>
      </c>
      <c r="K18" s="280">
        <f>Table2[[#This Row],[ĐƠN GIÁ ]]*Table2[[#This Row],[SL]]</f>
        <v>2520000</v>
      </c>
      <c r="L18" s="210">
        <f>+Table2[[#This Row],[THÀNH TIỀN ]]*10%</f>
        <v>252000</v>
      </c>
      <c r="M18" s="57"/>
    </row>
    <row r="19" spans="1:13" s="44" customFormat="1" hidden="1">
      <c r="A19" s="68">
        <v>43163</v>
      </c>
      <c r="B19" s="58" t="s">
        <v>447</v>
      </c>
      <c r="C19" s="58" t="s">
        <v>372</v>
      </c>
      <c r="D19" s="58" t="s">
        <v>245</v>
      </c>
      <c r="E19" s="58"/>
      <c r="F19" s="58" t="s">
        <v>235</v>
      </c>
      <c r="G19" s="58"/>
      <c r="H19" s="140">
        <v>14</v>
      </c>
      <c r="I19" s="89">
        <v>1</v>
      </c>
      <c r="J19" s="185">
        <v>1200000</v>
      </c>
      <c r="K19" s="280">
        <f>Table2[[#This Row],[ĐƠN GIÁ ]]*Table2[[#This Row],[SL]]</f>
        <v>1200000</v>
      </c>
      <c r="L19" s="210">
        <f>+Table2[[#This Row],[THÀNH TIỀN ]]*10%</f>
        <v>120000</v>
      </c>
      <c r="M19" s="57"/>
    </row>
    <row r="20" spans="1:13" s="44" customFormat="1">
      <c r="A20" s="68">
        <v>43163</v>
      </c>
      <c r="B20" s="58" t="s">
        <v>447</v>
      </c>
      <c r="C20" s="58" t="s">
        <v>348</v>
      </c>
      <c r="D20" s="58" t="s">
        <v>246</v>
      </c>
      <c r="E20" s="58" t="s">
        <v>238</v>
      </c>
      <c r="F20" s="58"/>
      <c r="G20" s="58"/>
      <c r="H20" s="140"/>
      <c r="I20" s="89">
        <v>1</v>
      </c>
      <c r="J20" s="185">
        <v>190000</v>
      </c>
      <c r="K20" s="280">
        <f>Table2[[#This Row],[ĐƠN GIÁ ]]*Table2[[#This Row],[SL]]</f>
        <v>190000</v>
      </c>
      <c r="L20" s="210">
        <f>+Table2[[#This Row],[THÀNH TIỀN ]]*10%</f>
        <v>19000</v>
      </c>
      <c r="M20" s="57"/>
    </row>
    <row r="21" spans="1:13" s="44" customFormat="1">
      <c r="A21" s="68">
        <v>43163</v>
      </c>
      <c r="B21" s="58" t="s">
        <v>447</v>
      </c>
      <c r="C21" s="58" t="s">
        <v>348</v>
      </c>
      <c r="D21" s="58" t="s">
        <v>433</v>
      </c>
      <c r="E21" s="58" t="s">
        <v>238</v>
      </c>
      <c r="F21" s="58"/>
      <c r="G21" s="58"/>
      <c r="H21" s="140"/>
      <c r="I21" s="89">
        <v>3</v>
      </c>
      <c r="J21" s="185">
        <v>190000</v>
      </c>
      <c r="K21" s="280">
        <f>Table2[[#This Row],[ĐƠN GIÁ ]]*Table2[[#This Row],[SL]]</f>
        <v>570000</v>
      </c>
      <c r="L21" s="210">
        <f>+Table2[[#This Row],[THÀNH TIỀN ]]*10%</f>
        <v>57000</v>
      </c>
      <c r="M21" s="57"/>
    </row>
    <row r="22" spans="1:13" s="44" customFormat="1">
      <c r="A22" s="68">
        <v>43163</v>
      </c>
      <c r="B22" s="58" t="s">
        <v>447</v>
      </c>
      <c r="C22" s="58" t="s">
        <v>348</v>
      </c>
      <c r="D22" s="58" t="s">
        <v>420</v>
      </c>
      <c r="E22" s="58" t="s">
        <v>238</v>
      </c>
      <c r="F22" s="58"/>
      <c r="G22" s="58"/>
      <c r="H22" s="140"/>
      <c r="I22" s="89">
        <v>8</v>
      </c>
      <c r="J22" s="185">
        <v>350000</v>
      </c>
      <c r="K22" s="280">
        <f>Table2[[#This Row],[ĐƠN GIÁ ]]*Table2[[#This Row],[SL]]</f>
        <v>2800000</v>
      </c>
      <c r="L22" s="210">
        <f>+Table2[[#This Row],[THÀNH TIỀN ]]*10%</f>
        <v>280000</v>
      </c>
      <c r="M22" s="57"/>
    </row>
    <row r="23" spans="1:13" s="44" customFormat="1" hidden="1">
      <c r="A23" s="68">
        <v>43164</v>
      </c>
      <c r="B23" s="58" t="s">
        <v>447</v>
      </c>
      <c r="C23" s="58" t="s">
        <v>372</v>
      </c>
      <c r="D23" s="58" t="s">
        <v>232</v>
      </c>
      <c r="E23" s="58"/>
      <c r="F23" s="58" t="s">
        <v>235</v>
      </c>
      <c r="G23" s="58"/>
      <c r="H23" s="58">
        <v>13.63</v>
      </c>
      <c r="I23" s="89">
        <v>1</v>
      </c>
      <c r="J23" s="185">
        <v>1000000</v>
      </c>
      <c r="K23" s="280">
        <f>Table2[[#This Row],[ĐƠN GIÁ ]]*Table2[[#This Row],[SL]]</f>
        <v>1000000</v>
      </c>
      <c r="L23" s="210">
        <f>+Table2[[#This Row],[THÀNH TIỀN ]]*10%</f>
        <v>100000</v>
      </c>
      <c r="M23" s="57"/>
    </row>
    <row r="24" spans="1:13" s="44" customFormat="1">
      <c r="A24" s="68">
        <v>43165</v>
      </c>
      <c r="B24" s="58" t="s">
        <v>447</v>
      </c>
      <c r="C24" s="58" t="s">
        <v>348</v>
      </c>
      <c r="D24" s="58" t="s">
        <v>246</v>
      </c>
      <c r="E24" s="58" t="s">
        <v>238</v>
      </c>
      <c r="F24" s="58"/>
      <c r="G24" s="58"/>
      <c r="H24" s="140"/>
      <c r="I24" s="89">
        <v>14</v>
      </c>
      <c r="J24" s="185">
        <v>190000</v>
      </c>
      <c r="K24" s="280">
        <f>Table2[[#This Row],[ĐƠN GIÁ ]]*Table2[[#This Row],[SL]]</f>
        <v>2660000</v>
      </c>
      <c r="L24" s="210">
        <f>+Table2[[#This Row],[THÀNH TIỀN ]]*10%</f>
        <v>266000</v>
      </c>
      <c r="M24" s="57"/>
    </row>
    <row r="25" spans="1:13" s="44" customFormat="1" hidden="1">
      <c r="A25" s="68">
        <v>43165</v>
      </c>
      <c r="B25" s="58" t="s">
        <v>447</v>
      </c>
      <c r="C25" s="58" t="s">
        <v>372</v>
      </c>
      <c r="D25" s="58" t="s">
        <v>232</v>
      </c>
      <c r="E25" s="58"/>
      <c r="F25" s="58" t="s">
        <v>233</v>
      </c>
      <c r="G25" s="58"/>
      <c r="H25" s="58">
        <v>13.68</v>
      </c>
      <c r="I25" s="89">
        <v>1</v>
      </c>
      <c r="J25" s="185">
        <v>1000000</v>
      </c>
      <c r="K25" s="280">
        <f>Table2[[#This Row],[ĐƠN GIÁ ]]*Table2[[#This Row],[SL]]</f>
        <v>1000000</v>
      </c>
      <c r="L25" s="210">
        <f>+Table2[[#This Row],[THÀNH TIỀN ]]*10%</f>
        <v>100000</v>
      </c>
      <c r="M25" s="57"/>
    </row>
    <row r="26" spans="1:13" s="44" customFormat="1">
      <c r="A26" s="68">
        <v>43166</v>
      </c>
      <c r="B26" s="58" t="s">
        <v>447</v>
      </c>
      <c r="C26" s="58" t="s">
        <v>243</v>
      </c>
      <c r="D26" s="58" t="s">
        <v>246</v>
      </c>
      <c r="E26" s="58" t="s">
        <v>238</v>
      </c>
      <c r="F26" s="58"/>
      <c r="G26" s="58"/>
      <c r="H26" s="140"/>
      <c r="I26" s="89">
        <v>10</v>
      </c>
      <c r="J26" s="185">
        <v>200000</v>
      </c>
      <c r="K26" s="280">
        <f>Table2[[#This Row],[ĐƠN GIÁ ]]*Table2[[#This Row],[SL]]</f>
        <v>2000000</v>
      </c>
      <c r="L26" s="210">
        <f>+Table2[[#This Row],[THÀNH TIỀN ]]*10%</f>
        <v>200000</v>
      </c>
      <c r="M26" s="57"/>
    </row>
    <row r="27" spans="1:13" s="44" customFormat="1" hidden="1">
      <c r="A27" s="68">
        <v>43166</v>
      </c>
      <c r="B27" s="58" t="s">
        <v>447</v>
      </c>
      <c r="C27" s="58" t="s">
        <v>372</v>
      </c>
      <c r="D27" s="58" t="s">
        <v>232</v>
      </c>
      <c r="E27" s="58"/>
      <c r="F27" s="58" t="s">
        <v>235</v>
      </c>
      <c r="G27" s="58"/>
      <c r="H27" s="58">
        <v>13.76</v>
      </c>
      <c r="I27" s="89">
        <v>1</v>
      </c>
      <c r="J27" s="185">
        <v>1000000</v>
      </c>
      <c r="K27" s="280">
        <f>Table2[[#This Row],[ĐƠN GIÁ ]]*Table2[[#This Row],[SL]]</f>
        <v>1000000</v>
      </c>
      <c r="L27" s="210">
        <f>+Table2[[#This Row],[THÀNH TIỀN ]]*10%</f>
        <v>100000</v>
      </c>
      <c r="M27" s="57"/>
    </row>
    <row r="28" spans="1:13" s="44" customFormat="1" hidden="1">
      <c r="A28" s="68">
        <v>43167</v>
      </c>
      <c r="B28" s="58" t="s">
        <v>447</v>
      </c>
      <c r="C28" s="58" t="s">
        <v>372</v>
      </c>
      <c r="D28" s="58" t="s">
        <v>451</v>
      </c>
      <c r="E28" s="58"/>
      <c r="F28" s="58" t="s">
        <v>235</v>
      </c>
      <c r="G28" s="58"/>
      <c r="H28" s="140">
        <v>15</v>
      </c>
      <c r="I28" s="89">
        <v>1</v>
      </c>
      <c r="J28" s="185">
        <v>1000000</v>
      </c>
      <c r="K28" s="280">
        <f>Table2[[#This Row],[ĐƠN GIÁ ]]*Table2[[#This Row],[SL]]</f>
        <v>1000000</v>
      </c>
      <c r="L28" s="210">
        <f>+Table2[[#This Row],[THÀNH TIỀN ]]*10%</f>
        <v>100000</v>
      </c>
      <c r="M28" s="57"/>
    </row>
    <row r="29" spans="1:13" s="44" customFormat="1">
      <c r="A29" s="68">
        <v>43167</v>
      </c>
      <c r="B29" s="58" t="s">
        <v>447</v>
      </c>
      <c r="C29" s="58" t="s">
        <v>251</v>
      </c>
      <c r="D29" s="58" t="s">
        <v>344</v>
      </c>
      <c r="E29" s="58" t="s">
        <v>238</v>
      </c>
      <c r="F29" s="58"/>
      <c r="G29" s="58"/>
      <c r="H29" s="140"/>
      <c r="I29" s="89">
        <v>2</v>
      </c>
      <c r="J29" s="185">
        <v>220000</v>
      </c>
      <c r="K29" s="280">
        <f>Table2[[#This Row],[ĐƠN GIÁ ]]*Table2[[#This Row],[SL]]</f>
        <v>440000</v>
      </c>
      <c r="L29" s="210">
        <f>+Table2[[#This Row],[THÀNH TIỀN ]]*10%</f>
        <v>44000</v>
      </c>
      <c r="M29" s="57"/>
    </row>
    <row r="30" spans="1:13" s="44" customFormat="1">
      <c r="A30" s="68">
        <v>43167</v>
      </c>
      <c r="B30" s="58" t="s">
        <v>447</v>
      </c>
      <c r="C30" s="58" t="s">
        <v>251</v>
      </c>
      <c r="D30" s="58" t="s">
        <v>452</v>
      </c>
      <c r="E30" s="58" t="s">
        <v>238</v>
      </c>
      <c r="F30" s="58"/>
      <c r="G30" s="58"/>
      <c r="H30" s="140"/>
      <c r="I30" s="89">
        <v>1</v>
      </c>
      <c r="J30" s="185">
        <v>450000</v>
      </c>
      <c r="K30" s="280">
        <f>Table2[[#This Row],[ĐƠN GIÁ ]]*Table2[[#This Row],[SL]]</f>
        <v>450000</v>
      </c>
      <c r="L30" s="210">
        <f>+Table2[[#This Row],[THÀNH TIỀN ]]*10%</f>
        <v>45000</v>
      </c>
      <c r="M30" s="57"/>
    </row>
    <row r="31" spans="1:13" s="44" customFormat="1">
      <c r="A31" s="68">
        <v>43167</v>
      </c>
      <c r="B31" s="58" t="s">
        <v>447</v>
      </c>
      <c r="C31" s="58" t="s">
        <v>251</v>
      </c>
      <c r="D31" s="58" t="s">
        <v>237</v>
      </c>
      <c r="E31" s="58" t="s">
        <v>238</v>
      </c>
      <c r="F31" s="58"/>
      <c r="G31" s="58"/>
      <c r="H31" s="140"/>
      <c r="I31" s="89">
        <v>2</v>
      </c>
      <c r="J31" s="185">
        <v>250000</v>
      </c>
      <c r="K31" s="280">
        <f>Table2[[#This Row],[ĐƠN GIÁ ]]*Table2[[#This Row],[SL]]</f>
        <v>500000</v>
      </c>
      <c r="L31" s="210">
        <f>+Table2[[#This Row],[THÀNH TIỀN ]]*10%</f>
        <v>50000</v>
      </c>
      <c r="M31" s="57"/>
    </row>
    <row r="32" spans="1:13" s="44" customFormat="1">
      <c r="A32" s="68">
        <v>43167</v>
      </c>
      <c r="B32" s="58" t="s">
        <v>447</v>
      </c>
      <c r="C32" s="58" t="s">
        <v>251</v>
      </c>
      <c r="D32" s="58" t="s">
        <v>264</v>
      </c>
      <c r="E32" s="58" t="s">
        <v>238</v>
      </c>
      <c r="F32" s="58"/>
      <c r="G32" s="58"/>
      <c r="H32" s="140"/>
      <c r="I32" s="89">
        <v>1</v>
      </c>
      <c r="J32" s="185">
        <v>220000</v>
      </c>
      <c r="K32" s="280">
        <f>Table2[[#This Row],[ĐƠN GIÁ ]]*Table2[[#This Row],[SL]]</f>
        <v>220000</v>
      </c>
      <c r="L32" s="210">
        <f>+Table2[[#This Row],[THÀNH TIỀN ]]*10%</f>
        <v>22000</v>
      </c>
      <c r="M32" s="57"/>
    </row>
    <row r="33" spans="1:13" s="44" customFormat="1" hidden="1">
      <c r="A33" s="68">
        <v>43168</v>
      </c>
      <c r="B33" s="58" t="s">
        <v>447</v>
      </c>
      <c r="C33" s="58" t="s">
        <v>372</v>
      </c>
      <c r="D33" s="58" t="s">
        <v>460</v>
      </c>
      <c r="E33" s="58"/>
      <c r="F33" s="58" t="s">
        <v>250</v>
      </c>
      <c r="G33" s="58"/>
      <c r="H33" s="140">
        <v>15</v>
      </c>
      <c r="I33" s="89">
        <v>1</v>
      </c>
      <c r="J33" s="185">
        <v>1100000</v>
      </c>
      <c r="K33" s="280">
        <f>Table2[[#This Row],[ĐƠN GIÁ ]]*Table2[[#This Row],[SL]]</f>
        <v>1100000</v>
      </c>
      <c r="L33" s="210">
        <f>+Table2[[#This Row],[THÀNH TIỀN ]]*10%</f>
        <v>110000</v>
      </c>
      <c r="M33" s="57"/>
    </row>
    <row r="34" spans="1:13" s="44" customFormat="1" hidden="1">
      <c r="A34" s="68">
        <v>43168</v>
      </c>
      <c r="B34" s="58" t="s">
        <v>447</v>
      </c>
      <c r="C34" s="58" t="s">
        <v>372</v>
      </c>
      <c r="D34" s="58" t="s">
        <v>460</v>
      </c>
      <c r="E34" s="58"/>
      <c r="F34" s="58" t="s">
        <v>235</v>
      </c>
      <c r="G34" s="58"/>
      <c r="H34" s="140">
        <f>3*15</f>
        <v>45</v>
      </c>
      <c r="I34" s="89">
        <v>3</v>
      </c>
      <c r="J34" s="185">
        <v>1200000</v>
      </c>
      <c r="K34" s="280">
        <f>Table2[[#This Row],[ĐƠN GIÁ ]]*Table2[[#This Row],[SL]]</f>
        <v>3600000</v>
      </c>
      <c r="L34" s="210">
        <f>+Table2[[#This Row],[THÀNH TIỀN ]]*10%</f>
        <v>360000</v>
      </c>
      <c r="M34" s="57"/>
    </row>
    <row r="35" spans="1:13" s="44" customFormat="1" hidden="1">
      <c r="A35" s="68">
        <v>43168</v>
      </c>
      <c r="B35" s="58" t="s">
        <v>447</v>
      </c>
      <c r="C35" s="58" t="s">
        <v>372</v>
      </c>
      <c r="D35" s="58" t="s">
        <v>245</v>
      </c>
      <c r="E35" s="58"/>
      <c r="F35" s="58" t="s">
        <v>235</v>
      </c>
      <c r="G35" s="58"/>
      <c r="H35" s="140">
        <v>14</v>
      </c>
      <c r="I35" s="89">
        <v>1</v>
      </c>
      <c r="J35" s="185">
        <v>1200000</v>
      </c>
      <c r="K35" s="280">
        <f>Table2[[#This Row],[ĐƠN GIÁ ]]*Table2[[#This Row],[SL]]</f>
        <v>1200000</v>
      </c>
      <c r="L35" s="210">
        <f>+Table2[[#This Row],[THÀNH TIỀN ]]*10%</f>
        <v>120000</v>
      </c>
      <c r="M35" s="57"/>
    </row>
    <row r="36" spans="1:13" s="44" customFormat="1" hidden="1">
      <c r="A36" s="68">
        <v>43169</v>
      </c>
      <c r="B36" s="58" t="s">
        <v>447</v>
      </c>
      <c r="C36" s="58" t="s">
        <v>461</v>
      </c>
      <c r="D36" s="58" t="s">
        <v>277</v>
      </c>
      <c r="E36" s="58"/>
      <c r="F36" s="58" t="s">
        <v>250</v>
      </c>
      <c r="G36" s="58"/>
      <c r="H36" s="140">
        <v>14.3</v>
      </c>
      <c r="I36" s="89">
        <v>1</v>
      </c>
      <c r="J36" s="185">
        <v>80000</v>
      </c>
      <c r="K36" s="280">
        <f>Table2[[#This Row],[ĐƠN GIÁ ]]*Table2[[#This Row],[SL]]</f>
        <v>80000</v>
      </c>
      <c r="L36" s="210">
        <f>+Table2[[#This Row],[THÀNH TIỀN ]]*10%</f>
        <v>8000</v>
      </c>
      <c r="M36" s="57"/>
    </row>
    <row r="37" spans="1:13" s="44" customFormat="1">
      <c r="A37" s="68">
        <v>43169</v>
      </c>
      <c r="B37" s="58" t="s">
        <v>447</v>
      </c>
      <c r="C37" s="58" t="s">
        <v>241</v>
      </c>
      <c r="D37" s="58" t="s">
        <v>371</v>
      </c>
      <c r="E37" s="58"/>
      <c r="F37" s="58"/>
      <c r="G37" s="58"/>
      <c r="H37" s="140"/>
      <c r="I37" s="89">
        <v>6</v>
      </c>
      <c r="J37" s="185">
        <v>180000</v>
      </c>
      <c r="K37" s="280">
        <f>Table2[[#This Row],[ĐƠN GIÁ ]]*Table2[[#This Row],[SL]]</f>
        <v>1080000</v>
      </c>
      <c r="L37" s="210">
        <f>+Table2[[#This Row],[THÀNH TIỀN ]]*10%</f>
        <v>108000</v>
      </c>
      <c r="M37" s="57"/>
    </row>
    <row r="38" spans="1:13" s="44" customFormat="1" hidden="1">
      <c r="A38" s="68">
        <v>43169</v>
      </c>
      <c r="B38" s="58" t="s">
        <v>447</v>
      </c>
      <c r="C38" s="58" t="s">
        <v>461</v>
      </c>
      <c r="D38" s="58" t="s">
        <v>277</v>
      </c>
      <c r="E38" s="58"/>
      <c r="F38" s="58" t="s">
        <v>235</v>
      </c>
      <c r="G38" s="58"/>
      <c r="H38" s="140">
        <v>13.17</v>
      </c>
      <c r="I38" s="89">
        <v>1</v>
      </c>
      <c r="J38" s="185">
        <v>80000</v>
      </c>
      <c r="K38" s="280">
        <f>Table2[[#This Row],[ĐƠN GIÁ ]]*Table2[[#This Row],[SL]]</f>
        <v>80000</v>
      </c>
      <c r="L38" s="210">
        <f>+Table2[[#This Row],[THÀNH TIỀN ]]*10%</f>
        <v>8000</v>
      </c>
      <c r="M38" s="57"/>
    </row>
    <row r="39" spans="1:13" s="44" customFormat="1" hidden="1">
      <c r="A39" s="68">
        <v>43169</v>
      </c>
      <c r="B39" s="58" t="s">
        <v>447</v>
      </c>
      <c r="C39" s="58" t="s">
        <v>461</v>
      </c>
      <c r="D39" s="58" t="s">
        <v>277</v>
      </c>
      <c r="E39" s="58"/>
      <c r="F39" s="58" t="s">
        <v>235</v>
      </c>
      <c r="G39" s="58"/>
      <c r="H39" s="140">
        <v>14.08</v>
      </c>
      <c r="I39" s="89">
        <v>1</v>
      </c>
      <c r="J39" s="185">
        <v>80000</v>
      </c>
      <c r="K39" s="280">
        <f>Table2[[#This Row],[ĐƠN GIÁ ]]*Table2[[#This Row],[SL]]</f>
        <v>80000</v>
      </c>
      <c r="L39" s="210">
        <f>+Table2[[#This Row],[THÀNH TIỀN ]]*10%</f>
        <v>8000</v>
      </c>
      <c r="M39" s="57"/>
    </row>
    <row r="40" spans="1:13" s="44" customFormat="1" hidden="1">
      <c r="A40" s="68">
        <v>43170</v>
      </c>
      <c r="B40" s="58" t="s">
        <v>447</v>
      </c>
      <c r="C40" s="58" t="s">
        <v>257</v>
      </c>
      <c r="D40" s="58" t="s">
        <v>460</v>
      </c>
      <c r="E40" s="58"/>
      <c r="F40" s="58" t="s">
        <v>235</v>
      </c>
      <c r="G40" s="58"/>
      <c r="H40" s="140">
        <v>12.5</v>
      </c>
      <c r="I40" s="89">
        <v>1</v>
      </c>
      <c r="J40" s="185">
        <v>1100000</v>
      </c>
      <c r="K40" s="280">
        <f>Table2[[#This Row],[ĐƠN GIÁ ]]*Table2[[#This Row],[SL]]</f>
        <v>1100000</v>
      </c>
      <c r="L40" s="210">
        <f>+Table2[[#This Row],[THÀNH TIỀN ]]*10%</f>
        <v>110000</v>
      </c>
      <c r="M40" s="57"/>
    </row>
    <row r="41" spans="1:13" s="44" customFormat="1" hidden="1">
      <c r="A41" s="68">
        <v>43170</v>
      </c>
      <c r="B41" s="58" t="s">
        <v>447</v>
      </c>
      <c r="C41" s="58" t="s">
        <v>257</v>
      </c>
      <c r="D41" s="58" t="s">
        <v>245</v>
      </c>
      <c r="E41" s="58"/>
      <c r="F41" s="58" t="s">
        <v>235</v>
      </c>
      <c r="G41" s="58"/>
      <c r="H41" s="140">
        <v>12.5</v>
      </c>
      <c r="I41" s="89">
        <v>1</v>
      </c>
      <c r="J41" s="185">
        <v>1000000</v>
      </c>
      <c r="K41" s="280">
        <f>Table2[[#This Row],[ĐƠN GIÁ ]]*Table2[[#This Row],[SL]]</f>
        <v>1000000</v>
      </c>
      <c r="L41" s="210">
        <f>+Table2[[#This Row],[THÀNH TIỀN ]]*10%</f>
        <v>100000</v>
      </c>
      <c r="M41" s="57"/>
    </row>
    <row r="42" spans="1:13" s="44" customFormat="1">
      <c r="A42" s="68">
        <v>43170</v>
      </c>
      <c r="B42" s="58" t="s">
        <v>447</v>
      </c>
      <c r="C42" s="58" t="s">
        <v>251</v>
      </c>
      <c r="D42" s="58" t="s">
        <v>407</v>
      </c>
      <c r="E42" s="58" t="s">
        <v>238</v>
      </c>
      <c r="F42" s="58"/>
      <c r="G42" s="58"/>
      <c r="H42" s="140"/>
      <c r="I42" s="89">
        <v>5</v>
      </c>
      <c r="J42" s="185">
        <v>200000</v>
      </c>
      <c r="K42" s="280">
        <f>Table2[[#This Row],[ĐƠN GIÁ ]]*Table2[[#This Row],[SL]]</f>
        <v>1000000</v>
      </c>
      <c r="L42" s="210">
        <f>+Table2[[#This Row],[THÀNH TIỀN ]]*10%</f>
        <v>100000</v>
      </c>
      <c r="M42" s="57"/>
    </row>
    <row r="43" spans="1:13" s="44" customFormat="1">
      <c r="A43" s="68">
        <v>43170</v>
      </c>
      <c r="B43" s="58" t="s">
        <v>447</v>
      </c>
      <c r="C43" s="58" t="s">
        <v>348</v>
      </c>
      <c r="D43" s="58" t="s">
        <v>246</v>
      </c>
      <c r="E43" s="58" t="s">
        <v>238</v>
      </c>
      <c r="F43" s="58"/>
      <c r="G43" s="58"/>
      <c r="H43" s="140"/>
      <c r="I43" s="89">
        <v>1</v>
      </c>
      <c r="J43" s="185">
        <v>190000</v>
      </c>
      <c r="K43" s="280">
        <f>Table2[[#This Row],[ĐƠN GIÁ ]]*Table2[[#This Row],[SL]]</f>
        <v>190000</v>
      </c>
      <c r="L43" s="210">
        <f>+Table2[[#This Row],[THÀNH TIỀN ]]*10%</f>
        <v>19000</v>
      </c>
      <c r="M43" s="57"/>
    </row>
    <row r="44" spans="1:13" s="44" customFormat="1">
      <c r="A44" s="68">
        <v>43170</v>
      </c>
      <c r="B44" s="58" t="s">
        <v>447</v>
      </c>
      <c r="C44" s="58" t="s">
        <v>243</v>
      </c>
      <c r="D44" s="58" t="s">
        <v>246</v>
      </c>
      <c r="E44" s="58" t="s">
        <v>238</v>
      </c>
      <c r="F44" s="58"/>
      <c r="G44" s="58"/>
      <c r="H44" s="140"/>
      <c r="I44" s="89">
        <v>1</v>
      </c>
      <c r="J44" s="185">
        <v>200000</v>
      </c>
      <c r="K44" s="280">
        <f>Table2[[#This Row],[ĐƠN GIÁ ]]*Table2[[#This Row],[SL]]</f>
        <v>200000</v>
      </c>
      <c r="L44" s="210">
        <f>+Table2[[#This Row],[THÀNH TIỀN ]]*10%</f>
        <v>20000</v>
      </c>
      <c r="M44" s="57"/>
    </row>
    <row r="45" spans="1:13" s="44" customFormat="1">
      <c r="A45" s="68">
        <v>43170</v>
      </c>
      <c r="B45" s="58" t="s">
        <v>447</v>
      </c>
      <c r="C45" s="58" t="s">
        <v>251</v>
      </c>
      <c r="D45" s="58" t="s">
        <v>264</v>
      </c>
      <c r="E45" s="58" t="s">
        <v>238</v>
      </c>
      <c r="F45" s="58"/>
      <c r="G45" s="58"/>
      <c r="H45" s="140"/>
      <c r="I45" s="89">
        <v>2</v>
      </c>
      <c r="J45" s="185">
        <v>220000</v>
      </c>
      <c r="K45" s="280">
        <f>Table2[[#This Row],[ĐƠN GIÁ ]]*Table2[[#This Row],[SL]]</f>
        <v>440000</v>
      </c>
      <c r="L45" s="210">
        <f>+Table2[[#This Row],[THÀNH TIỀN ]]*10%</f>
        <v>44000</v>
      </c>
      <c r="M45" s="57"/>
    </row>
    <row r="46" spans="1:13" s="44" customFormat="1" hidden="1">
      <c r="A46" s="68">
        <v>43171</v>
      </c>
      <c r="B46" s="58" t="s">
        <v>447</v>
      </c>
      <c r="C46" s="58" t="s">
        <v>461</v>
      </c>
      <c r="D46" s="58" t="s">
        <v>277</v>
      </c>
      <c r="E46" s="58"/>
      <c r="F46" s="58" t="s">
        <v>250</v>
      </c>
      <c r="G46" s="58"/>
      <c r="H46" s="140">
        <v>14.16</v>
      </c>
      <c r="I46" s="89">
        <v>1</v>
      </c>
      <c r="J46" s="185">
        <v>80000</v>
      </c>
      <c r="K46" s="280">
        <f>Table2[[#This Row],[ĐƠN GIÁ ]]*Table2[[#This Row],[SL]]</f>
        <v>80000</v>
      </c>
      <c r="L46" s="210">
        <f>+Table2[[#This Row],[THÀNH TIỀN ]]*10%</f>
        <v>8000</v>
      </c>
      <c r="M46" s="57"/>
    </row>
    <row r="47" spans="1:13" s="44" customFormat="1" hidden="1">
      <c r="A47" s="68">
        <v>43171</v>
      </c>
      <c r="B47" s="58" t="s">
        <v>447</v>
      </c>
      <c r="C47" s="58" t="s">
        <v>372</v>
      </c>
      <c r="D47" s="58" t="s">
        <v>245</v>
      </c>
      <c r="E47" s="58"/>
      <c r="F47" s="58" t="s">
        <v>235</v>
      </c>
      <c r="G47" s="58"/>
      <c r="H47" s="140">
        <v>14</v>
      </c>
      <c r="I47" s="89">
        <v>1</v>
      </c>
      <c r="J47" s="185">
        <v>1200000</v>
      </c>
      <c r="K47" s="280">
        <f>Table2[[#This Row],[ĐƠN GIÁ ]]*Table2[[#This Row],[SL]]</f>
        <v>1200000</v>
      </c>
      <c r="L47" s="210">
        <f>+Table2[[#This Row],[THÀNH TIỀN ]]*10%</f>
        <v>120000</v>
      </c>
      <c r="M47" s="57"/>
    </row>
    <row r="48" spans="1:13" s="44" customFormat="1">
      <c r="A48" s="68">
        <v>43171</v>
      </c>
      <c r="B48" s="58" t="s">
        <v>447</v>
      </c>
      <c r="C48" s="58" t="s">
        <v>453</v>
      </c>
      <c r="D48" s="58" t="s">
        <v>346</v>
      </c>
      <c r="E48" s="58" t="s">
        <v>238</v>
      </c>
      <c r="F48" s="58"/>
      <c r="G48" s="58"/>
      <c r="H48" s="140"/>
      <c r="I48" s="89">
        <v>10</v>
      </c>
      <c r="J48" s="185">
        <v>80000</v>
      </c>
      <c r="K48" s="280">
        <f>Table2[[#This Row],[ĐƠN GIÁ ]]*Table2[[#This Row],[SL]]</f>
        <v>800000</v>
      </c>
      <c r="L48" s="210">
        <f>+Table2[[#This Row],[THÀNH TIỀN ]]*10%</f>
        <v>80000</v>
      </c>
      <c r="M48" s="57"/>
    </row>
    <row r="49" spans="1:13" s="44" customFormat="1">
      <c r="A49" s="68">
        <v>43171</v>
      </c>
      <c r="B49" s="58" t="s">
        <v>447</v>
      </c>
      <c r="C49" s="58" t="s">
        <v>348</v>
      </c>
      <c r="D49" s="58" t="s">
        <v>246</v>
      </c>
      <c r="E49" s="58" t="s">
        <v>238</v>
      </c>
      <c r="F49" s="58"/>
      <c r="G49" s="58"/>
      <c r="H49" s="140"/>
      <c r="I49" s="89">
        <v>5</v>
      </c>
      <c r="J49" s="185">
        <v>190000</v>
      </c>
      <c r="K49" s="280">
        <f>Table2[[#This Row],[ĐƠN GIÁ ]]*Table2[[#This Row],[SL]]</f>
        <v>950000</v>
      </c>
      <c r="L49" s="210">
        <f>+Table2[[#This Row],[THÀNH TIỀN ]]*10%</f>
        <v>95000</v>
      </c>
      <c r="M49" s="57"/>
    </row>
    <row r="50" spans="1:13" s="44" customFormat="1" hidden="1">
      <c r="A50" s="68">
        <v>43173</v>
      </c>
      <c r="B50" s="58" t="s">
        <v>447</v>
      </c>
      <c r="C50" s="58" t="s">
        <v>461</v>
      </c>
      <c r="D50" s="58" t="s">
        <v>277</v>
      </c>
      <c r="E50" s="58"/>
      <c r="F50" s="58" t="s">
        <v>250</v>
      </c>
      <c r="G50" s="58"/>
      <c r="H50" s="140">
        <v>13.91</v>
      </c>
      <c r="I50" s="89">
        <v>1</v>
      </c>
      <c r="J50" s="185">
        <v>80000</v>
      </c>
      <c r="K50" s="280">
        <f>Table2[[#This Row],[ĐƠN GIÁ ]]*Table2[[#This Row],[SL]]</f>
        <v>80000</v>
      </c>
      <c r="L50" s="210">
        <f>+Table2[[#This Row],[THÀNH TIỀN ]]*10%</f>
        <v>8000</v>
      </c>
      <c r="M50" s="57"/>
    </row>
    <row r="51" spans="1:13" s="44" customFormat="1">
      <c r="A51" s="68">
        <v>43173</v>
      </c>
      <c r="B51" s="58" t="s">
        <v>447</v>
      </c>
      <c r="C51" s="58" t="s">
        <v>253</v>
      </c>
      <c r="D51" s="58" t="s">
        <v>387</v>
      </c>
      <c r="E51" s="58" t="s">
        <v>238</v>
      </c>
      <c r="F51" s="58"/>
      <c r="G51" s="58"/>
      <c r="H51" s="140"/>
      <c r="I51" s="89">
        <v>1</v>
      </c>
      <c r="J51" s="185">
        <v>350000</v>
      </c>
      <c r="K51" s="280">
        <f>Table2[[#This Row],[ĐƠN GIÁ ]]*Table2[[#This Row],[SL]]</f>
        <v>350000</v>
      </c>
      <c r="L51" s="210">
        <f>+Table2[[#This Row],[THÀNH TIỀN ]]*10%</f>
        <v>35000</v>
      </c>
      <c r="M51" s="57"/>
    </row>
    <row r="52" spans="1:13" s="44" customFormat="1">
      <c r="A52" s="68">
        <v>43173</v>
      </c>
      <c r="B52" s="58" t="s">
        <v>447</v>
      </c>
      <c r="C52" s="58" t="s">
        <v>253</v>
      </c>
      <c r="D52" s="58" t="s">
        <v>264</v>
      </c>
      <c r="E52" s="58" t="s">
        <v>238</v>
      </c>
      <c r="F52" s="58"/>
      <c r="G52" s="58"/>
      <c r="H52" s="140"/>
      <c r="I52" s="89">
        <v>1</v>
      </c>
      <c r="J52" s="185">
        <v>250000</v>
      </c>
      <c r="K52" s="280">
        <f>Table2[[#This Row],[ĐƠN GIÁ ]]*Table2[[#This Row],[SL]]</f>
        <v>250000</v>
      </c>
      <c r="L52" s="210">
        <f>+Table2[[#This Row],[THÀNH TIỀN ]]*10%</f>
        <v>25000</v>
      </c>
      <c r="M52" s="57"/>
    </row>
    <row r="53" spans="1:13" s="44" customFormat="1">
      <c r="A53" s="68">
        <v>43173</v>
      </c>
      <c r="B53" s="58" t="s">
        <v>447</v>
      </c>
      <c r="C53" s="58" t="s">
        <v>251</v>
      </c>
      <c r="D53" s="58" t="s">
        <v>264</v>
      </c>
      <c r="E53" s="58" t="s">
        <v>238</v>
      </c>
      <c r="F53" s="58"/>
      <c r="G53" s="58"/>
      <c r="H53" s="140"/>
      <c r="I53" s="89">
        <v>6</v>
      </c>
      <c r="J53" s="185">
        <v>220000</v>
      </c>
      <c r="K53" s="280">
        <f>Table2[[#This Row],[ĐƠN GIÁ ]]*Table2[[#This Row],[SL]]</f>
        <v>1320000</v>
      </c>
      <c r="L53" s="210">
        <f>+Table2[[#This Row],[THÀNH TIỀN ]]*10%</f>
        <v>132000</v>
      </c>
      <c r="M53" s="57"/>
    </row>
    <row r="54" spans="1:13" s="44" customFormat="1">
      <c r="A54" s="68">
        <v>43173</v>
      </c>
      <c r="B54" s="58" t="s">
        <v>447</v>
      </c>
      <c r="C54" s="58" t="s">
        <v>243</v>
      </c>
      <c r="D54" s="58" t="s">
        <v>264</v>
      </c>
      <c r="E54" s="58" t="s">
        <v>238</v>
      </c>
      <c r="F54" s="58"/>
      <c r="G54" s="58"/>
      <c r="H54" s="140"/>
      <c r="I54" s="89">
        <v>2</v>
      </c>
      <c r="J54" s="185">
        <v>230000</v>
      </c>
      <c r="K54" s="280">
        <f>Table2[[#This Row],[ĐƠN GIÁ ]]*Table2[[#This Row],[SL]]</f>
        <v>460000</v>
      </c>
      <c r="L54" s="210">
        <f>+Table2[[#This Row],[THÀNH TIỀN ]]*10%</f>
        <v>46000</v>
      </c>
      <c r="M54" s="57"/>
    </row>
    <row r="55" spans="1:13" s="44" customFormat="1">
      <c r="A55" s="68">
        <v>43173</v>
      </c>
      <c r="B55" s="58" t="s">
        <v>447</v>
      </c>
      <c r="C55" s="58" t="s">
        <v>454</v>
      </c>
      <c r="D55" s="58" t="s">
        <v>245</v>
      </c>
      <c r="E55" s="58"/>
      <c r="F55" s="58"/>
      <c r="G55" s="58"/>
      <c r="H55" s="140"/>
      <c r="I55" s="89">
        <v>4</v>
      </c>
      <c r="J55" s="270">
        <v>150000</v>
      </c>
      <c r="K55" s="280">
        <f>Table2[[#This Row],[ĐƠN GIÁ ]]*Table2[[#This Row],[SL]]</f>
        <v>600000</v>
      </c>
      <c r="L55" s="210">
        <f>+Table2[[#This Row],[THÀNH TIỀN ]]*10%</f>
        <v>60000</v>
      </c>
      <c r="M55" s="57"/>
    </row>
    <row r="56" spans="1:13" s="66" customFormat="1" hidden="1">
      <c r="A56" s="68">
        <v>43174</v>
      </c>
      <c r="B56" s="58" t="s">
        <v>447</v>
      </c>
      <c r="C56" s="58" t="s">
        <v>461</v>
      </c>
      <c r="D56" s="58" t="s">
        <v>277</v>
      </c>
      <c r="E56" s="58"/>
      <c r="F56" s="58" t="s">
        <v>235</v>
      </c>
      <c r="G56" s="233"/>
      <c r="H56" s="140">
        <v>13.36</v>
      </c>
      <c r="I56" s="89">
        <v>1</v>
      </c>
      <c r="J56" s="185">
        <v>80000</v>
      </c>
      <c r="K56" s="280">
        <f>Table2[[#This Row],[ĐƠN GIÁ ]]*Table2[[#This Row],[SL]]</f>
        <v>80000</v>
      </c>
      <c r="L56" s="210">
        <f>+Table2[[#This Row],[THÀNH TIỀN ]]*10%</f>
        <v>8000</v>
      </c>
      <c r="M56" s="59"/>
    </row>
    <row r="57" spans="1:13" s="44" customFormat="1" hidden="1">
      <c r="A57" s="68">
        <v>43174</v>
      </c>
      <c r="B57" s="58" t="s">
        <v>447</v>
      </c>
      <c r="C57" s="58" t="s">
        <v>461</v>
      </c>
      <c r="D57" s="58" t="s">
        <v>277</v>
      </c>
      <c r="E57" s="58"/>
      <c r="F57" s="58" t="s">
        <v>235</v>
      </c>
      <c r="G57" s="58"/>
      <c r="H57" s="140">
        <v>13.71</v>
      </c>
      <c r="I57" s="89">
        <v>1</v>
      </c>
      <c r="J57" s="185">
        <v>80000</v>
      </c>
      <c r="K57" s="280">
        <f>Table2[[#This Row],[ĐƠN GIÁ ]]*Table2[[#This Row],[SL]]</f>
        <v>80000</v>
      </c>
      <c r="L57" s="210">
        <f>+Table2[[#This Row],[THÀNH TIỀN ]]*10%</f>
        <v>8000</v>
      </c>
      <c r="M57" s="57"/>
    </row>
    <row r="58" spans="1:13" s="44" customFormat="1" hidden="1">
      <c r="A58" s="68">
        <v>43174</v>
      </c>
      <c r="B58" s="58" t="s">
        <v>447</v>
      </c>
      <c r="C58" s="58" t="s">
        <v>461</v>
      </c>
      <c r="D58" s="58" t="s">
        <v>277</v>
      </c>
      <c r="E58" s="58"/>
      <c r="F58" s="58" t="s">
        <v>235</v>
      </c>
      <c r="G58" s="58"/>
      <c r="H58" s="140">
        <v>13.9</v>
      </c>
      <c r="I58" s="89">
        <v>1</v>
      </c>
      <c r="J58" s="185">
        <v>80000</v>
      </c>
      <c r="K58" s="280">
        <f>Table2[[#This Row],[ĐƠN GIÁ ]]*Table2[[#This Row],[SL]]</f>
        <v>80000</v>
      </c>
      <c r="L58" s="210">
        <f>+Table2[[#This Row],[THÀNH TIỀN ]]*10%</f>
        <v>8000</v>
      </c>
      <c r="M58" s="57"/>
    </row>
    <row r="59" spans="1:13" s="44" customFormat="1" hidden="1">
      <c r="A59" s="68">
        <v>43174</v>
      </c>
      <c r="B59" s="58" t="s">
        <v>447</v>
      </c>
      <c r="C59" s="58" t="s">
        <v>461</v>
      </c>
      <c r="D59" s="58" t="s">
        <v>277</v>
      </c>
      <c r="E59" s="58"/>
      <c r="F59" s="58" t="s">
        <v>235</v>
      </c>
      <c r="G59" s="58"/>
      <c r="H59" s="140">
        <v>13.5</v>
      </c>
      <c r="I59" s="89">
        <v>1</v>
      </c>
      <c r="J59" s="185">
        <v>80000</v>
      </c>
      <c r="K59" s="280">
        <f>Table2[[#This Row],[ĐƠN GIÁ ]]*Table2[[#This Row],[SL]]</f>
        <v>80000</v>
      </c>
      <c r="L59" s="210">
        <f>+Table2[[#This Row],[THÀNH TIỀN ]]*10%</f>
        <v>8000</v>
      </c>
      <c r="M59" s="57"/>
    </row>
    <row r="60" spans="1:13" s="44" customFormat="1" hidden="1">
      <c r="A60" s="68">
        <v>43174</v>
      </c>
      <c r="B60" s="58" t="s">
        <v>447</v>
      </c>
      <c r="C60" s="58" t="s">
        <v>461</v>
      </c>
      <c r="D60" s="58" t="s">
        <v>277</v>
      </c>
      <c r="E60" s="58"/>
      <c r="F60" s="58" t="s">
        <v>235</v>
      </c>
      <c r="G60" s="58"/>
      <c r="H60" s="140">
        <v>13.13</v>
      </c>
      <c r="I60" s="89">
        <v>1</v>
      </c>
      <c r="J60" s="185">
        <v>80000</v>
      </c>
      <c r="K60" s="280">
        <f>Table2[[#This Row],[ĐƠN GIÁ ]]*Table2[[#This Row],[SL]]</f>
        <v>80000</v>
      </c>
      <c r="L60" s="210">
        <f>+Table2[[#This Row],[THÀNH TIỀN ]]*10%</f>
        <v>8000</v>
      </c>
      <c r="M60" s="57"/>
    </row>
    <row r="61" spans="1:13" s="44" customFormat="1" hidden="1">
      <c r="A61" s="68">
        <v>43175</v>
      </c>
      <c r="B61" s="58" t="s">
        <v>447</v>
      </c>
      <c r="C61" s="58" t="s">
        <v>372</v>
      </c>
      <c r="D61" s="58" t="s">
        <v>232</v>
      </c>
      <c r="E61" s="58"/>
      <c r="F61" s="58" t="s">
        <v>233</v>
      </c>
      <c r="G61" s="58"/>
      <c r="H61" s="58">
        <v>14.66</v>
      </c>
      <c r="I61" s="89">
        <v>1</v>
      </c>
      <c r="J61" s="185">
        <v>1000000</v>
      </c>
      <c r="K61" s="280">
        <f>Table2[[#This Row],[ĐƠN GIÁ ]]*Table2[[#This Row],[SL]]</f>
        <v>1000000</v>
      </c>
      <c r="L61" s="210">
        <f>+Table2[[#This Row],[THÀNH TIỀN ]]*10%</f>
        <v>100000</v>
      </c>
      <c r="M61" s="57"/>
    </row>
    <row r="62" spans="1:13" s="44" customFormat="1" hidden="1">
      <c r="A62" s="68">
        <v>43175</v>
      </c>
      <c r="B62" s="58" t="s">
        <v>447</v>
      </c>
      <c r="C62" s="58" t="s">
        <v>461</v>
      </c>
      <c r="D62" s="58" t="s">
        <v>277</v>
      </c>
      <c r="E62" s="58"/>
      <c r="F62" s="58" t="s">
        <v>235</v>
      </c>
      <c r="G62" s="58"/>
      <c r="H62" s="140">
        <v>14.19</v>
      </c>
      <c r="I62" s="89">
        <v>1</v>
      </c>
      <c r="J62" s="185">
        <v>80000</v>
      </c>
      <c r="K62" s="280">
        <f>Table2[[#This Row],[ĐƠN GIÁ ]]*Table2[[#This Row],[SL]]</f>
        <v>80000</v>
      </c>
      <c r="L62" s="210">
        <f>+Table2[[#This Row],[THÀNH TIỀN ]]*10%</f>
        <v>8000</v>
      </c>
      <c r="M62" s="57"/>
    </row>
    <row r="63" spans="1:13" s="44" customFormat="1" hidden="1">
      <c r="A63" s="68">
        <v>43175</v>
      </c>
      <c r="B63" s="58" t="s">
        <v>447</v>
      </c>
      <c r="C63" s="58" t="s">
        <v>231</v>
      </c>
      <c r="D63" s="58" t="s">
        <v>245</v>
      </c>
      <c r="E63" s="58"/>
      <c r="F63" s="58" t="s">
        <v>235</v>
      </c>
      <c r="G63" s="58"/>
      <c r="H63" s="140">
        <v>14</v>
      </c>
      <c r="I63" s="89">
        <v>1</v>
      </c>
      <c r="J63" s="185">
        <v>1200000</v>
      </c>
      <c r="K63" s="280">
        <f>Table2[[#This Row],[ĐƠN GIÁ ]]*Table2[[#This Row],[SL]]</f>
        <v>1200000</v>
      </c>
      <c r="L63" s="210">
        <f>+Table2[[#This Row],[THÀNH TIỀN ]]*10%</f>
        <v>120000</v>
      </c>
      <c r="M63" s="57"/>
    </row>
    <row r="64" spans="1:13" s="44" customFormat="1">
      <c r="A64" s="68">
        <v>43175</v>
      </c>
      <c r="B64" s="58" t="s">
        <v>447</v>
      </c>
      <c r="C64" s="58" t="s">
        <v>348</v>
      </c>
      <c r="D64" s="58" t="s">
        <v>260</v>
      </c>
      <c r="E64" s="58" t="s">
        <v>238</v>
      </c>
      <c r="F64" s="58"/>
      <c r="G64" s="58"/>
      <c r="H64" s="140"/>
      <c r="I64" s="89">
        <v>6</v>
      </c>
      <c r="J64" s="185">
        <v>190000</v>
      </c>
      <c r="K64" s="280">
        <f>Table2[[#This Row],[ĐƠN GIÁ ]]*Table2[[#This Row],[SL]]</f>
        <v>1140000</v>
      </c>
      <c r="L64" s="210">
        <f>+Table2[[#This Row],[THÀNH TIỀN ]]*10%</f>
        <v>114000</v>
      </c>
      <c r="M64" s="57"/>
    </row>
    <row r="65" spans="1:13" s="44" customFormat="1" hidden="1">
      <c r="A65" s="68">
        <v>43176</v>
      </c>
      <c r="B65" s="58" t="s">
        <v>447</v>
      </c>
      <c r="C65" s="58" t="s">
        <v>461</v>
      </c>
      <c r="D65" s="58" t="s">
        <v>277</v>
      </c>
      <c r="E65" s="58"/>
      <c r="F65" s="58" t="s">
        <v>235</v>
      </c>
      <c r="G65" s="58"/>
      <c r="H65" s="140">
        <v>14.12</v>
      </c>
      <c r="I65" s="89">
        <v>1</v>
      </c>
      <c r="J65" s="185">
        <v>80000</v>
      </c>
      <c r="K65" s="280">
        <f>Table2[[#This Row],[ĐƠN GIÁ ]]*Table2[[#This Row],[SL]]</f>
        <v>80000</v>
      </c>
      <c r="L65" s="210">
        <f>+Table2[[#This Row],[THÀNH TIỀN ]]*10%</f>
        <v>8000</v>
      </c>
      <c r="M65" s="57"/>
    </row>
    <row r="66" spans="1:13" s="44" customFormat="1" hidden="1">
      <c r="A66" s="68">
        <v>43176</v>
      </c>
      <c r="B66" s="58" t="s">
        <v>447</v>
      </c>
      <c r="C66" s="58" t="s">
        <v>461</v>
      </c>
      <c r="D66" s="58" t="s">
        <v>277</v>
      </c>
      <c r="E66" s="58"/>
      <c r="F66" s="58" t="s">
        <v>235</v>
      </c>
      <c r="G66" s="58"/>
      <c r="H66" s="140">
        <v>14.35</v>
      </c>
      <c r="I66" s="89">
        <v>1</v>
      </c>
      <c r="J66" s="185">
        <v>80000</v>
      </c>
      <c r="K66" s="280">
        <f>Table2[[#This Row],[ĐƠN GIÁ ]]*Table2[[#This Row],[SL]]</f>
        <v>80000</v>
      </c>
      <c r="L66" s="210">
        <f>+Table2[[#This Row],[THÀNH TIỀN ]]*10%</f>
        <v>8000</v>
      </c>
      <c r="M66" s="57"/>
    </row>
    <row r="67" spans="1:13" s="44" customFormat="1" hidden="1">
      <c r="A67" s="68">
        <v>43176</v>
      </c>
      <c r="B67" s="58" t="s">
        <v>447</v>
      </c>
      <c r="C67" s="58" t="s">
        <v>372</v>
      </c>
      <c r="D67" s="58" t="s">
        <v>245</v>
      </c>
      <c r="E67" s="58"/>
      <c r="F67" s="58" t="s">
        <v>235</v>
      </c>
      <c r="G67" s="58"/>
      <c r="H67" s="140">
        <f>2*14</f>
        <v>28</v>
      </c>
      <c r="I67" s="89">
        <v>2</v>
      </c>
      <c r="J67" s="185">
        <v>1200000</v>
      </c>
      <c r="K67" s="280">
        <f>Table2[[#This Row],[ĐƠN GIÁ ]]*Table2[[#This Row],[SL]]</f>
        <v>2400000</v>
      </c>
      <c r="L67" s="210">
        <f>+Table2[[#This Row],[THÀNH TIỀN ]]*10%</f>
        <v>240000</v>
      </c>
      <c r="M67" s="57"/>
    </row>
    <row r="68" spans="1:13" s="44" customFormat="1" hidden="1">
      <c r="A68" s="68">
        <v>43177</v>
      </c>
      <c r="B68" s="58" t="s">
        <v>447</v>
      </c>
      <c r="C68" s="58" t="s">
        <v>231</v>
      </c>
      <c r="D68" s="58" t="s">
        <v>245</v>
      </c>
      <c r="E68" s="58"/>
      <c r="F68" s="58" t="s">
        <v>235</v>
      </c>
      <c r="G68" s="58"/>
      <c r="H68" s="140">
        <v>14</v>
      </c>
      <c r="I68" s="89">
        <v>1</v>
      </c>
      <c r="J68" s="185">
        <v>1200000</v>
      </c>
      <c r="K68" s="280">
        <f>Table2[[#This Row],[ĐƠN GIÁ ]]*Table2[[#This Row],[SL]]</f>
        <v>1200000</v>
      </c>
      <c r="L68" s="210">
        <f>+Table2[[#This Row],[THÀNH TIỀN ]]*10%</f>
        <v>120000</v>
      </c>
      <c r="M68" s="57"/>
    </row>
    <row r="69" spans="1:13" s="44" customFormat="1" hidden="1">
      <c r="A69" s="68">
        <v>43177</v>
      </c>
      <c r="B69" s="58" t="s">
        <v>447</v>
      </c>
      <c r="C69" s="58" t="s">
        <v>461</v>
      </c>
      <c r="D69" s="58" t="s">
        <v>277</v>
      </c>
      <c r="E69" s="58"/>
      <c r="F69" s="58" t="s">
        <v>235</v>
      </c>
      <c r="G69" s="58"/>
      <c r="H69" s="140">
        <v>14.39</v>
      </c>
      <c r="I69" s="89">
        <v>1</v>
      </c>
      <c r="J69" s="185">
        <v>80000</v>
      </c>
      <c r="K69" s="280">
        <f>Table2[[#This Row],[ĐƠN GIÁ ]]*Table2[[#This Row],[SL]]</f>
        <v>80000</v>
      </c>
      <c r="L69" s="210">
        <f>+Table2[[#This Row],[THÀNH TIỀN ]]*10%</f>
        <v>8000</v>
      </c>
      <c r="M69" s="57"/>
    </row>
    <row r="70" spans="1:13" s="44" customFormat="1" hidden="1">
      <c r="A70" s="68">
        <v>43177</v>
      </c>
      <c r="B70" s="58" t="s">
        <v>447</v>
      </c>
      <c r="C70" s="58" t="s">
        <v>461</v>
      </c>
      <c r="D70" s="58" t="s">
        <v>277</v>
      </c>
      <c r="E70" s="58"/>
      <c r="F70" s="58" t="s">
        <v>235</v>
      </c>
      <c r="G70" s="58"/>
      <c r="H70" s="140">
        <v>14.03</v>
      </c>
      <c r="I70" s="89">
        <v>1</v>
      </c>
      <c r="J70" s="185">
        <v>80000</v>
      </c>
      <c r="K70" s="280">
        <f>Table2[[#This Row],[ĐƠN GIÁ ]]*Table2[[#This Row],[SL]]</f>
        <v>80000</v>
      </c>
      <c r="L70" s="210">
        <f>+Table2[[#This Row],[THÀNH TIỀN ]]*10%</f>
        <v>8000</v>
      </c>
      <c r="M70" s="57"/>
    </row>
    <row r="71" spans="1:13" s="44" customFormat="1" hidden="1">
      <c r="A71" s="68">
        <v>43178</v>
      </c>
      <c r="B71" s="58" t="s">
        <v>447</v>
      </c>
      <c r="C71" s="58" t="s">
        <v>461</v>
      </c>
      <c r="D71" s="58" t="s">
        <v>277</v>
      </c>
      <c r="E71" s="58"/>
      <c r="F71" s="58" t="s">
        <v>235</v>
      </c>
      <c r="G71" s="58"/>
      <c r="H71" s="140">
        <v>13.57</v>
      </c>
      <c r="I71" s="89">
        <v>1</v>
      </c>
      <c r="J71" s="185">
        <v>80000</v>
      </c>
      <c r="K71" s="280">
        <f>Table2[[#This Row],[ĐƠN GIÁ ]]*Table2[[#This Row],[SL]]</f>
        <v>80000</v>
      </c>
      <c r="L71" s="210">
        <f>+Table2[[#This Row],[THÀNH TIỀN ]]*10%</f>
        <v>8000</v>
      </c>
      <c r="M71" s="57"/>
    </row>
    <row r="72" spans="1:13" s="44" customFormat="1" hidden="1">
      <c r="A72" s="68">
        <v>43178</v>
      </c>
      <c r="B72" s="58" t="s">
        <v>447</v>
      </c>
      <c r="C72" s="58" t="s">
        <v>461</v>
      </c>
      <c r="D72" s="58" t="s">
        <v>277</v>
      </c>
      <c r="E72" s="58"/>
      <c r="F72" s="58" t="s">
        <v>235</v>
      </c>
      <c r="G72" s="58"/>
      <c r="H72" s="140">
        <v>14.23</v>
      </c>
      <c r="I72" s="89">
        <v>1</v>
      </c>
      <c r="J72" s="185">
        <v>80000</v>
      </c>
      <c r="K72" s="280">
        <f>Table2[[#This Row],[ĐƠN GIÁ ]]*Table2[[#This Row],[SL]]</f>
        <v>80000</v>
      </c>
      <c r="L72" s="210">
        <f>+Table2[[#This Row],[THÀNH TIỀN ]]*10%</f>
        <v>8000</v>
      </c>
      <c r="M72" s="57"/>
    </row>
    <row r="73" spans="1:13" s="44" customFormat="1" hidden="1">
      <c r="A73" s="68">
        <v>43178</v>
      </c>
      <c r="B73" s="58" t="s">
        <v>447</v>
      </c>
      <c r="C73" s="58" t="s">
        <v>461</v>
      </c>
      <c r="D73" s="58" t="s">
        <v>277</v>
      </c>
      <c r="E73" s="58"/>
      <c r="F73" s="58" t="s">
        <v>235</v>
      </c>
      <c r="G73" s="58"/>
      <c r="H73" s="140">
        <v>14.23</v>
      </c>
      <c r="I73" s="89">
        <v>1</v>
      </c>
      <c r="J73" s="185">
        <v>80000</v>
      </c>
      <c r="K73" s="280">
        <f>Table2[[#This Row],[ĐƠN GIÁ ]]*Table2[[#This Row],[SL]]</f>
        <v>80000</v>
      </c>
      <c r="L73" s="210">
        <f>+Table2[[#This Row],[THÀNH TIỀN ]]*10%</f>
        <v>8000</v>
      </c>
      <c r="M73" s="57"/>
    </row>
    <row r="74" spans="1:13" s="44" customFormat="1" hidden="1">
      <c r="A74" s="68">
        <v>43178</v>
      </c>
      <c r="B74" s="58" t="s">
        <v>447</v>
      </c>
      <c r="C74" s="58" t="s">
        <v>461</v>
      </c>
      <c r="D74" s="58" t="s">
        <v>277</v>
      </c>
      <c r="E74" s="58"/>
      <c r="F74" s="58" t="s">
        <v>235</v>
      </c>
      <c r="G74" s="58"/>
      <c r="H74" s="140">
        <v>13.95</v>
      </c>
      <c r="I74" s="89">
        <v>1</v>
      </c>
      <c r="J74" s="185">
        <v>80000</v>
      </c>
      <c r="K74" s="280">
        <f>Table2[[#This Row],[ĐƠN GIÁ ]]*Table2[[#This Row],[SL]]</f>
        <v>80000</v>
      </c>
      <c r="L74" s="210">
        <f>+Table2[[#This Row],[THÀNH TIỀN ]]*10%</f>
        <v>8000</v>
      </c>
      <c r="M74" s="57"/>
    </row>
    <row r="75" spans="1:13" s="44" customFormat="1" hidden="1">
      <c r="A75" s="68">
        <v>43179</v>
      </c>
      <c r="B75" s="58" t="s">
        <v>447</v>
      </c>
      <c r="C75" s="58" t="s">
        <v>461</v>
      </c>
      <c r="D75" s="58" t="s">
        <v>277</v>
      </c>
      <c r="E75" s="58"/>
      <c r="F75" s="58" t="s">
        <v>235</v>
      </c>
      <c r="G75" s="58"/>
      <c r="H75" s="140">
        <v>13.86</v>
      </c>
      <c r="I75" s="89">
        <v>1</v>
      </c>
      <c r="J75" s="185">
        <v>80000</v>
      </c>
      <c r="K75" s="280">
        <f>Table2[[#This Row],[ĐƠN GIÁ ]]*Table2[[#This Row],[SL]]</f>
        <v>80000</v>
      </c>
      <c r="L75" s="210">
        <f>+Table2[[#This Row],[THÀNH TIỀN ]]*10%</f>
        <v>8000</v>
      </c>
      <c r="M75" s="57"/>
    </row>
    <row r="76" spans="1:13" s="44" customFormat="1" hidden="1">
      <c r="A76" s="68">
        <v>43179</v>
      </c>
      <c r="B76" s="58" t="s">
        <v>447</v>
      </c>
      <c r="C76" s="58" t="s">
        <v>461</v>
      </c>
      <c r="D76" s="58" t="s">
        <v>277</v>
      </c>
      <c r="E76" s="58"/>
      <c r="F76" s="58" t="s">
        <v>235</v>
      </c>
      <c r="G76" s="58"/>
      <c r="H76" s="140">
        <v>13.84</v>
      </c>
      <c r="I76" s="89">
        <v>1</v>
      </c>
      <c r="J76" s="185">
        <v>80000</v>
      </c>
      <c r="K76" s="280">
        <f>Table2[[#This Row],[ĐƠN GIÁ ]]*Table2[[#This Row],[SL]]</f>
        <v>80000</v>
      </c>
      <c r="L76" s="210">
        <f>+Table2[[#This Row],[THÀNH TIỀN ]]*10%</f>
        <v>8000</v>
      </c>
      <c r="M76" s="57"/>
    </row>
    <row r="77" spans="1:13" s="44" customFormat="1">
      <c r="A77" s="68">
        <v>43179</v>
      </c>
      <c r="B77" s="58" t="s">
        <v>447</v>
      </c>
      <c r="C77" s="58" t="s">
        <v>462</v>
      </c>
      <c r="D77" s="58" t="s">
        <v>455</v>
      </c>
      <c r="E77" s="58" t="s">
        <v>238</v>
      </c>
      <c r="F77" s="58"/>
      <c r="G77" s="58"/>
      <c r="H77" s="140"/>
      <c r="I77" s="89">
        <v>1</v>
      </c>
      <c r="J77" s="280">
        <v>230000</v>
      </c>
      <c r="K77" s="280">
        <f>Table2[[#This Row],[ĐƠN GIÁ ]]*Table2[[#This Row],[SL]]</f>
        <v>230000</v>
      </c>
      <c r="L77" s="210">
        <f>+Table2[[#This Row],[THÀNH TIỀN ]]*10%</f>
        <v>23000</v>
      </c>
      <c r="M77" s="57"/>
    </row>
    <row r="78" spans="1:13" s="44" customFormat="1">
      <c r="A78" s="68">
        <v>43179</v>
      </c>
      <c r="B78" s="58" t="s">
        <v>447</v>
      </c>
      <c r="C78" s="58" t="s">
        <v>462</v>
      </c>
      <c r="D78" s="58" t="s">
        <v>431</v>
      </c>
      <c r="E78" s="58" t="s">
        <v>238</v>
      </c>
      <c r="F78" s="58"/>
      <c r="G78" s="58"/>
      <c r="H78" s="140"/>
      <c r="I78" s="89">
        <v>1</v>
      </c>
      <c r="J78" s="185">
        <v>200000</v>
      </c>
      <c r="K78" s="280">
        <f>Table2[[#This Row],[ĐƠN GIÁ ]]*Table2[[#This Row],[SL]]</f>
        <v>200000</v>
      </c>
      <c r="L78" s="210">
        <f>+Table2[[#This Row],[THÀNH TIỀN ]]*10%</f>
        <v>20000</v>
      </c>
      <c r="M78" s="57"/>
    </row>
    <row r="79" spans="1:13" s="44" customFormat="1" hidden="1">
      <c r="A79" s="68">
        <v>43179</v>
      </c>
      <c r="B79" s="58" t="s">
        <v>447</v>
      </c>
      <c r="C79" s="58" t="s">
        <v>419</v>
      </c>
      <c r="D79" s="58" t="s">
        <v>400</v>
      </c>
      <c r="E79" s="58"/>
      <c r="F79" s="58" t="s">
        <v>233</v>
      </c>
      <c r="G79" s="58"/>
      <c r="H79" s="140">
        <v>12.0625</v>
      </c>
      <c r="I79" s="89">
        <v>1</v>
      </c>
      <c r="J79" s="185">
        <v>300000</v>
      </c>
      <c r="K79" s="280">
        <f>Table2[[#This Row],[ĐƠN GIÁ ]]*Table2[[#This Row],[SL]]</f>
        <v>300000</v>
      </c>
      <c r="L79" s="210">
        <f>+Table2[[#This Row],[THÀNH TIỀN ]]*10%</f>
        <v>30000</v>
      </c>
      <c r="M79" s="57"/>
    </row>
    <row r="80" spans="1:13" s="44" customFormat="1">
      <c r="A80" s="68">
        <v>43179</v>
      </c>
      <c r="B80" s="58" t="s">
        <v>447</v>
      </c>
      <c r="C80" s="58" t="s">
        <v>462</v>
      </c>
      <c r="D80" s="58" t="s">
        <v>350</v>
      </c>
      <c r="E80" s="58" t="s">
        <v>238</v>
      </c>
      <c r="F80" s="58"/>
      <c r="G80" s="58"/>
      <c r="H80" s="140"/>
      <c r="I80" s="89">
        <v>4</v>
      </c>
      <c r="J80" s="185">
        <v>230000</v>
      </c>
      <c r="K80" s="280">
        <f>Table2[[#This Row],[ĐƠN GIÁ ]]*Table2[[#This Row],[SL]]</f>
        <v>920000</v>
      </c>
      <c r="L80" s="210">
        <f>+Table2[[#This Row],[THÀNH TIỀN ]]*10%</f>
        <v>92000</v>
      </c>
      <c r="M80" s="57"/>
    </row>
    <row r="81" spans="1:13" s="44" customFormat="1">
      <c r="A81" s="68">
        <v>43179</v>
      </c>
      <c r="B81" s="58" t="s">
        <v>447</v>
      </c>
      <c r="C81" s="58" t="s">
        <v>365</v>
      </c>
      <c r="D81" s="58" t="s">
        <v>350</v>
      </c>
      <c r="E81" s="58" t="s">
        <v>238</v>
      </c>
      <c r="F81" s="58"/>
      <c r="G81" s="58"/>
      <c r="H81" s="140"/>
      <c r="I81" s="89">
        <v>1</v>
      </c>
      <c r="J81" s="185">
        <v>220000</v>
      </c>
      <c r="K81" s="280">
        <f>Table2[[#This Row],[ĐƠN GIÁ ]]*Table2[[#This Row],[SL]]</f>
        <v>220000</v>
      </c>
      <c r="L81" s="210">
        <f>+Table2[[#This Row],[THÀNH TIỀN ]]*10%</f>
        <v>22000</v>
      </c>
      <c r="M81" s="57"/>
    </row>
    <row r="82" spans="1:13" s="44" customFormat="1" hidden="1">
      <c r="A82" s="68">
        <v>43180</v>
      </c>
      <c r="B82" s="58" t="s">
        <v>447</v>
      </c>
      <c r="C82" s="58" t="s">
        <v>257</v>
      </c>
      <c r="D82" s="58" t="s">
        <v>269</v>
      </c>
      <c r="E82" s="58"/>
      <c r="F82" s="58" t="s">
        <v>270</v>
      </c>
      <c r="G82" s="58"/>
      <c r="H82" s="140">
        <v>14</v>
      </c>
      <c r="I82" s="89">
        <v>1</v>
      </c>
      <c r="J82" s="185"/>
      <c r="K82" s="280">
        <f>Table2[[#This Row],[ĐƠN GIÁ ]]*Table2[[#This Row],[SL]]</f>
        <v>0</v>
      </c>
      <c r="L82" s="210">
        <f>+Table2[[#This Row],[THÀNH TIỀN ]]*10%</f>
        <v>0</v>
      </c>
      <c r="M82" s="57"/>
    </row>
    <row r="83" spans="1:13" s="44" customFormat="1" hidden="1">
      <c r="A83" s="68">
        <v>43180</v>
      </c>
      <c r="B83" s="58" t="s">
        <v>447</v>
      </c>
      <c r="C83" s="58" t="s">
        <v>257</v>
      </c>
      <c r="D83" s="58" t="s">
        <v>232</v>
      </c>
      <c r="E83" s="58"/>
      <c r="F83" s="58" t="s">
        <v>271</v>
      </c>
      <c r="G83" s="58"/>
      <c r="H83" s="58">
        <v>12.5</v>
      </c>
      <c r="I83" s="89">
        <v>1</v>
      </c>
      <c r="J83" s="185">
        <v>1000000</v>
      </c>
      <c r="K83" s="280">
        <f>Table2[[#This Row],[ĐƠN GIÁ ]]*Table2[[#This Row],[SL]]</f>
        <v>1000000</v>
      </c>
      <c r="L83" s="210">
        <f>+Table2[[#This Row],[THÀNH TIỀN ]]*10%</f>
        <v>100000</v>
      </c>
      <c r="M83" s="57"/>
    </row>
    <row r="84" spans="1:13" s="44" customFormat="1" hidden="1">
      <c r="A84" s="68">
        <v>43182</v>
      </c>
      <c r="B84" s="58" t="s">
        <v>447</v>
      </c>
      <c r="C84" s="58" t="s">
        <v>257</v>
      </c>
      <c r="D84" s="58" t="s">
        <v>269</v>
      </c>
      <c r="E84" s="58"/>
      <c r="F84" s="58" t="s">
        <v>270</v>
      </c>
      <c r="G84" s="58"/>
      <c r="H84" s="140">
        <v>14</v>
      </c>
      <c r="I84" s="89">
        <v>1</v>
      </c>
      <c r="J84" s="185"/>
      <c r="K84" s="280">
        <f>Table2[[#This Row],[ĐƠN GIÁ ]]*Table2[[#This Row],[SL]]</f>
        <v>0</v>
      </c>
      <c r="L84" s="210">
        <f>+Table2[[#This Row],[THÀNH TIỀN ]]*10%</f>
        <v>0</v>
      </c>
      <c r="M84" s="57"/>
    </row>
    <row r="85" spans="1:13" s="44" customFormat="1" hidden="1">
      <c r="A85" s="68">
        <v>43182</v>
      </c>
      <c r="B85" s="58" t="s">
        <v>447</v>
      </c>
      <c r="C85" s="58" t="s">
        <v>257</v>
      </c>
      <c r="D85" s="58" t="s">
        <v>269</v>
      </c>
      <c r="E85" s="58"/>
      <c r="F85" s="58" t="s">
        <v>270</v>
      </c>
      <c r="G85" s="58"/>
      <c r="H85" s="140">
        <v>14</v>
      </c>
      <c r="I85" s="89">
        <v>1</v>
      </c>
      <c r="J85" s="185"/>
      <c r="K85" s="280">
        <f>Table2[[#This Row],[ĐƠN GIÁ ]]*Table2[[#This Row],[SL]]</f>
        <v>0</v>
      </c>
      <c r="L85" s="210">
        <f>+Table2[[#This Row],[THÀNH TIỀN ]]*10%</f>
        <v>0</v>
      </c>
      <c r="M85" s="57"/>
    </row>
    <row r="86" spans="1:13" s="44" customFormat="1" hidden="1">
      <c r="A86" s="68">
        <v>43183</v>
      </c>
      <c r="B86" s="58" t="s">
        <v>447</v>
      </c>
      <c r="C86" s="58" t="s">
        <v>257</v>
      </c>
      <c r="D86" s="58" t="s">
        <v>232</v>
      </c>
      <c r="E86" s="58"/>
      <c r="F86" s="58" t="s">
        <v>456</v>
      </c>
      <c r="G86" s="58"/>
      <c r="H86" s="58">
        <v>12.5</v>
      </c>
      <c r="I86" s="89">
        <v>1</v>
      </c>
      <c r="J86" s="185">
        <v>1000000</v>
      </c>
      <c r="K86" s="280">
        <f>Table2[[#This Row],[ĐƠN GIÁ ]]*Table2[[#This Row],[SL]]</f>
        <v>1000000</v>
      </c>
      <c r="L86" s="210">
        <f>+Table2[[#This Row],[THÀNH TIỀN ]]*10%</f>
        <v>100000</v>
      </c>
      <c r="M86" s="57"/>
    </row>
    <row r="87" spans="1:13" s="44" customFormat="1" hidden="1">
      <c r="A87" s="68">
        <v>43183</v>
      </c>
      <c r="B87" s="58" t="s">
        <v>447</v>
      </c>
      <c r="C87" s="58" t="s">
        <v>257</v>
      </c>
      <c r="D87" s="58" t="s">
        <v>424</v>
      </c>
      <c r="E87" s="58"/>
      <c r="F87" s="58" t="s">
        <v>250</v>
      </c>
      <c r="G87" s="58"/>
      <c r="H87" s="140">
        <v>15.68</v>
      </c>
      <c r="I87" s="89">
        <v>1</v>
      </c>
      <c r="J87" s="185">
        <v>1000000</v>
      </c>
      <c r="K87" s="280">
        <f>Table2[[#This Row],[ĐƠN GIÁ ]]*Table2[[#This Row],[SL]]</f>
        <v>1000000</v>
      </c>
      <c r="L87" s="210">
        <f>+Table2[[#This Row],[THÀNH TIỀN ]]*10%</f>
        <v>100000</v>
      </c>
      <c r="M87" s="57"/>
    </row>
    <row r="88" spans="1:13" s="44" customFormat="1" hidden="1">
      <c r="A88" s="68">
        <v>43183</v>
      </c>
      <c r="B88" s="58" t="s">
        <v>447</v>
      </c>
      <c r="C88" s="58" t="s">
        <v>257</v>
      </c>
      <c r="D88" s="58" t="s">
        <v>269</v>
      </c>
      <c r="E88" s="58"/>
      <c r="F88" s="58" t="s">
        <v>270</v>
      </c>
      <c r="G88" s="58"/>
      <c r="H88" s="140">
        <v>14</v>
      </c>
      <c r="I88" s="89">
        <v>1</v>
      </c>
      <c r="J88" s="185"/>
      <c r="K88" s="280">
        <f>Table2[[#This Row],[ĐƠN GIÁ ]]*Table2[[#This Row],[SL]]</f>
        <v>0</v>
      </c>
      <c r="L88" s="210">
        <f>+Table2[[#This Row],[THÀNH TIỀN ]]*10%</f>
        <v>0</v>
      </c>
      <c r="M88" s="57"/>
    </row>
    <row r="89" spans="1:13" s="44" customFormat="1" hidden="1">
      <c r="A89" s="68">
        <v>43184</v>
      </c>
      <c r="B89" s="58" t="s">
        <v>447</v>
      </c>
      <c r="C89" s="58" t="s">
        <v>257</v>
      </c>
      <c r="D89" s="58" t="s">
        <v>269</v>
      </c>
      <c r="E89" s="58"/>
      <c r="F89" s="58" t="s">
        <v>270</v>
      </c>
      <c r="G89" s="58"/>
      <c r="H89" s="140">
        <v>28</v>
      </c>
      <c r="I89" s="89">
        <v>2</v>
      </c>
      <c r="J89" s="185"/>
      <c r="K89" s="280">
        <f>Table2[[#This Row],[ĐƠN GIÁ ]]*Table2[[#This Row],[SL]]</f>
        <v>0</v>
      </c>
      <c r="L89" s="210">
        <f>+Table2[[#This Row],[THÀNH TIỀN ]]*10%</f>
        <v>0</v>
      </c>
      <c r="M89" s="57"/>
    </row>
    <row r="90" spans="1:13" s="44" customFormat="1" hidden="1">
      <c r="A90" s="68">
        <v>43184</v>
      </c>
      <c r="B90" s="58" t="s">
        <v>447</v>
      </c>
      <c r="C90" s="58" t="s">
        <v>257</v>
      </c>
      <c r="D90" s="58" t="s">
        <v>232</v>
      </c>
      <c r="E90" s="58"/>
      <c r="F90" s="58" t="s">
        <v>250</v>
      </c>
      <c r="G90" s="58"/>
      <c r="H90" s="58">
        <v>12.5</v>
      </c>
      <c r="I90" s="89">
        <v>1</v>
      </c>
      <c r="J90" s="185">
        <v>1000000</v>
      </c>
      <c r="K90" s="280">
        <f>Table2[[#This Row],[ĐƠN GIÁ ]]*Table2[[#This Row],[SL]]</f>
        <v>1000000</v>
      </c>
      <c r="L90" s="210">
        <f>+Table2[[#This Row],[THÀNH TIỀN ]]*10%</f>
        <v>100000</v>
      </c>
      <c r="M90" s="57"/>
    </row>
    <row r="91" spans="1:13" s="44" customFormat="1" hidden="1">
      <c r="A91" s="68">
        <v>43186</v>
      </c>
      <c r="B91" s="58" t="s">
        <v>447</v>
      </c>
      <c r="C91" s="58" t="s">
        <v>231</v>
      </c>
      <c r="D91" s="58" t="s">
        <v>232</v>
      </c>
      <c r="E91" s="58"/>
      <c r="F91" s="58" t="s">
        <v>235</v>
      </c>
      <c r="G91" s="58"/>
      <c r="H91" s="58">
        <v>14.83</v>
      </c>
      <c r="I91" s="89">
        <v>1</v>
      </c>
      <c r="J91" s="185">
        <v>1000000</v>
      </c>
      <c r="K91" s="280">
        <f>Table2[[#This Row],[ĐƠN GIÁ ]]*Table2[[#This Row],[SL]]</f>
        <v>1000000</v>
      </c>
      <c r="L91" s="210">
        <f>+Table2[[#This Row],[THÀNH TIỀN ]]*10%</f>
        <v>100000</v>
      </c>
      <c r="M91" s="57"/>
    </row>
    <row r="92" spans="1:13" s="44" customFormat="1">
      <c r="A92" s="68">
        <v>43186</v>
      </c>
      <c r="B92" s="58" t="s">
        <v>447</v>
      </c>
      <c r="C92" s="58" t="s">
        <v>394</v>
      </c>
      <c r="D92" s="58" t="s">
        <v>350</v>
      </c>
      <c r="E92" s="58" t="s">
        <v>238</v>
      </c>
      <c r="F92" s="58"/>
      <c r="G92" s="58"/>
      <c r="H92" s="140"/>
      <c r="I92" s="89">
        <v>11</v>
      </c>
      <c r="J92" s="185">
        <v>190000</v>
      </c>
      <c r="K92" s="280">
        <f>Table2[[#This Row],[ĐƠN GIÁ ]]*Table2[[#This Row],[SL]]</f>
        <v>2090000</v>
      </c>
      <c r="L92" s="210">
        <f>+Table2[[#This Row],[THÀNH TIỀN ]]*10%</f>
        <v>209000</v>
      </c>
      <c r="M92" s="57"/>
    </row>
    <row r="93" spans="1:13" s="44" customFormat="1" hidden="1">
      <c r="A93" s="68">
        <v>43187</v>
      </c>
      <c r="B93" s="58" t="s">
        <v>447</v>
      </c>
      <c r="C93" s="58" t="s">
        <v>461</v>
      </c>
      <c r="D93" s="58" t="s">
        <v>277</v>
      </c>
      <c r="E93" s="58"/>
      <c r="F93" s="58" t="s">
        <v>271</v>
      </c>
      <c r="G93" s="58"/>
      <c r="H93" s="140">
        <v>14.38</v>
      </c>
      <c r="I93" s="89">
        <v>1</v>
      </c>
      <c r="J93" s="185">
        <v>80000</v>
      </c>
      <c r="K93" s="280">
        <f>Table2[[#This Row],[ĐƠN GIÁ ]]*Table2[[#This Row],[SL]]</f>
        <v>80000</v>
      </c>
      <c r="L93" s="210">
        <f>+Table2[[#This Row],[THÀNH TIỀN ]]*10%</f>
        <v>8000</v>
      </c>
      <c r="M93" s="57"/>
    </row>
    <row r="94" spans="1:13" s="44" customFormat="1">
      <c r="A94" s="68">
        <v>43187</v>
      </c>
      <c r="B94" s="58" t="s">
        <v>447</v>
      </c>
      <c r="C94" s="58" t="s">
        <v>394</v>
      </c>
      <c r="D94" s="58" t="s">
        <v>457</v>
      </c>
      <c r="E94" s="58" t="s">
        <v>238</v>
      </c>
      <c r="F94" s="58"/>
      <c r="G94" s="58"/>
      <c r="H94" s="140"/>
      <c r="I94" s="89">
        <v>2</v>
      </c>
      <c r="J94" s="280">
        <v>400000</v>
      </c>
      <c r="K94" s="280">
        <f>Table2[[#This Row],[ĐƠN GIÁ ]]*Table2[[#This Row],[SL]]</f>
        <v>800000</v>
      </c>
      <c r="L94" s="210">
        <f>+Table2[[#This Row],[THÀNH TIỀN ]]*10%</f>
        <v>80000</v>
      </c>
      <c r="M94" s="57"/>
    </row>
    <row r="95" spans="1:13" s="57" customFormat="1">
      <c r="A95" s="68">
        <v>43187</v>
      </c>
      <c r="B95" s="58" t="s">
        <v>447</v>
      </c>
      <c r="C95" s="58" t="s">
        <v>365</v>
      </c>
      <c r="D95" s="58" t="s">
        <v>266</v>
      </c>
      <c r="E95" s="58" t="s">
        <v>238</v>
      </c>
      <c r="F95" s="58"/>
      <c r="G95" s="58"/>
      <c r="H95" s="140"/>
      <c r="I95" s="89">
        <v>4</v>
      </c>
      <c r="J95" s="185">
        <v>230000</v>
      </c>
      <c r="K95" s="280">
        <f>Table2[[#This Row],[ĐƠN GIÁ ]]*Table2[[#This Row],[SL]]</f>
        <v>920000</v>
      </c>
      <c r="L95" s="210">
        <f>+Table2[[#This Row],[THÀNH TIỀN ]]*10%</f>
        <v>92000</v>
      </c>
    </row>
    <row r="96" spans="1:13" s="57" customFormat="1">
      <c r="A96" s="68">
        <v>43187</v>
      </c>
      <c r="B96" s="58" t="s">
        <v>447</v>
      </c>
      <c r="C96" s="58" t="s">
        <v>415</v>
      </c>
      <c r="D96" s="58" t="s">
        <v>232</v>
      </c>
      <c r="E96" s="58" t="s">
        <v>238</v>
      </c>
      <c r="F96" s="58"/>
      <c r="G96" s="58"/>
      <c r="H96" s="140"/>
      <c r="I96" s="89">
        <v>1</v>
      </c>
      <c r="J96" s="185">
        <v>1000000</v>
      </c>
      <c r="K96" s="280">
        <f>Table2[[#This Row],[ĐƠN GIÁ ]]*Table2[[#This Row],[SL]]</f>
        <v>1000000</v>
      </c>
      <c r="L96" s="210">
        <f>+Table2[[#This Row],[THÀNH TIỀN ]]*10%</f>
        <v>100000</v>
      </c>
    </row>
    <row r="97" spans="1:13" s="57" customFormat="1" hidden="1">
      <c r="A97" s="68">
        <v>43188</v>
      </c>
      <c r="B97" s="58" t="s">
        <v>447</v>
      </c>
      <c r="C97" s="58" t="s">
        <v>461</v>
      </c>
      <c r="D97" s="58" t="s">
        <v>277</v>
      </c>
      <c r="E97" s="58"/>
      <c r="F97" s="58" t="s">
        <v>271</v>
      </c>
      <c r="G97" s="58"/>
      <c r="H97" s="140">
        <v>14.2</v>
      </c>
      <c r="I97" s="89">
        <v>1</v>
      </c>
      <c r="J97" s="185">
        <v>80000</v>
      </c>
      <c r="K97" s="280">
        <f>Table2[[#This Row],[ĐƠN GIÁ ]]*Table2[[#This Row],[SL]]</f>
        <v>80000</v>
      </c>
      <c r="L97" s="210">
        <f>+Table2[[#This Row],[THÀNH TIỀN ]]*10%</f>
        <v>8000</v>
      </c>
    </row>
    <row r="98" spans="1:13" s="57" customFormat="1" hidden="1">
      <c r="A98" s="68">
        <v>43188</v>
      </c>
      <c r="B98" s="58" t="s">
        <v>447</v>
      </c>
      <c r="C98" s="58" t="s">
        <v>461</v>
      </c>
      <c r="D98" s="58" t="s">
        <v>277</v>
      </c>
      <c r="E98" s="58"/>
      <c r="F98" s="58" t="s">
        <v>271</v>
      </c>
      <c r="G98" s="58"/>
      <c r="H98" s="140">
        <v>14</v>
      </c>
      <c r="I98" s="89">
        <v>1</v>
      </c>
      <c r="J98" s="185">
        <v>80000</v>
      </c>
      <c r="K98" s="280">
        <f>Table2[[#This Row],[ĐƠN GIÁ ]]*Table2[[#This Row],[SL]]</f>
        <v>80000</v>
      </c>
      <c r="L98" s="210">
        <f>+Table2[[#This Row],[THÀNH TIỀN ]]*10%</f>
        <v>8000</v>
      </c>
    </row>
    <row r="99" spans="1:13" s="57" customFormat="1">
      <c r="A99" s="68">
        <v>43189</v>
      </c>
      <c r="B99" s="58" t="s">
        <v>447</v>
      </c>
      <c r="C99" s="58" t="s">
        <v>365</v>
      </c>
      <c r="D99" s="58" t="s">
        <v>397</v>
      </c>
      <c r="E99" s="58" t="s">
        <v>238</v>
      </c>
      <c r="F99" s="58"/>
      <c r="G99" s="58"/>
      <c r="H99" s="140"/>
      <c r="I99" s="89">
        <v>2</v>
      </c>
      <c r="J99" s="185">
        <v>220000</v>
      </c>
      <c r="K99" s="280">
        <f>Table2[[#This Row],[ĐƠN GIÁ ]]*Table2[[#This Row],[SL]]</f>
        <v>440000</v>
      </c>
      <c r="L99" s="210">
        <f>+Table2[[#This Row],[THÀNH TIỀN ]]*10%</f>
        <v>44000</v>
      </c>
    </row>
    <row r="100" spans="1:13" s="57" customFormat="1">
      <c r="A100" s="68">
        <v>43189</v>
      </c>
      <c r="B100" s="58" t="s">
        <v>447</v>
      </c>
      <c r="C100" s="58" t="s">
        <v>463</v>
      </c>
      <c r="D100" s="58" t="s">
        <v>397</v>
      </c>
      <c r="E100" s="58" t="s">
        <v>238</v>
      </c>
      <c r="F100" s="58"/>
      <c r="G100" s="58"/>
      <c r="H100" s="140"/>
      <c r="I100" s="89">
        <v>2</v>
      </c>
      <c r="J100" s="280">
        <v>230000</v>
      </c>
      <c r="K100" s="280">
        <f>Table2[[#This Row],[ĐƠN GIÁ ]]*Table2[[#This Row],[SL]]</f>
        <v>460000</v>
      </c>
      <c r="L100" s="210">
        <f>+Table2[[#This Row],[THÀNH TIỀN ]]*10%</f>
        <v>46000</v>
      </c>
    </row>
    <row r="101" spans="1:13" s="57" customFormat="1" hidden="1">
      <c r="A101" s="68">
        <v>43189</v>
      </c>
      <c r="B101" s="58" t="s">
        <v>447</v>
      </c>
      <c r="C101" s="58" t="s">
        <v>449</v>
      </c>
      <c r="D101" s="58" t="s">
        <v>458</v>
      </c>
      <c r="E101" s="58"/>
      <c r="F101" s="58" t="s">
        <v>271</v>
      </c>
      <c r="G101" s="58"/>
      <c r="H101" s="140">
        <v>12</v>
      </c>
      <c r="I101" s="89">
        <v>1</v>
      </c>
      <c r="J101" s="185">
        <v>300000</v>
      </c>
      <c r="K101" s="280">
        <f>Table2[[#This Row],[ĐƠN GIÁ ]]*Table2[[#This Row],[SL]]</f>
        <v>300000</v>
      </c>
      <c r="L101" s="210">
        <f>+Table2[[#This Row],[THÀNH TIỀN ]]*10%</f>
        <v>30000</v>
      </c>
    </row>
    <row r="102" spans="1:13" s="57" customFormat="1" hidden="1">
      <c r="A102" s="68">
        <v>43189</v>
      </c>
      <c r="B102" s="58" t="s">
        <v>447</v>
      </c>
      <c r="C102" s="58" t="s">
        <v>231</v>
      </c>
      <c r="D102" s="58" t="s">
        <v>458</v>
      </c>
      <c r="E102" s="58"/>
      <c r="F102" s="58" t="s">
        <v>235</v>
      </c>
      <c r="G102" s="58"/>
      <c r="H102" s="140">
        <v>14.5</v>
      </c>
      <c r="I102" s="89">
        <v>1</v>
      </c>
      <c r="J102" s="185">
        <v>1300000</v>
      </c>
      <c r="K102" s="280">
        <f>Table2[[#This Row],[ĐƠN GIÁ ]]*Table2[[#This Row],[SL]]</f>
        <v>1300000</v>
      </c>
      <c r="L102" s="210">
        <f>+Table2[[#This Row],[THÀNH TIỀN ]]*10%</f>
        <v>130000</v>
      </c>
    </row>
    <row r="103" spans="1:13" s="57" customFormat="1">
      <c r="A103" s="68">
        <v>43189</v>
      </c>
      <c r="B103" s="58" t="s">
        <v>447</v>
      </c>
      <c r="C103" s="58" t="s">
        <v>463</v>
      </c>
      <c r="D103" s="58" t="s">
        <v>431</v>
      </c>
      <c r="E103" s="58" t="s">
        <v>238</v>
      </c>
      <c r="F103" s="58"/>
      <c r="G103" s="58"/>
      <c r="H103" s="140"/>
      <c r="I103" s="89">
        <v>4</v>
      </c>
      <c r="J103" s="280">
        <v>230000</v>
      </c>
      <c r="K103" s="280">
        <f>Table2[[#This Row],[ĐƠN GIÁ ]]*Table2[[#This Row],[SL]]</f>
        <v>920000</v>
      </c>
      <c r="L103" s="210">
        <f>+Table2[[#This Row],[THÀNH TIỀN ]]*10%</f>
        <v>92000</v>
      </c>
    </row>
    <row r="104" spans="1:13" s="57" customFormat="1" hidden="1">
      <c r="A104" s="110">
        <v>43190</v>
      </c>
      <c r="B104" s="58" t="s">
        <v>447</v>
      </c>
      <c r="C104" s="58" t="s">
        <v>276</v>
      </c>
      <c r="D104" s="58" t="s">
        <v>277</v>
      </c>
      <c r="E104" s="58"/>
      <c r="F104" s="58" t="s">
        <v>235</v>
      </c>
      <c r="G104" s="58"/>
      <c r="H104" s="140">
        <v>14.33</v>
      </c>
      <c r="I104" s="89">
        <v>1</v>
      </c>
      <c r="J104" s="185"/>
      <c r="K104" s="280">
        <f>Table2[[#This Row],[ĐƠN GIÁ ]]*Table2[[#This Row],[SL]]</f>
        <v>0</v>
      </c>
      <c r="L104" s="113">
        <f>+Table2[[#This Row],[THÀNH TIỀN ]]*10%</f>
        <v>0</v>
      </c>
    </row>
    <row r="105" spans="1:13" s="57" customFormat="1" hidden="1">
      <c r="A105" s="110">
        <v>43190</v>
      </c>
      <c r="B105" s="58" t="s">
        <v>447</v>
      </c>
      <c r="C105" s="58" t="s">
        <v>231</v>
      </c>
      <c r="D105" s="58" t="s">
        <v>245</v>
      </c>
      <c r="E105" s="58"/>
      <c r="F105" s="58" t="s">
        <v>235</v>
      </c>
      <c r="G105" s="58"/>
      <c r="H105" s="140">
        <v>14</v>
      </c>
      <c r="I105" s="89">
        <v>1</v>
      </c>
      <c r="J105" s="185"/>
      <c r="K105" s="280">
        <f>Table2[[#This Row],[ĐƠN GIÁ ]]*Table2[[#This Row],[SL]]</f>
        <v>0</v>
      </c>
      <c r="L105" s="113">
        <f>+Table2[[#This Row],[THÀNH TIỀN ]]*10%</f>
        <v>0</v>
      </c>
    </row>
    <row r="106" spans="1:13" s="57" customFormat="1" hidden="1">
      <c r="A106" s="110">
        <v>43190</v>
      </c>
      <c r="B106" s="58" t="s">
        <v>447</v>
      </c>
      <c r="C106" s="58" t="s">
        <v>231</v>
      </c>
      <c r="D106" s="58" t="s">
        <v>245</v>
      </c>
      <c r="E106" s="58"/>
      <c r="F106" s="58" t="s">
        <v>235</v>
      </c>
      <c r="G106" s="58"/>
      <c r="H106" s="140">
        <v>14</v>
      </c>
      <c r="I106" s="89">
        <v>1</v>
      </c>
      <c r="J106" s="185"/>
      <c r="K106" s="280">
        <f>Table2[[#This Row],[ĐƠN GIÁ ]]*Table2[[#This Row],[SL]]</f>
        <v>0</v>
      </c>
      <c r="L106" s="113">
        <f>+Table2[[#This Row],[THÀNH TIỀN ]]*10%</f>
        <v>0</v>
      </c>
    </row>
    <row r="107" spans="1:13" s="57" customFormat="1" hidden="1">
      <c r="A107" s="110">
        <v>43190</v>
      </c>
      <c r="B107" s="58" t="s">
        <v>447</v>
      </c>
      <c r="C107" s="58" t="s">
        <v>276</v>
      </c>
      <c r="D107" s="58" t="s">
        <v>277</v>
      </c>
      <c r="E107" s="58"/>
      <c r="F107" s="58" t="s">
        <v>235</v>
      </c>
      <c r="G107" s="58"/>
      <c r="H107" s="140">
        <v>14.77</v>
      </c>
      <c r="I107" s="89">
        <v>1</v>
      </c>
      <c r="J107" s="185"/>
      <c r="K107" s="280">
        <f>Table2[[#This Row],[ĐƠN GIÁ ]]*Table2[[#This Row],[SL]]</f>
        <v>0</v>
      </c>
      <c r="L107" s="113">
        <f>+Table2[[#This Row],[THÀNH TIỀN ]]*10%</f>
        <v>0</v>
      </c>
    </row>
    <row r="108" spans="1:13" s="57" customFormat="1">
      <c r="A108" s="110">
        <v>43190</v>
      </c>
      <c r="B108" s="58" t="s">
        <v>447</v>
      </c>
      <c r="C108" s="58" t="s">
        <v>415</v>
      </c>
      <c r="D108" s="58" t="s">
        <v>232</v>
      </c>
      <c r="E108" s="58" t="s">
        <v>238</v>
      </c>
      <c r="F108" s="58"/>
      <c r="G108" s="58"/>
      <c r="H108" s="140"/>
      <c r="I108" s="89">
        <v>1</v>
      </c>
      <c r="J108" s="185">
        <v>1000000</v>
      </c>
      <c r="K108" s="280">
        <f>Table2[[#This Row],[ĐƠN GIÁ ]]*Table2[[#This Row],[SL]]</f>
        <v>1000000</v>
      </c>
      <c r="L108" s="113">
        <f>+Table2[[#This Row],[THÀNH TIỀN ]]*10%</f>
        <v>100000</v>
      </c>
    </row>
    <row r="109" spans="1:13" s="44" customFormat="1">
      <c r="A109" s="234"/>
      <c r="B109" s="115"/>
      <c r="C109" s="115"/>
      <c r="D109" s="115"/>
      <c r="E109" s="115"/>
      <c r="F109" s="115"/>
      <c r="G109" s="115"/>
      <c r="H109" s="116"/>
      <c r="I109" s="89">
        <f>SUM(I10:I108)</f>
        <v>227</v>
      </c>
      <c r="J109" s="235"/>
      <c r="K109" s="236">
        <f>SUBTOTAL(109,K10:K108)</f>
        <v>32360000</v>
      </c>
      <c r="L109" s="237">
        <f>+Table2[[#This Row],[THÀNH TIỀN ]]*10%</f>
        <v>3236000</v>
      </c>
      <c r="M109" s="57"/>
    </row>
    <row r="111" spans="1:13">
      <c r="C111" s="313" t="s">
        <v>34</v>
      </c>
      <c r="D111" s="314"/>
      <c r="E111" s="314"/>
      <c r="F111" s="314"/>
      <c r="G111" s="315"/>
      <c r="H111" s="157"/>
      <c r="I111" s="158">
        <f>K109</f>
        <v>32360000</v>
      </c>
    </row>
    <row r="112" spans="1:13">
      <c r="C112" s="313" t="s">
        <v>35</v>
      </c>
      <c r="D112" s="314"/>
      <c r="E112" s="314"/>
      <c r="F112" s="314"/>
      <c r="G112" s="315"/>
      <c r="H112" s="157"/>
      <c r="I112" s="158">
        <f>L109</f>
        <v>3236000</v>
      </c>
    </row>
    <row r="113" spans="1:13">
      <c r="C113" s="313" t="s">
        <v>36</v>
      </c>
      <c r="D113" s="314"/>
      <c r="E113" s="314"/>
      <c r="F113" s="314"/>
      <c r="G113" s="315"/>
      <c r="H113" s="157"/>
      <c r="I113" s="158">
        <v>2000000</v>
      </c>
    </row>
    <row r="114" spans="1:13">
      <c r="C114" s="313" t="s">
        <v>100</v>
      </c>
      <c r="D114" s="314"/>
      <c r="E114" s="314"/>
      <c r="F114" s="314"/>
      <c r="G114" s="315"/>
      <c r="H114" s="159"/>
      <c r="I114" s="158">
        <f>L123</f>
        <v>800000</v>
      </c>
    </row>
    <row r="115" spans="1:13">
      <c r="C115" s="313" t="s">
        <v>111</v>
      </c>
      <c r="D115" s="314"/>
      <c r="E115" s="314"/>
      <c r="F115" s="314"/>
      <c r="G115" s="315"/>
      <c r="H115" s="159"/>
      <c r="I115" s="158">
        <f>E131</f>
        <v>37133000</v>
      </c>
    </row>
    <row r="116" spans="1:13">
      <c r="C116" s="313" t="s">
        <v>311</v>
      </c>
      <c r="D116" s="314"/>
      <c r="E116" s="314"/>
      <c r="F116" s="314"/>
      <c r="G116" s="315"/>
      <c r="H116" s="159"/>
      <c r="I116" s="158">
        <f>L131</f>
        <v>745000</v>
      </c>
    </row>
    <row r="117" spans="1:13">
      <c r="C117" s="313" t="s">
        <v>112</v>
      </c>
      <c r="D117" s="314"/>
      <c r="E117" s="314"/>
      <c r="F117" s="314"/>
      <c r="G117" s="315"/>
      <c r="H117" s="159"/>
      <c r="I117" s="158"/>
    </row>
    <row r="118" spans="1:13">
      <c r="C118" s="238"/>
      <c r="D118" s="238"/>
      <c r="E118" s="238"/>
      <c r="F118" s="238"/>
      <c r="G118" s="238"/>
      <c r="H118" s="239"/>
      <c r="I118" s="240"/>
    </row>
    <row r="119" spans="1:13" s="2" customFormat="1">
      <c r="A119" s="222"/>
      <c r="B119" s="222"/>
      <c r="C119" s="222"/>
      <c r="D119" s="222"/>
      <c r="E119" s="189"/>
      <c r="F119" s="241"/>
      <c r="G119" s="241"/>
      <c r="H119" s="222"/>
      <c r="I119" s="189"/>
      <c r="J119" s="189"/>
      <c r="K119" s="189"/>
      <c r="L119" s="189"/>
      <c r="M119" s="222"/>
    </row>
    <row r="120" spans="1:13">
      <c r="A120" s="222" t="s">
        <v>170</v>
      </c>
      <c r="B120" s="222"/>
      <c r="C120" s="222"/>
      <c r="D120" s="242"/>
      <c r="E120" s="222"/>
      <c r="I120" s="222" t="s">
        <v>169</v>
      </c>
      <c r="K120" s="26"/>
      <c r="L120" s="26"/>
    </row>
    <row r="121" spans="1:13">
      <c r="A121" s="225" t="s">
        <v>299</v>
      </c>
      <c r="B121" s="321" t="s">
        <v>300</v>
      </c>
      <c r="C121" s="324"/>
      <c r="D121" s="322"/>
      <c r="E121" s="162">
        <v>3927000</v>
      </c>
      <c r="I121" s="160" t="s">
        <v>133</v>
      </c>
      <c r="J121" s="323" t="s">
        <v>134</v>
      </c>
      <c r="K121" s="323"/>
      <c r="L121" s="145">
        <v>200000</v>
      </c>
    </row>
    <row r="122" spans="1:13">
      <c r="A122" s="225" t="s">
        <v>280</v>
      </c>
      <c r="B122" s="321" t="s">
        <v>301</v>
      </c>
      <c r="C122" s="324"/>
      <c r="D122" s="322"/>
      <c r="E122" s="162">
        <v>3142000</v>
      </c>
      <c r="I122" s="160" t="s">
        <v>133</v>
      </c>
      <c r="J122" s="323" t="s">
        <v>47</v>
      </c>
      <c r="K122" s="323"/>
      <c r="L122" s="145">
        <v>600000</v>
      </c>
    </row>
    <row r="123" spans="1:13">
      <c r="A123" s="225" t="s">
        <v>302</v>
      </c>
      <c r="B123" s="323" t="s">
        <v>300</v>
      </c>
      <c r="C123" s="323"/>
      <c r="D123" s="323"/>
      <c r="E123" s="162">
        <v>3927000</v>
      </c>
      <c r="K123" s="26"/>
      <c r="L123" s="223">
        <f>SUM(L121:L122)</f>
        <v>800000</v>
      </c>
    </row>
    <row r="124" spans="1:13">
      <c r="A124" s="68" t="s">
        <v>303</v>
      </c>
      <c r="B124" s="323" t="s">
        <v>300</v>
      </c>
      <c r="C124" s="323"/>
      <c r="D124" s="323"/>
      <c r="E124" s="185">
        <v>3927000</v>
      </c>
      <c r="J124" s="228"/>
      <c r="K124" s="26"/>
      <c r="L124" s="26"/>
    </row>
    <row r="125" spans="1:13">
      <c r="A125" s="68" t="s">
        <v>304</v>
      </c>
      <c r="B125" s="323" t="s">
        <v>300</v>
      </c>
      <c r="C125" s="323"/>
      <c r="D125" s="323"/>
      <c r="E125" s="162">
        <v>3927000</v>
      </c>
      <c r="I125" s="222" t="s">
        <v>171</v>
      </c>
      <c r="K125" s="26"/>
      <c r="L125" s="26"/>
    </row>
    <row r="126" spans="1:13">
      <c r="A126" s="68" t="s">
        <v>215</v>
      </c>
      <c r="B126" s="323" t="s">
        <v>300</v>
      </c>
      <c r="C126" s="323"/>
      <c r="D126" s="323"/>
      <c r="E126" s="162">
        <v>3927000</v>
      </c>
      <c r="I126" s="68" t="s">
        <v>285</v>
      </c>
      <c r="J126" s="243" t="s">
        <v>284</v>
      </c>
      <c r="K126" s="161"/>
      <c r="L126" s="162">
        <v>50000</v>
      </c>
    </row>
    <row r="127" spans="1:13">
      <c r="A127" s="68" t="s">
        <v>305</v>
      </c>
      <c r="B127" s="323" t="s">
        <v>290</v>
      </c>
      <c r="C127" s="323"/>
      <c r="D127" s="323"/>
      <c r="E127" s="162">
        <v>4000000</v>
      </c>
      <c r="I127" s="68" t="s">
        <v>215</v>
      </c>
      <c r="J127" s="243" t="s">
        <v>308</v>
      </c>
      <c r="K127" s="161"/>
      <c r="L127" s="162">
        <v>100000</v>
      </c>
    </row>
    <row r="128" spans="1:13">
      <c r="A128" s="68" t="s">
        <v>306</v>
      </c>
      <c r="B128" s="323" t="s">
        <v>307</v>
      </c>
      <c r="C128" s="323"/>
      <c r="D128" s="323"/>
      <c r="E128" s="162">
        <v>2356000</v>
      </c>
      <c r="I128" s="68" t="s">
        <v>305</v>
      </c>
      <c r="J128" s="243" t="s">
        <v>309</v>
      </c>
      <c r="K128" s="161"/>
      <c r="L128" s="162">
        <v>365000</v>
      </c>
    </row>
    <row r="129" spans="1:12">
      <c r="A129" s="68" t="s">
        <v>204</v>
      </c>
      <c r="B129" s="323" t="s">
        <v>290</v>
      </c>
      <c r="C129" s="323"/>
      <c r="D129" s="323"/>
      <c r="E129" s="162">
        <v>4000000</v>
      </c>
      <c r="I129" s="68" t="s">
        <v>201</v>
      </c>
      <c r="J129" s="243" t="s">
        <v>310</v>
      </c>
      <c r="K129" s="161"/>
      <c r="L129" s="162">
        <v>45000</v>
      </c>
    </row>
    <row r="130" spans="1:12">
      <c r="A130" s="68" t="s">
        <v>291</v>
      </c>
      <c r="B130" s="323" t="s">
        <v>290</v>
      </c>
      <c r="C130" s="323"/>
      <c r="D130" s="323"/>
      <c r="E130" s="162">
        <v>4000000</v>
      </c>
      <c r="F130" s="175"/>
      <c r="H130" s="151"/>
      <c r="I130" s="68" t="s">
        <v>196</v>
      </c>
      <c r="J130" s="243" t="s">
        <v>168</v>
      </c>
      <c r="K130" s="161"/>
      <c r="L130" s="162">
        <v>185000</v>
      </c>
    </row>
    <row r="131" spans="1:12">
      <c r="E131" s="223">
        <f>SUM(E121:E130)</f>
        <v>37133000</v>
      </c>
      <c r="F131" s="175"/>
      <c r="H131" s="151"/>
      <c r="K131" s="26"/>
      <c r="L131" s="223">
        <f>SUM(L126:L130)</f>
        <v>745000</v>
      </c>
    </row>
    <row r="132" spans="1:12">
      <c r="F132" s="175"/>
      <c r="G132" s="175"/>
      <c r="K132" s="26"/>
      <c r="L132" s="26"/>
    </row>
    <row r="133" spans="1:12">
      <c r="F133" s="175"/>
      <c r="G133" s="175"/>
      <c r="K133" s="26"/>
      <c r="L133" s="26"/>
    </row>
    <row r="134" spans="1:12">
      <c r="E134" s="175"/>
      <c r="F134" s="175"/>
      <c r="G134" s="175"/>
      <c r="K134" s="26"/>
      <c r="L134" s="26"/>
    </row>
    <row r="135" spans="1:12">
      <c r="E135" s="175"/>
      <c r="F135" s="175"/>
      <c r="G135" s="175"/>
    </row>
    <row r="136" spans="1:12">
      <c r="E136" s="175"/>
      <c r="F136" s="175"/>
      <c r="G136" s="175"/>
    </row>
    <row r="137" spans="1:12">
      <c r="E137" s="175"/>
      <c r="F137" s="175"/>
      <c r="G137" s="175"/>
    </row>
    <row r="138" spans="1:12">
      <c r="E138" s="175"/>
      <c r="F138" s="175"/>
      <c r="G138" s="175"/>
    </row>
    <row r="139" spans="1:12">
      <c r="E139" s="175"/>
      <c r="F139" s="175"/>
      <c r="G139" s="175"/>
    </row>
    <row r="140" spans="1:12">
      <c r="E140" s="175"/>
      <c r="F140" s="175"/>
      <c r="G140" s="175"/>
    </row>
    <row r="141" spans="1:12">
      <c r="E141" s="175"/>
      <c r="F141" s="175"/>
      <c r="G141" s="175"/>
    </row>
    <row r="142" spans="1:12">
      <c r="E142" s="175"/>
      <c r="F142" s="175"/>
      <c r="G142" s="175"/>
    </row>
    <row r="143" spans="1:12">
      <c r="E143" s="175"/>
      <c r="F143" s="175"/>
      <c r="G143" s="175"/>
    </row>
    <row r="144" spans="1:12">
      <c r="E144" s="175"/>
      <c r="F144" s="175"/>
      <c r="G144" s="175"/>
    </row>
    <row r="145" spans="5:7">
      <c r="E145" s="175"/>
      <c r="F145" s="175"/>
      <c r="G145" s="175"/>
    </row>
    <row r="146" spans="5:7">
      <c r="E146" s="175"/>
      <c r="F146" s="175"/>
      <c r="G146" s="175"/>
    </row>
  </sheetData>
  <mergeCells count="21">
    <mergeCell ref="B129:D129"/>
    <mergeCell ref="B130:D130"/>
    <mergeCell ref="B121:D121"/>
    <mergeCell ref="C116:G116"/>
    <mergeCell ref="J121:K121"/>
    <mergeCell ref="J122:K122"/>
    <mergeCell ref="B123:D123"/>
    <mergeCell ref="B122:D122"/>
    <mergeCell ref="B126:D126"/>
    <mergeCell ref="B127:D127"/>
    <mergeCell ref="B128:D128"/>
    <mergeCell ref="B125:D125"/>
    <mergeCell ref="B124:D124"/>
    <mergeCell ref="C114:G114"/>
    <mergeCell ref="C115:G115"/>
    <mergeCell ref="C117:G117"/>
    <mergeCell ref="A5:L7"/>
    <mergeCell ref="A8:L8"/>
    <mergeCell ref="C111:G111"/>
    <mergeCell ref="C112:G112"/>
    <mergeCell ref="C113:G113"/>
  </mergeCells>
  <pageMargins left="0.7" right="0.7" top="0.75" bottom="0.75" header="0.3" footer="0.3"/>
  <pageSetup paperSize="9" orientation="landscape" horizontalDpi="300" verticalDpi="300" r:id="rId1"/>
  <legacyDrawing r:id="rId2"/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C000"/>
  </sheetPr>
  <dimension ref="A1:H68"/>
  <sheetViews>
    <sheetView topLeftCell="A54" workbookViewId="0">
      <selection activeCell="G28" sqref="G28"/>
    </sheetView>
  </sheetViews>
  <sheetFormatPr defaultRowHeight="15"/>
  <cols>
    <col min="1" max="1" width="11.85546875" style="26" customWidth="1"/>
    <col min="2" max="2" width="9.140625" style="26"/>
    <col min="3" max="3" width="21.5703125" style="26" customWidth="1"/>
    <col min="4" max="4" width="28.5703125" style="26" customWidth="1"/>
    <col min="5" max="5" width="10.85546875" style="26" customWidth="1"/>
    <col min="6" max="6" width="14" style="26" customWidth="1"/>
    <col min="7" max="7" width="12.5703125" style="151" customWidth="1"/>
    <col min="8" max="8" width="18.42578125" style="151" customWidth="1"/>
  </cols>
  <sheetData>
    <row r="1" spans="1:8">
      <c r="A1" s="146" t="s">
        <v>0</v>
      </c>
      <c r="B1" s="146"/>
      <c r="C1" s="146"/>
      <c r="D1" s="147"/>
      <c r="E1" s="147"/>
      <c r="F1" s="149"/>
      <c r="G1" s="150"/>
      <c r="H1" s="150"/>
    </row>
    <row r="2" spans="1:8">
      <c r="A2" s="146" t="s">
        <v>1</v>
      </c>
      <c r="B2" s="146"/>
      <c r="C2" s="146"/>
      <c r="D2" s="147"/>
      <c r="E2" s="147"/>
      <c r="F2" s="149"/>
      <c r="G2" s="150"/>
      <c r="H2" s="150"/>
    </row>
    <row r="3" spans="1:8">
      <c r="A3" s="146" t="s">
        <v>2</v>
      </c>
      <c r="B3" s="146"/>
      <c r="C3" s="146"/>
      <c r="D3" s="147"/>
      <c r="E3" s="147"/>
      <c r="F3" s="149"/>
      <c r="G3" s="150"/>
      <c r="H3" s="150"/>
    </row>
    <row r="4" spans="1:8">
      <c r="A4" s="146" t="s">
        <v>3</v>
      </c>
      <c r="B4" s="146"/>
      <c r="C4" s="146"/>
      <c r="D4" s="147"/>
      <c r="E4" s="147"/>
      <c r="F4" s="149"/>
      <c r="G4" s="150"/>
      <c r="H4" s="150"/>
    </row>
    <row r="5" spans="1:8">
      <c r="A5" s="316" t="s">
        <v>221</v>
      </c>
      <c r="B5" s="316"/>
      <c r="C5" s="316"/>
      <c r="D5" s="316"/>
      <c r="E5" s="316"/>
      <c r="F5" s="316"/>
      <c r="G5" s="316"/>
      <c r="H5" s="316"/>
    </row>
    <row r="6" spans="1:8">
      <c r="A6" s="316"/>
      <c r="B6" s="316"/>
      <c r="C6" s="316"/>
      <c r="D6" s="316"/>
      <c r="E6" s="316"/>
      <c r="F6" s="316"/>
      <c r="G6" s="316"/>
      <c r="H6" s="316"/>
    </row>
    <row r="7" spans="1:8">
      <c r="A7" s="316"/>
      <c r="B7" s="316"/>
      <c r="C7" s="316"/>
      <c r="D7" s="316"/>
      <c r="E7" s="316"/>
      <c r="F7" s="316"/>
      <c r="G7" s="316"/>
      <c r="H7" s="316"/>
    </row>
    <row r="8" spans="1:8" ht="18.75">
      <c r="E8" s="190" t="s">
        <v>29</v>
      </c>
    </row>
    <row r="9" spans="1:8" s="57" customFormat="1">
      <c r="A9" s="135" t="s">
        <v>5</v>
      </c>
      <c r="B9" s="136" t="s">
        <v>6</v>
      </c>
      <c r="C9" s="136" t="s">
        <v>7</v>
      </c>
      <c r="D9" s="137" t="s">
        <v>8</v>
      </c>
      <c r="E9" s="136" t="s">
        <v>9</v>
      </c>
      <c r="F9" s="137" t="s">
        <v>13</v>
      </c>
      <c r="G9" s="137" t="s">
        <v>14</v>
      </c>
      <c r="H9" s="138" t="s">
        <v>15</v>
      </c>
    </row>
    <row r="10" spans="1:8" s="44" customFormat="1">
      <c r="A10" s="110">
        <v>43160</v>
      </c>
      <c r="B10" s="58">
        <v>7477</v>
      </c>
      <c r="C10" s="58" t="s">
        <v>341</v>
      </c>
      <c r="D10" s="58" t="s">
        <v>267</v>
      </c>
      <c r="E10" s="58" t="s">
        <v>238</v>
      </c>
      <c r="F10" s="244">
        <v>37</v>
      </c>
      <c r="G10" s="185">
        <v>85000</v>
      </c>
      <c r="H10" s="245">
        <f>Table15[[#This Row],[ĐƠN GIÁ ]]*Table15[[#This Row],[SỐ LƯỢNG ]]</f>
        <v>3145000</v>
      </c>
    </row>
    <row r="11" spans="1:8" s="44" customFormat="1">
      <c r="A11" s="110">
        <v>43161</v>
      </c>
      <c r="B11" s="58">
        <v>7477</v>
      </c>
      <c r="C11" s="58" t="s">
        <v>341</v>
      </c>
      <c r="D11" s="58" t="s">
        <v>267</v>
      </c>
      <c r="E11" s="58" t="s">
        <v>238</v>
      </c>
      <c r="F11" s="244">
        <v>35</v>
      </c>
      <c r="G11" s="185">
        <v>85000</v>
      </c>
      <c r="H11" s="245">
        <f>Table15[[#This Row],[ĐƠN GIÁ ]]*Table15[[#This Row],[SỐ LƯỢNG ]]</f>
        <v>2975000</v>
      </c>
    </row>
    <row r="12" spans="1:8" s="44" customFormat="1">
      <c r="A12" s="110">
        <v>43162</v>
      </c>
      <c r="B12" s="58">
        <v>7477</v>
      </c>
      <c r="C12" s="58" t="s">
        <v>341</v>
      </c>
      <c r="D12" s="58" t="s">
        <v>267</v>
      </c>
      <c r="E12" s="58" t="s">
        <v>238</v>
      </c>
      <c r="F12" s="244">
        <v>42</v>
      </c>
      <c r="G12" s="185">
        <v>85000</v>
      </c>
      <c r="H12" s="245">
        <f>Table15[[#This Row],[ĐƠN GIÁ ]]*Table15[[#This Row],[SỐ LƯỢNG ]]</f>
        <v>3570000</v>
      </c>
    </row>
    <row r="13" spans="1:8" s="44" customFormat="1">
      <c r="A13" s="110">
        <v>43163</v>
      </c>
      <c r="B13" s="58">
        <v>7477</v>
      </c>
      <c r="C13" s="58" t="s">
        <v>341</v>
      </c>
      <c r="D13" s="58" t="s">
        <v>267</v>
      </c>
      <c r="E13" s="58" t="s">
        <v>238</v>
      </c>
      <c r="F13" s="244">
        <v>42</v>
      </c>
      <c r="G13" s="185">
        <v>85000</v>
      </c>
      <c r="H13" s="245">
        <f>Table15[[#This Row],[ĐƠN GIÁ ]]*Table15[[#This Row],[SỐ LƯỢNG ]]</f>
        <v>3570000</v>
      </c>
    </row>
    <row r="14" spans="1:8" s="44" customFormat="1">
      <c r="A14" s="110">
        <v>43164</v>
      </c>
      <c r="B14" s="58">
        <v>7477</v>
      </c>
      <c r="C14" s="58" t="s">
        <v>341</v>
      </c>
      <c r="D14" s="58" t="s">
        <v>267</v>
      </c>
      <c r="E14" s="58" t="s">
        <v>238</v>
      </c>
      <c r="F14" s="244">
        <v>40</v>
      </c>
      <c r="G14" s="185">
        <v>85000</v>
      </c>
      <c r="H14" s="245">
        <f>Table15[[#This Row],[ĐƠN GIÁ ]]*Table15[[#This Row],[SỐ LƯỢNG ]]</f>
        <v>3400000</v>
      </c>
    </row>
    <row r="15" spans="1:8" s="44" customFormat="1">
      <c r="A15" s="110">
        <v>43165</v>
      </c>
      <c r="B15" s="58">
        <v>7477</v>
      </c>
      <c r="C15" s="58" t="s">
        <v>341</v>
      </c>
      <c r="D15" s="58" t="s">
        <v>267</v>
      </c>
      <c r="E15" s="58" t="s">
        <v>238</v>
      </c>
      <c r="F15" s="244">
        <v>34</v>
      </c>
      <c r="G15" s="185">
        <v>85000</v>
      </c>
      <c r="H15" s="245">
        <f>Table15[[#This Row],[ĐƠN GIÁ ]]*Table15[[#This Row],[SỐ LƯỢNG ]]</f>
        <v>2890000</v>
      </c>
    </row>
    <row r="16" spans="1:8" s="44" customFormat="1">
      <c r="A16" s="110">
        <v>43166</v>
      </c>
      <c r="B16" s="58">
        <v>7477</v>
      </c>
      <c r="C16" s="58" t="s">
        <v>341</v>
      </c>
      <c r="D16" s="58" t="s">
        <v>267</v>
      </c>
      <c r="E16" s="58" t="s">
        <v>238</v>
      </c>
      <c r="F16" s="244">
        <v>36</v>
      </c>
      <c r="G16" s="185">
        <v>85000</v>
      </c>
      <c r="H16" s="245">
        <f>Table15[[#This Row],[ĐƠN GIÁ ]]*Table15[[#This Row],[SỐ LƯỢNG ]]</f>
        <v>3060000</v>
      </c>
    </row>
    <row r="17" spans="1:8" s="44" customFormat="1">
      <c r="A17" s="110">
        <v>43167</v>
      </c>
      <c r="B17" s="58">
        <v>7477</v>
      </c>
      <c r="C17" s="58" t="s">
        <v>343</v>
      </c>
      <c r="D17" s="58" t="s">
        <v>344</v>
      </c>
      <c r="E17" s="58" t="s">
        <v>238</v>
      </c>
      <c r="F17" s="244">
        <v>3</v>
      </c>
      <c r="G17" s="185">
        <v>200000</v>
      </c>
      <c r="H17" s="245">
        <f>Table15[[#This Row],[ĐƠN GIÁ ]]*Table15[[#This Row],[SỐ LƯỢNG ]]</f>
        <v>600000</v>
      </c>
    </row>
    <row r="18" spans="1:8" s="44" customFormat="1">
      <c r="A18" s="110">
        <v>43167</v>
      </c>
      <c r="B18" s="58">
        <v>7477</v>
      </c>
      <c r="C18" s="58" t="s">
        <v>343</v>
      </c>
      <c r="D18" s="58" t="s">
        <v>237</v>
      </c>
      <c r="E18" s="58" t="s">
        <v>238</v>
      </c>
      <c r="F18" s="244">
        <v>8</v>
      </c>
      <c r="G18" s="185">
        <v>230000</v>
      </c>
      <c r="H18" s="245">
        <f>Table15[[#This Row],[ĐƠN GIÁ ]]*Table15[[#This Row],[SỐ LƯỢNG ]]</f>
        <v>1840000</v>
      </c>
    </row>
    <row r="19" spans="1:8" s="44" customFormat="1">
      <c r="A19" s="110">
        <v>43167</v>
      </c>
      <c r="B19" s="58">
        <v>7477</v>
      </c>
      <c r="C19" s="58" t="s">
        <v>343</v>
      </c>
      <c r="D19" s="58" t="s">
        <v>264</v>
      </c>
      <c r="E19" s="58" t="s">
        <v>238</v>
      </c>
      <c r="F19" s="244">
        <v>1</v>
      </c>
      <c r="G19" s="185">
        <v>200000</v>
      </c>
      <c r="H19" s="245">
        <f>Table15[[#This Row],[ĐƠN GIÁ ]]*Table15[[#This Row],[SỐ LƯỢNG ]]</f>
        <v>200000</v>
      </c>
    </row>
    <row r="20" spans="1:8" s="44" customFormat="1">
      <c r="A20" s="110">
        <v>43168</v>
      </c>
      <c r="B20" s="58">
        <v>7477</v>
      </c>
      <c r="C20" s="58" t="s">
        <v>341</v>
      </c>
      <c r="D20" s="58" t="s">
        <v>267</v>
      </c>
      <c r="E20" s="58" t="s">
        <v>238</v>
      </c>
      <c r="F20" s="244">
        <v>37</v>
      </c>
      <c r="G20" s="185">
        <v>85000</v>
      </c>
      <c r="H20" s="245">
        <f>Table15[[#This Row],[ĐƠN GIÁ ]]*Table15[[#This Row],[SỐ LƯỢNG ]]</f>
        <v>3145000</v>
      </c>
    </row>
    <row r="21" spans="1:8" s="44" customFormat="1">
      <c r="A21" s="110">
        <v>43169</v>
      </c>
      <c r="B21" s="58">
        <v>7477</v>
      </c>
      <c r="C21" s="58" t="s">
        <v>341</v>
      </c>
      <c r="D21" s="58" t="s">
        <v>267</v>
      </c>
      <c r="E21" s="58" t="s">
        <v>238</v>
      </c>
      <c r="F21" s="244">
        <v>16</v>
      </c>
      <c r="G21" s="185">
        <v>85000</v>
      </c>
      <c r="H21" s="245">
        <f>Table15[[#This Row],[ĐƠN GIÁ ]]*Table15[[#This Row],[SỐ LƯỢNG ]]</f>
        <v>1360000</v>
      </c>
    </row>
    <row r="22" spans="1:8" s="44" customFormat="1">
      <c r="A22" s="110">
        <v>43169</v>
      </c>
      <c r="B22" s="58">
        <v>7477</v>
      </c>
      <c r="C22" s="58" t="s">
        <v>341</v>
      </c>
      <c r="D22" s="58" t="s">
        <v>346</v>
      </c>
      <c r="E22" s="58" t="s">
        <v>238</v>
      </c>
      <c r="F22" s="244">
        <v>25</v>
      </c>
      <c r="G22" s="185">
        <v>80000</v>
      </c>
      <c r="H22" s="245">
        <f>Table15[[#This Row],[ĐƠN GIÁ ]]*Table15[[#This Row],[SỐ LƯỢNG ]]</f>
        <v>2000000</v>
      </c>
    </row>
    <row r="23" spans="1:8" s="44" customFormat="1">
      <c r="A23" s="110">
        <v>43170</v>
      </c>
      <c r="B23" s="58">
        <v>7477</v>
      </c>
      <c r="C23" s="58" t="s">
        <v>341</v>
      </c>
      <c r="D23" s="58" t="s">
        <v>346</v>
      </c>
      <c r="E23" s="58" t="s">
        <v>238</v>
      </c>
      <c r="F23" s="244">
        <v>16</v>
      </c>
      <c r="G23" s="272">
        <v>80000</v>
      </c>
      <c r="H23" s="245">
        <f>Table15[[#This Row],[ĐƠN GIÁ ]]*Table15[[#This Row],[SỐ LƯỢNG ]]</f>
        <v>1280000</v>
      </c>
    </row>
    <row r="24" spans="1:8" s="66" customFormat="1">
      <c r="A24" s="110">
        <v>43171</v>
      </c>
      <c r="B24" s="58">
        <v>7477</v>
      </c>
      <c r="C24" s="58" t="s">
        <v>341</v>
      </c>
      <c r="D24" s="58" t="s">
        <v>346</v>
      </c>
      <c r="E24" s="58" t="s">
        <v>238</v>
      </c>
      <c r="F24" s="244">
        <v>30</v>
      </c>
      <c r="G24" s="272">
        <v>80000</v>
      </c>
      <c r="H24" s="245">
        <f>Table15[[#This Row],[ĐƠN GIÁ ]]*Table15[[#This Row],[SỐ LƯỢNG ]]</f>
        <v>2400000</v>
      </c>
    </row>
    <row r="25" spans="1:8" s="44" customFormat="1">
      <c r="A25" s="110">
        <v>43171</v>
      </c>
      <c r="B25" s="58">
        <v>7477</v>
      </c>
      <c r="C25" s="58" t="s">
        <v>258</v>
      </c>
      <c r="D25" s="58" t="s">
        <v>259</v>
      </c>
      <c r="E25" s="58" t="s">
        <v>238</v>
      </c>
      <c r="F25" s="244">
        <v>3</v>
      </c>
      <c r="G25" s="185">
        <v>220000</v>
      </c>
      <c r="H25" s="245">
        <f>Table15[[#This Row],[ĐƠN GIÁ ]]*Table15[[#This Row],[SỐ LƯỢNG ]]</f>
        <v>660000</v>
      </c>
    </row>
    <row r="26" spans="1:8" s="44" customFormat="1">
      <c r="A26" s="110">
        <v>43172</v>
      </c>
      <c r="B26" s="58">
        <v>7477</v>
      </c>
      <c r="C26" s="58" t="s">
        <v>252</v>
      </c>
      <c r="D26" s="58" t="s">
        <v>242</v>
      </c>
      <c r="E26" s="58" t="s">
        <v>238</v>
      </c>
      <c r="F26" s="244">
        <v>30</v>
      </c>
      <c r="G26" s="185">
        <v>80000</v>
      </c>
      <c r="H26" s="245">
        <f>Table15[[#This Row],[ĐƠN GIÁ ]]*Table15[[#This Row],[SỐ LƯỢNG ]]</f>
        <v>2400000</v>
      </c>
    </row>
    <row r="27" spans="1:8" s="44" customFormat="1">
      <c r="A27" s="110">
        <v>43172</v>
      </c>
      <c r="B27" s="58">
        <v>7477</v>
      </c>
      <c r="C27" s="58" t="s">
        <v>243</v>
      </c>
      <c r="D27" s="58" t="s">
        <v>260</v>
      </c>
      <c r="E27" s="58" t="s">
        <v>238</v>
      </c>
      <c r="F27" s="244">
        <v>5</v>
      </c>
      <c r="G27" s="185">
        <v>180000</v>
      </c>
      <c r="H27" s="245">
        <f>Table15[[#This Row],[ĐƠN GIÁ ]]*Table15[[#This Row],[SỐ LƯỢNG ]]</f>
        <v>900000</v>
      </c>
    </row>
    <row r="28" spans="1:8" s="44" customFormat="1">
      <c r="A28" s="110">
        <v>43173</v>
      </c>
      <c r="B28" s="58">
        <v>7477</v>
      </c>
      <c r="C28" s="58" t="s">
        <v>252</v>
      </c>
      <c r="D28" s="58" t="s">
        <v>387</v>
      </c>
      <c r="E28" s="58" t="s">
        <v>238</v>
      </c>
      <c r="F28" s="244">
        <v>2</v>
      </c>
      <c r="G28" s="280">
        <v>350000</v>
      </c>
      <c r="H28" s="245">
        <f>Table15[[#This Row],[ĐƠN GIÁ ]]*Table15[[#This Row],[SỐ LƯỢNG ]]</f>
        <v>700000</v>
      </c>
    </row>
    <row r="29" spans="1:8" s="44" customFormat="1">
      <c r="A29" s="110">
        <v>43173</v>
      </c>
      <c r="B29" s="58">
        <v>7477</v>
      </c>
      <c r="C29" s="58" t="s">
        <v>252</v>
      </c>
      <c r="D29" s="58" t="s">
        <v>242</v>
      </c>
      <c r="E29" s="58" t="s">
        <v>238</v>
      </c>
      <c r="F29" s="244">
        <v>9</v>
      </c>
      <c r="G29" s="185">
        <v>80000</v>
      </c>
      <c r="H29" s="245">
        <f>Table15[[#This Row],[ĐƠN GIÁ ]]*Table15[[#This Row],[SỐ LƯỢNG ]]</f>
        <v>720000</v>
      </c>
    </row>
    <row r="30" spans="1:8" s="44" customFormat="1">
      <c r="A30" s="110">
        <v>43173</v>
      </c>
      <c r="B30" s="58">
        <v>7477</v>
      </c>
      <c r="C30" s="58" t="s">
        <v>466</v>
      </c>
      <c r="D30" s="58" t="s">
        <v>264</v>
      </c>
      <c r="E30" s="58" t="s">
        <v>238</v>
      </c>
      <c r="F30" s="244">
        <v>2</v>
      </c>
      <c r="G30" s="185">
        <v>230000</v>
      </c>
      <c r="H30" s="245">
        <f>Table15[[#This Row],[ĐƠN GIÁ ]]*Table15[[#This Row],[SỐ LƯỢNG ]]</f>
        <v>460000</v>
      </c>
    </row>
    <row r="31" spans="1:8" s="44" customFormat="1">
      <c r="A31" s="110">
        <v>43173</v>
      </c>
      <c r="B31" s="58">
        <v>7477</v>
      </c>
      <c r="C31" s="58" t="s">
        <v>243</v>
      </c>
      <c r="D31" s="58" t="s">
        <v>264</v>
      </c>
      <c r="E31" s="58" t="s">
        <v>238</v>
      </c>
      <c r="F31" s="244">
        <v>3</v>
      </c>
      <c r="G31" s="185">
        <v>190000</v>
      </c>
      <c r="H31" s="245">
        <f>Table15[[#This Row],[ĐƠN GIÁ ]]*Table15[[#This Row],[SỐ LƯỢNG ]]</f>
        <v>570000</v>
      </c>
    </row>
    <row r="32" spans="1:8" s="44" customFormat="1">
      <c r="A32" s="110">
        <v>43174</v>
      </c>
      <c r="B32" s="58">
        <v>7477</v>
      </c>
      <c r="C32" s="58" t="s">
        <v>348</v>
      </c>
      <c r="D32" s="58" t="s">
        <v>349</v>
      </c>
      <c r="E32" s="58" t="s">
        <v>238</v>
      </c>
      <c r="F32" s="244">
        <v>18</v>
      </c>
      <c r="G32" s="185">
        <v>190000</v>
      </c>
      <c r="H32" s="245">
        <f>Table15[[#This Row],[ĐƠN GIÁ ]]*Table15[[#This Row],[SỐ LƯỢNG ]]</f>
        <v>3420000</v>
      </c>
    </row>
    <row r="33" spans="1:8" s="44" customFormat="1">
      <c r="A33" s="110">
        <v>43176</v>
      </c>
      <c r="B33" s="58">
        <v>7477</v>
      </c>
      <c r="C33" s="58" t="s">
        <v>258</v>
      </c>
      <c r="D33" s="58" t="s">
        <v>260</v>
      </c>
      <c r="E33" s="58" t="s">
        <v>238</v>
      </c>
      <c r="F33" s="244">
        <v>10</v>
      </c>
      <c r="G33" s="185">
        <v>210000</v>
      </c>
      <c r="H33" s="245">
        <f>Table15[[#This Row],[ĐƠN GIÁ ]]*Table15[[#This Row],[SỐ LƯỢNG ]]</f>
        <v>2100000</v>
      </c>
    </row>
    <row r="34" spans="1:8" s="44" customFormat="1">
      <c r="A34" s="110">
        <v>43176</v>
      </c>
      <c r="B34" s="58">
        <v>7477</v>
      </c>
      <c r="C34" s="58" t="s">
        <v>243</v>
      </c>
      <c r="D34" s="58" t="s">
        <v>260</v>
      </c>
      <c r="E34" s="58" t="s">
        <v>238</v>
      </c>
      <c r="F34" s="244">
        <v>1</v>
      </c>
      <c r="G34" s="185">
        <v>180000</v>
      </c>
      <c r="H34" s="245">
        <f>Table15[[#This Row],[ĐƠN GIÁ ]]*Table15[[#This Row],[SỐ LƯỢNG ]]</f>
        <v>180000</v>
      </c>
    </row>
    <row r="35" spans="1:8" s="44" customFormat="1">
      <c r="A35" s="110">
        <v>43176</v>
      </c>
      <c r="B35" s="58">
        <v>7477</v>
      </c>
      <c r="C35" s="58" t="s">
        <v>351</v>
      </c>
      <c r="D35" s="58" t="s">
        <v>260</v>
      </c>
      <c r="E35" s="58" t="s">
        <v>238</v>
      </c>
      <c r="F35" s="244">
        <v>3</v>
      </c>
      <c r="G35" s="185">
        <v>220000</v>
      </c>
      <c r="H35" s="245">
        <f>Table15[[#This Row],[ĐƠN GIÁ ]]*Table15[[#This Row],[SỐ LƯỢNG ]]</f>
        <v>660000</v>
      </c>
    </row>
    <row r="36" spans="1:8" s="44" customFormat="1">
      <c r="A36" s="110">
        <v>43176</v>
      </c>
      <c r="B36" s="58">
        <v>7477</v>
      </c>
      <c r="C36" s="58" t="s">
        <v>351</v>
      </c>
      <c r="D36" s="58" t="s">
        <v>350</v>
      </c>
      <c r="E36" s="58" t="s">
        <v>238</v>
      </c>
      <c r="F36" s="244">
        <v>1</v>
      </c>
      <c r="G36" s="185">
        <v>220000</v>
      </c>
      <c r="H36" s="245">
        <f>Table15[[#This Row],[ĐƠN GIÁ ]]*Table15[[#This Row],[SỐ LƯỢNG ]]</f>
        <v>220000</v>
      </c>
    </row>
    <row r="37" spans="1:8" s="44" customFormat="1">
      <c r="A37" s="110">
        <v>43176</v>
      </c>
      <c r="B37" s="58">
        <v>7477</v>
      </c>
      <c r="C37" s="58" t="s">
        <v>243</v>
      </c>
      <c r="D37" s="58" t="s">
        <v>350</v>
      </c>
      <c r="E37" s="58" t="s">
        <v>238</v>
      </c>
      <c r="F37" s="244">
        <v>2</v>
      </c>
      <c r="G37" s="185">
        <v>180000</v>
      </c>
      <c r="H37" s="245">
        <f>Table15[[#This Row],[ĐƠN GIÁ ]]*Table15[[#This Row],[SỐ LƯỢNG ]]</f>
        <v>360000</v>
      </c>
    </row>
    <row r="38" spans="1:8" s="44" customFormat="1">
      <c r="A38" s="110">
        <v>43177</v>
      </c>
      <c r="B38" s="58">
        <v>7477</v>
      </c>
      <c r="C38" s="58" t="s">
        <v>351</v>
      </c>
      <c r="D38" s="58" t="s">
        <v>266</v>
      </c>
      <c r="E38" s="58" t="s">
        <v>238</v>
      </c>
      <c r="F38" s="244">
        <v>5</v>
      </c>
      <c r="G38" s="185">
        <v>220000</v>
      </c>
      <c r="H38" s="245">
        <f>Table15[[#This Row],[ĐƠN GIÁ ]]*Table15[[#This Row],[SỐ LƯỢNG ]]</f>
        <v>1100000</v>
      </c>
    </row>
    <row r="39" spans="1:8" s="44" customFormat="1">
      <c r="A39" s="110">
        <v>43177</v>
      </c>
      <c r="B39" s="58">
        <v>7477</v>
      </c>
      <c r="C39" s="58" t="s">
        <v>388</v>
      </c>
      <c r="D39" s="58" t="s">
        <v>266</v>
      </c>
      <c r="E39" s="58" t="s">
        <v>238</v>
      </c>
      <c r="F39" s="244">
        <v>3</v>
      </c>
      <c r="G39" s="185">
        <v>180000</v>
      </c>
      <c r="H39" s="245">
        <f>Table15[[#This Row],[ĐƠN GIÁ ]]*Table15[[#This Row],[SỐ LƯỢNG ]]</f>
        <v>540000</v>
      </c>
    </row>
    <row r="40" spans="1:8" s="44" customFormat="1">
      <c r="A40" s="110">
        <v>43177</v>
      </c>
      <c r="B40" s="58">
        <v>7477</v>
      </c>
      <c r="C40" s="58" t="s">
        <v>272</v>
      </c>
      <c r="D40" s="58" t="s">
        <v>269</v>
      </c>
      <c r="E40" s="58" t="s">
        <v>503</v>
      </c>
      <c r="F40" s="244">
        <v>10</v>
      </c>
      <c r="G40" s="185">
        <v>190000</v>
      </c>
      <c r="H40" s="245">
        <f>Table15[[#This Row],[ĐƠN GIÁ ]]*Table15[[#This Row],[SỐ LƯỢNG ]]</f>
        <v>1900000</v>
      </c>
    </row>
    <row r="41" spans="1:8" s="44" customFormat="1">
      <c r="A41" s="110">
        <v>43178</v>
      </c>
      <c r="B41" s="58">
        <v>7477</v>
      </c>
      <c r="C41" s="58" t="s">
        <v>272</v>
      </c>
      <c r="D41" s="58" t="s">
        <v>269</v>
      </c>
      <c r="E41" s="58" t="s">
        <v>503</v>
      </c>
      <c r="F41" s="244">
        <v>6</v>
      </c>
      <c r="G41" s="185">
        <v>190000</v>
      </c>
      <c r="H41" s="245">
        <f>Table15[[#This Row],[ĐƠN GIÁ ]]*Table15[[#This Row],[SỐ LƯỢNG ]]</f>
        <v>1140000</v>
      </c>
    </row>
    <row r="42" spans="1:8" s="44" customFormat="1">
      <c r="A42" s="110">
        <v>43178</v>
      </c>
      <c r="B42" s="58">
        <v>7477</v>
      </c>
      <c r="C42" s="58" t="s">
        <v>272</v>
      </c>
      <c r="D42" s="58" t="s">
        <v>269</v>
      </c>
      <c r="E42" s="58" t="s">
        <v>509</v>
      </c>
      <c r="F42" s="89">
        <v>19</v>
      </c>
      <c r="G42" s="266">
        <v>100000</v>
      </c>
      <c r="H42" s="245">
        <f>Table15[[#This Row],[ĐƠN GIÁ ]]*Table15[[#This Row],[SỐ LƯỢNG ]]</f>
        <v>1900000</v>
      </c>
    </row>
    <row r="43" spans="1:8" s="44" customFormat="1">
      <c r="A43" s="110">
        <v>43179</v>
      </c>
      <c r="B43" s="58">
        <v>7477</v>
      </c>
      <c r="C43" s="58" t="s">
        <v>272</v>
      </c>
      <c r="D43" s="58" t="s">
        <v>269</v>
      </c>
      <c r="E43" s="58" t="s">
        <v>500</v>
      </c>
      <c r="F43" s="244">
        <v>10</v>
      </c>
      <c r="G43" s="185">
        <v>100000</v>
      </c>
      <c r="H43" s="245">
        <f>Table15[[#This Row],[ĐƠN GIÁ ]]*Table15[[#This Row],[SỐ LƯỢNG ]]</f>
        <v>1000000</v>
      </c>
    </row>
    <row r="44" spans="1:8" s="44" customFormat="1">
      <c r="A44" s="110">
        <v>43179</v>
      </c>
      <c r="B44" s="58">
        <v>7477</v>
      </c>
      <c r="C44" s="58" t="s">
        <v>341</v>
      </c>
      <c r="D44" s="58" t="s">
        <v>267</v>
      </c>
      <c r="E44" s="58" t="s">
        <v>238</v>
      </c>
      <c r="F44" s="244">
        <v>17</v>
      </c>
      <c r="G44" s="185">
        <v>85000</v>
      </c>
      <c r="H44" s="245">
        <f>Table15[[#This Row],[ĐƠN GIÁ ]]*Table15[[#This Row],[SỐ LƯỢNG ]]</f>
        <v>1445000</v>
      </c>
    </row>
    <row r="45" spans="1:8" s="44" customFormat="1">
      <c r="A45" s="110">
        <v>43181</v>
      </c>
      <c r="B45" s="58">
        <v>7477</v>
      </c>
      <c r="C45" s="58" t="s">
        <v>275</v>
      </c>
      <c r="D45" s="58" t="s">
        <v>269</v>
      </c>
      <c r="E45" s="58" t="s">
        <v>504</v>
      </c>
      <c r="F45" s="244">
        <v>2</v>
      </c>
      <c r="G45" s="185">
        <v>150000</v>
      </c>
      <c r="H45" s="245">
        <f>Table15[[#This Row],[ĐƠN GIÁ ]]*Table15[[#This Row],[SỐ LƯỢNG ]]</f>
        <v>300000</v>
      </c>
    </row>
    <row r="46" spans="1:8" s="44" customFormat="1">
      <c r="A46" s="110">
        <v>43181</v>
      </c>
      <c r="B46" s="58">
        <v>7477</v>
      </c>
      <c r="C46" s="58" t="s">
        <v>272</v>
      </c>
      <c r="D46" s="58" t="s">
        <v>269</v>
      </c>
      <c r="E46" s="58" t="s">
        <v>500</v>
      </c>
      <c r="F46" s="244">
        <v>3</v>
      </c>
      <c r="G46" s="185">
        <v>100000</v>
      </c>
      <c r="H46" s="245">
        <f>Table15[[#This Row],[ĐƠN GIÁ ]]*Table15[[#This Row],[SỐ LƯỢNG ]]</f>
        <v>300000</v>
      </c>
    </row>
    <row r="47" spans="1:8" s="44" customFormat="1">
      <c r="A47" s="110">
        <v>43182</v>
      </c>
      <c r="B47" s="58">
        <v>7477</v>
      </c>
      <c r="C47" s="58" t="s">
        <v>351</v>
      </c>
      <c r="D47" s="58" t="s">
        <v>378</v>
      </c>
      <c r="E47" s="58" t="s">
        <v>238</v>
      </c>
      <c r="F47" s="244">
        <v>5</v>
      </c>
      <c r="G47" s="185">
        <v>200000</v>
      </c>
      <c r="H47" s="245">
        <f>Table15[[#This Row],[ĐƠN GIÁ ]]*Table15[[#This Row],[SỐ LƯỢNG ]]</f>
        <v>1000000</v>
      </c>
    </row>
    <row r="48" spans="1:8" s="44" customFormat="1">
      <c r="A48" s="110">
        <v>43183</v>
      </c>
      <c r="B48" s="58">
        <v>7477</v>
      </c>
      <c r="C48" s="58" t="s">
        <v>343</v>
      </c>
      <c r="D48" s="58" t="s">
        <v>356</v>
      </c>
      <c r="E48" s="58" t="s">
        <v>238</v>
      </c>
      <c r="F48" s="244">
        <v>2</v>
      </c>
      <c r="G48" s="185">
        <v>200000</v>
      </c>
      <c r="H48" s="245">
        <f>Table15[[#This Row],[ĐƠN GIÁ ]]*Table15[[#This Row],[SỐ LƯỢNG ]]</f>
        <v>400000</v>
      </c>
    </row>
    <row r="49" spans="1:8" s="44" customFormat="1">
      <c r="A49" s="110">
        <v>43183</v>
      </c>
      <c r="B49" s="58">
        <v>7477</v>
      </c>
      <c r="C49" s="58" t="s">
        <v>351</v>
      </c>
      <c r="D49" s="58" t="s">
        <v>355</v>
      </c>
      <c r="E49" s="58" t="s">
        <v>238</v>
      </c>
      <c r="F49" s="244">
        <v>10</v>
      </c>
      <c r="G49" s="185">
        <v>220000</v>
      </c>
      <c r="H49" s="245">
        <f>Table15[[#This Row],[ĐƠN GIÁ ]]*Table15[[#This Row],[SỐ LƯỢNG ]]</f>
        <v>2200000</v>
      </c>
    </row>
    <row r="50" spans="1:8" s="44" customFormat="1">
      <c r="A50" s="110">
        <v>43184</v>
      </c>
      <c r="B50" s="58">
        <v>7477</v>
      </c>
      <c r="C50" s="58" t="s">
        <v>351</v>
      </c>
      <c r="D50" s="58" t="s">
        <v>355</v>
      </c>
      <c r="E50" s="58" t="s">
        <v>238</v>
      </c>
      <c r="F50" s="244">
        <v>1</v>
      </c>
      <c r="G50" s="185">
        <v>220000</v>
      </c>
      <c r="H50" s="245">
        <f>Table15[[#This Row],[ĐƠN GIÁ ]]*Table15[[#This Row],[SỐ LƯỢNG ]]</f>
        <v>220000</v>
      </c>
    </row>
    <row r="51" spans="1:8" s="44" customFormat="1">
      <c r="A51" s="110">
        <v>43184</v>
      </c>
      <c r="B51" s="58">
        <v>7477</v>
      </c>
      <c r="C51" s="58" t="s">
        <v>343</v>
      </c>
      <c r="D51" s="58" t="s">
        <v>279</v>
      </c>
      <c r="E51" s="58" t="s">
        <v>238</v>
      </c>
      <c r="F51" s="244">
        <v>1</v>
      </c>
      <c r="G51" s="185">
        <v>200000</v>
      </c>
      <c r="H51" s="245">
        <f>Table15[[#This Row],[ĐƠN GIÁ ]]*Table15[[#This Row],[SỐ LƯỢNG ]]</f>
        <v>200000</v>
      </c>
    </row>
    <row r="52" spans="1:8" s="44" customFormat="1">
      <c r="A52" s="110">
        <v>43184</v>
      </c>
      <c r="B52" s="58">
        <v>7477</v>
      </c>
      <c r="C52" s="58" t="s">
        <v>258</v>
      </c>
      <c r="D52" s="58" t="s">
        <v>279</v>
      </c>
      <c r="E52" s="58" t="s">
        <v>238</v>
      </c>
      <c r="F52" s="244">
        <v>9</v>
      </c>
      <c r="G52" s="185">
        <v>190000</v>
      </c>
      <c r="H52" s="245">
        <f>Table15[[#This Row],[ĐƠN GIÁ ]]*Table15[[#This Row],[SỐ LƯỢNG ]]</f>
        <v>1710000</v>
      </c>
    </row>
    <row r="53" spans="1:8" s="44" customFormat="1">
      <c r="A53" s="110">
        <v>43184</v>
      </c>
      <c r="B53" s="58">
        <v>7477</v>
      </c>
      <c r="C53" s="58" t="s">
        <v>258</v>
      </c>
      <c r="D53" s="58" t="s">
        <v>378</v>
      </c>
      <c r="E53" s="58" t="s">
        <v>238</v>
      </c>
      <c r="F53" s="244">
        <v>2</v>
      </c>
      <c r="G53" s="185">
        <v>190000</v>
      </c>
      <c r="H53" s="245">
        <f>Table15[[#This Row],[ĐƠN GIÁ ]]*Table15[[#This Row],[SỐ LƯỢNG ]]</f>
        <v>380000</v>
      </c>
    </row>
    <row r="54" spans="1:8" s="44" customFormat="1">
      <c r="A54" s="110">
        <v>43184</v>
      </c>
      <c r="B54" s="58">
        <v>7477</v>
      </c>
      <c r="C54" s="58" t="s">
        <v>243</v>
      </c>
      <c r="D54" s="58" t="s">
        <v>358</v>
      </c>
      <c r="E54" s="58" t="s">
        <v>238</v>
      </c>
      <c r="F54" s="244">
        <v>2</v>
      </c>
      <c r="G54" s="185">
        <v>170000</v>
      </c>
      <c r="H54" s="245">
        <f>Table15[[#This Row],[ĐƠN GIÁ ]]*Table15[[#This Row],[SỐ LƯỢNG ]]</f>
        <v>340000</v>
      </c>
    </row>
    <row r="55" spans="1:8" s="44" customFormat="1">
      <c r="A55" s="110">
        <v>43185</v>
      </c>
      <c r="B55" s="58">
        <v>7477</v>
      </c>
      <c r="C55" s="58" t="s">
        <v>278</v>
      </c>
      <c r="D55" s="58" t="s">
        <v>358</v>
      </c>
      <c r="E55" s="58" t="s">
        <v>238</v>
      </c>
      <c r="F55" s="244">
        <v>6</v>
      </c>
      <c r="G55" s="185">
        <v>200000</v>
      </c>
      <c r="H55" s="245">
        <f>Table15[[#This Row],[ĐƠN GIÁ ]]*Table15[[#This Row],[SỐ LƯỢNG ]]</f>
        <v>1200000</v>
      </c>
    </row>
    <row r="56" spans="1:8" s="44" customFormat="1">
      <c r="A56" s="110">
        <v>43185</v>
      </c>
      <c r="B56" s="58">
        <v>7477</v>
      </c>
      <c r="C56" s="58" t="s">
        <v>343</v>
      </c>
      <c r="D56" s="58" t="s">
        <v>467</v>
      </c>
      <c r="E56" s="58" t="s">
        <v>238</v>
      </c>
      <c r="F56" s="244">
        <v>1</v>
      </c>
      <c r="G56" s="185">
        <v>200000</v>
      </c>
      <c r="H56" s="245">
        <f>Table15[[#This Row],[ĐƠN GIÁ ]]*Table15[[#This Row],[SỐ LƯỢNG ]]</f>
        <v>200000</v>
      </c>
    </row>
    <row r="57" spans="1:8" s="44" customFormat="1">
      <c r="A57" s="110">
        <v>43185</v>
      </c>
      <c r="B57" s="58">
        <v>7477</v>
      </c>
      <c r="C57" s="58" t="s">
        <v>278</v>
      </c>
      <c r="D57" s="58" t="s">
        <v>279</v>
      </c>
      <c r="E57" s="58" t="s">
        <v>238</v>
      </c>
      <c r="F57" s="244">
        <v>7</v>
      </c>
      <c r="G57" s="185">
        <v>200000</v>
      </c>
      <c r="H57" s="245">
        <f>Table15[[#This Row],[ĐƠN GIÁ ]]*Table15[[#This Row],[SỐ LƯỢNG ]]</f>
        <v>1400000</v>
      </c>
    </row>
    <row r="58" spans="1:8" s="44" customFormat="1">
      <c r="A58" s="110">
        <v>43185</v>
      </c>
      <c r="B58" s="58">
        <v>7477</v>
      </c>
      <c r="C58" s="58" t="s">
        <v>278</v>
      </c>
      <c r="D58" s="58" t="s">
        <v>266</v>
      </c>
      <c r="E58" s="58" t="s">
        <v>238</v>
      </c>
      <c r="F58" s="244">
        <v>1</v>
      </c>
      <c r="G58" s="185">
        <v>250000</v>
      </c>
      <c r="H58" s="245">
        <f>Table15[[#This Row],[ĐƠN GIÁ ]]*Table15[[#This Row],[SỐ LƯỢNG ]]</f>
        <v>250000</v>
      </c>
    </row>
    <row r="59" spans="1:8" s="44" customFormat="1">
      <c r="A59" s="110">
        <v>43186</v>
      </c>
      <c r="B59" s="58">
        <v>7477</v>
      </c>
      <c r="C59" s="58" t="s">
        <v>351</v>
      </c>
      <c r="D59" s="58" t="s">
        <v>360</v>
      </c>
      <c r="E59" s="58" t="s">
        <v>238</v>
      </c>
      <c r="F59" s="244">
        <v>2</v>
      </c>
      <c r="G59" s="185">
        <v>230000</v>
      </c>
      <c r="H59" s="245">
        <f>Table15[[#This Row],[ĐƠN GIÁ ]]*Table15[[#This Row],[SỐ LƯỢNG ]]</f>
        <v>460000</v>
      </c>
    </row>
    <row r="60" spans="1:8" s="44" customFormat="1">
      <c r="A60" s="110">
        <v>43186</v>
      </c>
      <c r="B60" s="58">
        <v>7477</v>
      </c>
      <c r="C60" s="58" t="s">
        <v>351</v>
      </c>
      <c r="D60" s="58" t="s">
        <v>350</v>
      </c>
      <c r="E60" s="58" t="s">
        <v>238</v>
      </c>
      <c r="F60" s="244">
        <v>9</v>
      </c>
      <c r="G60" s="185">
        <v>220000</v>
      </c>
      <c r="H60" s="245">
        <f>Table15[[#This Row],[ĐƠN GIÁ ]]*Table15[[#This Row],[SỐ LƯỢNG ]]</f>
        <v>1980000</v>
      </c>
    </row>
    <row r="61" spans="1:8" s="44" customFormat="1">
      <c r="A61" s="110">
        <v>43187</v>
      </c>
      <c r="B61" s="58">
        <v>7477</v>
      </c>
      <c r="C61" s="58" t="s">
        <v>351</v>
      </c>
      <c r="D61" s="58" t="s">
        <v>360</v>
      </c>
      <c r="E61" s="58" t="s">
        <v>238</v>
      </c>
      <c r="F61" s="244">
        <v>4</v>
      </c>
      <c r="G61" s="185">
        <v>230000</v>
      </c>
      <c r="H61" s="245">
        <f>Table15[[#This Row],[ĐƠN GIÁ ]]*Table15[[#This Row],[SỐ LƯỢNG ]]</f>
        <v>920000</v>
      </c>
    </row>
    <row r="62" spans="1:8" s="44" customFormat="1">
      <c r="A62" s="110">
        <v>43187</v>
      </c>
      <c r="B62" s="58">
        <v>7477</v>
      </c>
      <c r="C62" s="58" t="s">
        <v>351</v>
      </c>
      <c r="D62" s="58" t="s">
        <v>266</v>
      </c>
      <c r="E62" s="58" t="s">
        <v>238</v>
      </c>
      <c r="F62" s="244">
        <v>9</v>
      </c>
      <c r="G62" s="185">
        <v>220000</v>
      </c>
      <c r="H62" s="245">
        <f>Table15[[#This Row],[ĐƠN GIÁ ]]*Table15[[#This Row],[SỐ LƯỢNG ]]</f>
        <v>1980000</v>
      </c>
    </row>
    <row r="63" spans="1:8" s="44" customFormat="1">
      <c r="A63" s="110">
        <v>43187</v>
      </c>
      <c r="B63" s="58">
        <v>7477</v>
      </c>
      <c r="C63" s="58" t="s">
        <v>415</v>
      </c>
      <c r="D63" s="58" t="s">
        <v>232</v>
      </c>
      <c r="E63" s="58" t="s">
        <v>238</v>
      </c>
      <c r="F63" s="244">
        <v>1</v>
      </c>
      <c r="G63" s="185">
        <v>200000</v>
      </c>
      <c r="H63" s="245">
        <f>Table15[[#This Row],[ĐƠN GIÁ ]]*Table15[[#This Row],[SỐ LƯỢNG ]]</f>
        <v>200000</v>
      </c>
    </row>
    <row r="64" spans="1:8" s="44" customFormat="1">
      <c r="A64" s="110">
        <v>43188</v>
      </c>
      <c r="B64" s="58">
        <v>7477</v>
      </c>
      <c r="C64" s="58" t="s">
        <v>341</v>
      </c>
      <c r="D64" s="58" t="s">
        <v>267</v>
      </c>
      <c r="E64" s="58" t="s">
        <v>238</v>
      </c>
      <c r="F64" s="244">
        <v>37</v>
      </c>
      <c r="G64" s="185">
        <v>85000</v>
      </c>
      <c r="H64" s="245">
        <f>Table15[[#This Row],[ĐƠN GIÁ ]]*Table15[[#This Row],[SỐ LƯỢNG ]]</f>
        <v>3145000</v>
      </c>
    </row>
    <row r="65" spans="1:8" s="44" customFormat="1">
      <c r="A65" s="110">
        <v>43189</v>
      </c>
      <c r="B65" s="58">
        <v>7477</v>
      </c>
      <c r="C65" s="58" t="s">
        <v>341</v>
      </c>
      <c r="D65" s="58" t="s">
        <v>267</v>
      </c>
      <c r="E65" s="58" t="s">
        <v>238</v>
      </c>
      <c r="F65" s="244">
        <v>35</v>
      </c>
      <c r="G65" s="185">
        <v>85000</v>
      </c>
      <c r="H65" s="245">
        <f>Table15[[#This Row],[ĐƠN GIÁ ]]*Table15[[#This Row],[SỐ LƯỢNG ]]</f>
        <v>2975000</v>
      </c>
    </row>
    <row r="66" spans="1:8" s="44" customFormat="1">
      <c r="A66" s="110">
        <v>43190</v>
      </c>
      <c r="B66" s="58">
        <v>7477</v>
      </c>
      <c r="C66" s="58" t="s">
        <v>341</v>
      </c>
      <c r="D66" s="58" t="s">
        <v>267</v>
      </c>
      <c r="E66" s="58" t="s">
        <v>238</v>
      </c>
      <c r="F66" s="244">
        <v>36</v>
      </c>
      <c r="G66" s="185">
        <v>85000</v>
      </c>
      <c r="H66" s="245">
        <f>Table15[[#This Row],[ĐƠN GIÁ ]]*Table15[[#This Row],[SỐ LƯỢNG ]]</f>
        <v>3060000</v>
      </c>
    </row>
    <row r="67" spans="1:8" s="66" customFormat="1">
      <c r="A67" s="246"/>
      <c r="B67" s="247"/>
      <c r="C67" s="247"/>
      <c r="D67" s="247"/>
      <c r="E67" s="247"/>
      <c r="F67" s="248">
        <f>SUM(F10:F66)</f>
        <v>746</v>
      </c>
      <c r="G67" s="236"/>
      <c r="H67" s="237">
        <f>SUBTOTAL(109,H10:H66)</f>
        <v>82630000</v>
      </c>
    </row>
    <row r="68" spans="1:8" s="44" customFormat="1">
      <c r="A68" s="57"/>
      <c r="B68" s="57"/>
      <c r="C68" s="57"/>
      <c r="D68" s="57"/>
      <c r="E68" s="57"/>
      <c r="F68" s="57"/>
      <c r="G68" s="156"/>
      <c r="H68" s="156"/>
    </row>
  </sheetData>
  <mergeCells count="1">
    <mergeCell ref="A5:H7"/>
  </mergeCells>
  <pageMargins left="0.7" right="0.7" top="0.75" bottom="0.75" header="0.3" footer="0.3"/>
  <pageSetup paperSize="9" orientation="landscape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C000"/>
  </sheetPr>
  <dimension ref="A1:L83"/>
  <sheetViews>
    <sheetView topLeftCell="A56" workbookViewId="0">
      <selection activeCell="J10" sqref="J10:J71"/>
    </sheetView>
  </sheetViews>
  <sheetFormatPr defaultRowHeight="15"/>
  <cols>
    <col min="1" max="1" width="12.5703125" customWidth="1"/>
    <col min="2" max="2" width="8.5703125" customWidth="1"/>
    <col min="3" max="3" width="21.42578125" customWidth="1"/>
    <col min="4" max="4" width="21.7109375" customWidth="1"/>
    <col min="5" max="5" width="10" customWidth="1"/>
    <col min="6" max="6" width="7.7109375" customWidth="1"/>
    <col min="7" max="7" width="11.140625" customWidth="1"/>
    <col min="8" max="8" width="11.5703125" customWidth="1"/>
    <col min="9" max="9" width="12.5703125" customWidth="1"/>
    <col min="10" max="10" width="15.140625" style="6" customWidth="1"/>
    <col min="11" max="11" width="11.5703125" style="6" bestFit="1" customWidth="1"/>
  </cols>
  <sheetData>
    <row r="1" spans="1:12">
      <c r="A1" s="1" t="s">
        <v>0</v>
      </c>
      <c r="B1" s="1"/>
      <c r="C1" s="1"/>
      <c r="D1" s="3"/>
      <c r="E1" s="3"/>
      <c r="F1" s="3"/>
      <c r="G1" s="4"/>
      <c r="H1" s="10"/>
      <c r="I1" s="5"/>
      <c r="J1" s="5"/>
    </row>
    <row r="2" spans="1:12">
      <c r="A2" s="1" t="s">
        <v>1</v>
      </c>
      <c r="B2" s="1"/>
      <c r="C2" s="1"/>
      <c r="D2" s="3"/>
      <c r="E2" s="3"/>
      <c r="F2" s="3"/>
      <c r="G2" s="4"/>
      <c r="H2" s="10"/>
      <c r="I2" s="5"/>
      <c r="J2" s="5"/>
    </row>
    <row r="3" spans="1:12">
      <c r="A3" s="1" t="s">
        <v>2</v>
      </c>
      <c r="B3" s="1"/>
      <c r="C3" s="1"/>
      <c r="D3" s="3"/>
      <c r="E3" s="3"/>
      <c r="F3" s="3"/>
      <c r="G3" s="4"/>
      <c r="H3" s="10"/>
      <c r="I3" s="5"/>
      <c r="J3" s="5"/>
    </row>
    <row r="4" spans="1:12">
      <c r="A4" s="1" t="s">
        <v>3</v>
      </c>
      <c r="B4" s="1"/>
      <c r="C4" s="1"/>
      <c r="D4" s="3"/>
      <c r="E4" s="3"/>
      <c r="F4" s="3"/>
      <c r="G4" s="4"/>
      <c r="H4" s="10"/>
      <c r="I4" s="5"/>
      <c r="J4" s="5"/>
    </row>
    <row r="5" spans="1:12">
      <c r="A5" s="328" t="s">
        <v>221</v>
      </c>
      <c r="B5" s="328"/>
      <c r="C5" s="328"/>
      <c r="D5" s="328"/>
      <c r="E5" s="328"/>
      <c r="F5" s="328"/>
      <c r="G5" s="328"/>
      <c r="H5" s="328"/>
      <c r="I5" s="328"/>
      <c r="J5" s="328"/>
    </row>
    <row r="6" spans="1:12">
      <c r="A6" s="328"/>
      <c r="B6" s="328"/>
      <c r="C6" s="328"/>
      <c r="D6" s="328"/>
      <c r="E6" s="328"/>
      <c r="F6" s="328"/>
      <c r="G6" s="328"/>
      <c r="H6" s="328"/>
      <c r="I6" s="328"/>
      <c r="J6" s="328"/>
    </row>
    <row r="7" spans="1:12">
      <c r="A7" s="328"/>
      <c r="B7" s="328"/>
      <c r="C7" s="328"/>
      <c r="D7" s="328"/>
      <c r="E7" s="328"/>
      <c r="F7" s="328"/>
      <c r="G7" s="328"/>
      <c r="H7" s="328"/>
      <c r="I7" s="328"/>
      <c r="J7" s="328"/>
    </row>
    <row r="8" spans="1:12" ht="21">
      <c r="D8" s="13" t="s">
        <v>20</v>
      </c>
    </row>
    <row r="9" spans="1:12" s="26" customFormat="1">
      <c r="A9" s="27" t="s">
        <v>5</v>
      </c>
      <c r="B9" s="28" t="s">
        <v>6</v>
      </c>
      <c r="C9" s="28" t="s">
        <v>7</v>
      </c>
      <c r="D9" s="29" t="s">
        <v>8</v>
      </c>
      <c r="E9" s="28" t="s">
        <v>9</v>
      </c>
      <c r="F9" s="28" t="s">
        <v>10</v>
      </c>
      <c r="G9" s="30" t="s">
        <v>12</v>
      </c>
      <c r="H9" s="29" t="s">
        <v>13</v>
      </c>
      <c r="I9" s="29" t="s">
        <v>14</v>
      </c>
      <c r="J9" s="29" t="s">
        <v>15</v>
      </c>
      <c r="K9" s="29" t="s">
        <v>16</v>
      </c>
    </row>
    <row r="10" spans="1:12" s="57" customFormat="1">
      <c r="A10" s="68">
        <v>43160</v>
      </c>
      <c r="B10" s="58" t="s">
        <v>366</v>
      </c>
      <c r="C10" s="58" t="s">
        <v>367</v>
      </c>
      <c r="D10" s="124" t="s">
        <v>383</v>
      </c>
      <c r="E10" s="58" t="s">
        <v>238</v>
      </c>
      <c r="F10" s="58"/>
      <c r="G10" s="125"/>
      <c r="H10" s="89">
        <v>14</v>
      </c>
      <c r="I10" s="139">
        <v>90000</v>
      </c>
      <c r="J10" s="272">
        <f>+Table3[[#This Row],[ĐƠN GIÁ ]]*Table3[[#This Row],[SỐ LƯỢNG ]]</f>
        <v>1260000</v>
      </c>
      <c r="K10" s="123">
        <f>+Table3[[#This Row],[THÀNH TIỀN ]]*10%</f>
        <v>126000</v>
      </c>
    </row>
    <row r="11" spans="1:12" s="57" customFormat="1">
      <c r="A11" s="68">
        <v>43161</v>
      </c>
      <c r="B11" s="58" t="s">
        <v>366</v>
      </c>
      <c r="C11" s="58" t="s">
        <v>231</v>
      </c>
      <c r="D11" s="124" t="s">
        <v>383</v>
      </c>
      <c r="E11" s="58"/>
      <c r="F11" s="58" t="s">
        <v>235</v>
      </c>
      <c r="G11" s="140">
        <v>14.21</v>
      </c>
      <c r="H11" s="89">
        <v>1</v>
      </c>
      <c r="I11" s="141">
        <v>1200000</v>
      </c>
      <c r="J11" s="272">
        <f>+Table3[[#This Row],[ĐƠN GIÁ ]]*Table3[[#This Row],[SỐ LƯỢNG ]]</f>
        <v>1200000</v>
      </c>
      <c r="K11" s="123">
        <f>+Table3[[#This Row],[THÀNH TIỀN ]]*10%</f>
        <v>120000</v>
      </c>
    </row>
    <row r="12" spans="1:12" s="57" customFormat="1">
      <c r="A12" s="68">
        <v>43161</v>
      </c>
      <c r="B12" s="58" t="s">
        <v>366</v>
      </c>
      <c r="C12" s="58" t="s">
        <v>241</v>
      </c>
      <c r="D12" s="58" t="s">
        <v>242</v>
      </c>
      <c r="E12" s="58"/>
      <c r="F12" s="58"/>
      <c r="G12" s="89"/>
      <c r="H12" s="89">
        <v>6</v>
      </c>
      <c r="I12" s="141">
        <f>6.0875*24000</f>
        <v>146100</v>
      </c>
      <c r="J12" s="272">
        <f>+Table3[[#This Row],[ĐƠN GIÁ ]]*Table3[[#This Row],[SỐ LƯỢNG ]]</f>
        <v>876600</v>
      </c>
      <c r="K12" s="123">
        <f>+Table3[[#This Row],[THÀNH TIỀN ]]*10%</f>
        <v>87660</v>
      </c>
      <c r="L12" s="57">
        <v>6.0874999999999995</v>
      </c>
    </row>
    <row r="13" spans="1:12" s="57" customFormat="1">
      <c r="A13" s="68">
        <v>43161</v>
      </c>
      <c r="B13" s="58" t="s">
        <v>366</v>
      </c>
      <c r="C13" s="58" t="s">
        <v>341</v>
      </c>
      <c r="D13" s="58" t="s">
        <v>381</v>
      </c>
      <c r="E13" s="58" t="s">
        <v>238</v>
      </c>
      <c r="F13" s="58"/>
      <c r="G13" s="89"/>
      <c r="H13" s="89">
        <v>20</v>
      </c>
      <c r="I13" s="141">
        <v>85000</v>
      </c>
      <c r="J13" s="272">
        <f>+Table3[[#This Row],[ĐƠN GIÁ ]]*Table3[[#This Row],[SỐ LƯỢNG ]]</f>
        <v>1700000</v>
      </c>
      <c r="K13" s="123">
        <f>+Table3[[#This Row],[THÀNH TIỀN ]]*10%</f>
        <v>170000</v>
      </c>
    </row>
    <row r="14" spans="1:12" s="57" customFormat="1">
      <c r="A14" s="68">
        <v>43162</v>
      </c>
      <c r="B14" s="58" t="s">
        <v>366</v>
      </c>
      <c r="C14" s="58" t="s">
        <v>343</v>
      </c>
      <c r="D14" s="58" t="s">
        <v>254</v>
      </c>
      <c r="E14" s="58" t="s">
        <v>238</v>
      </c>
      <c r="F14" s="58"/>
      <c r="G14" s="89"/>
      <c r="H14" s="89">
        <v>1</v>
      </c>
      <c r="I14" s="141">
        <v>200000</v>
      </c>
      <c r="J14" s="272">
        <f>+Table3[[#This Row],[ĐƠN GIÁ ]]*Table3[[#This Row],[SỐ LƯỢNG ]]</f>
        <v>200000</v>
      </c>
      <c r="K14" s="123">
        <f>+Table3[[#This Row],[THÀNH TIỀN ]]*10%</f>
        <v>20000</v>
      </c>
    </row>
    <row r="15" spans="1:12" s="57" customFormat="1">
      <c r="A15" s="68">
        <v>43162</v>
      </c>
      <c r="B15" s="58" t="s">
        <v>366</v>
      </c>
      <c r="C15" s="58" t="s">
        <v>368</v>
      </c>
      <c r="D15" s="58" t="s">
        <v>369</v>
      </c>
      <c r="E15" s="58" t="s">
        <v>238</v>
      </c>
      <c r="F15" s="58"/>
      <c r="G15" s="89"/>
      <c r="H15" s="89">
        <v>2</v>
      </c>
      <c r="I15" s="141">
        <v>180000</v>
      </c>
      <c r="J15" s="272">
        <f>+Table3[[#This Row],[ĐƠN GIÁ ]]*Table3[[#This Row],[SỐ LƯỢNG ]]</f>
        <v>360000</v>
      </c>
      <c r="K15" s="123">
        <f>+Table3[[#This Row],[THÀNH TIỀN ]]*10%</f>
        <v>36000</v>
      </c>
    </row>
    <row r="16" spans="1:12" s="57" customFormat="1">
      <c r="A16" s="68">
        <v>43162</v>
      </c>
      <c r="B16" s="58" t="s">
        <v>366</v>
      </c>
      <c r="C16" s="58" t="s">
        <v>368</v>
      </c>
      <c r="D16" s="58" t="s">
        <v>350</v>
      </c>
      <c r="E16" s="58" t="s">
        <v>238</v>
      </c>
      <c r="F16" s="58"/>
      <c r="G16" s="89"/>
      <c r="H16" s="89">
        <v>10</v>
      </c>
      <c r="I16" s="141">
        <v>180000</v>
      </c>
      <c r="J16" s="272">
        <f>+Table3[[#This Row],[ĐƠN GIÁ ]]*Table3[[#This Row],[SỐ LƯỢNG ]]</f>
        <v>1800000</v>
      </c>
      <c r="K16" s="123">
        <f>+Table3[[#This Row],[THÀNH TIỀN ]]*10%</f>
        <v>180000</v>
      </c>
    </row>
    <row r="17" spans="1:12" s="57" customFormat="1">
      <c r="A17" s="68">
        <v>43163</v>
      </c>
      <c r="B17" s="58" t="s">
        <v>366</v>
      </c>
      <c r="C17" s="58" t="s">
        <v>231</v>
      </c>
      <c r="D17" s="58" t="s">
        <v>232</v>
      </c>
      <c r="E17" s="58"/>
      <c r="F17" s="58" t="s">
        <v>235</v>
      </c>
      <c r="G17" s="58">
        <v>13.52</v>
      </c>
      <c r="H17" s="89">
        <v>1</v>
      </c>
      <c r="I17" s="141">
        <v>1000000</v>
      </c>
      <c r="J17" s="272">
        <f>+Table3[[#This Row],[ĐƠN GIÁ ]]*Table3[[#This Row],[SỐ LƯỢNG ]]</f>
        <v>1000000</v>
      </c>
      <c r="K17" s="123">
        <f>+Table3[[#This Row],[THÀNH TIỀN ]]*10%</f>
        <v>100000</v>
      </c>
    </row>
    <row r="18" spans="1:12" s="57" customFormat="1">
      <c r="A18" s="68">
        <v>43163</v>
      </c>
      <c r="B18" s="58" t="s">
        <v>366</v>
      </c>
      <c r="C18" s="58" t="s">
        <v>367</v>
      </c>
      <c r="D18" s="124" t="s">
        <v>383</v>
      </c>
      <c r="E18" s="58" t="s">
        <v>238</v>
      </c>
      <c r="F18" s="58"/>
      <c r="G18" s="89"/>
      <c r="H18" s="89">
        <v>28</v>
      </c>
      <c r="I18" s="141">
        <v>90000</v>
      </c>
      <c r="J18" s="272">
        <f>+Table3[[#This Row],[ĐƠN GIÁ ]]*Table3[[#This Row],[SỐ LƯỢNG ]]</f>
        <v>2520000</v>
      </c>
      <c r="K18" s="123">
        <f>+Table3[[#This Row],[THÀNH TIỀN ]]*10%</f>
        <v>252000</v>
      </c>
    </row>
    <row r="19" spans="1:12" s="57" customFormat="1">
      <c r="A19" s="68">
        <v>43164</v>
      </c>
      <c r="B19" s="58" t="s">
        <v>366</v>
      </c>
      <c r="C19" s="58" t="s">
        <v>367</v>
      </c>
      <c r="D19" s="124" t="s">
        <v>383</v>
      </c>
      <c r="E19" s="58" t="s">
        <v>238</v>
      </c>
      <c r="F19" s="58"/>
      <c r="G19" s="89"/>
      <c r="H19" s="89">
        <v>20</v>
      </c>
      <c r="I19" s="141">
        <v>90000</v>
      </c>
      <c r="J19" s="272">
        <f>+Table3[[#This Row],[ĐƠN GIÁ ]]*Table3[[#This Row],[SỐ LƯỢNG ]]</f>
        <v>1800000</v>
      </c>
      <c r="K19" s="123">
        <f>+Table3[[#This Row],[THÀNH TIỀN ]]*10%</f>
        <v>180000</v>
      </c>
    </row>
    <row r="20" spans="1:12" s="57" customFormat="1">
      <c r="A20" s="68">
        <v>43165</v>
      </c>
      <c r="B20" s="58" t="s">
        <v>366</v>
      </c>
      <c r="C20" s="58" t="s">
        <v>348</v>
      </c>
      <c r="D20" s="58" t="s">
        <v>246</v>
      </c>
      <c r="E20" s="58" t="s">
        <v>238</v>
      </c>
      <c r="F20" s="58"/>
      <c r="G20" s="89"/>
      <c r="H20" s="89">
        <v>15</v>
      </c>
      <c r="I20" s="141">
        <v>190000</v>
      </c>
      <c r="J20" s="272">
        <f>+Table3[[#This Row],[ĐƠN GIÁ ]]*Table3[[#This Row],[SỐ LƯỢNG ]]</f>
        <v>2850000</v>
      </c>
      <c r="K20" s="123">
        <f>+Table3[[#This Row],[THÀNH TIỀN ]]*10%</f>
        <v>285000</v>
      </c>
    </row>
    <row r="21" spans="1:12" s="57" customFormat="1">
      <c r="A21" s="68">
        <v>43166</v>
      </c>
      <c r="B21" s="58" t="s">
        <v>366</v>
      </c>
      <c r="C21" s="58" t="s">
        <v>367</v>
      </c>
      <c r="D21" s="124" t="s">
        <v>383</v>
      </c>
      <c r="E21" s="58" t="s">
        <v>238</v>
      </c>
      <c r="F21" s="58"/>
      <c r="G21" s="89"/>
      <c r="H21" s="89">
        <v>14</v>
      </c>
      <c r="I21" s="141">
        <v>90000</v>
      </c>
      <c r="J21" s="272">
        <f>+Table3[[#This Row],[ĐƠN GIÁ ]]*Table3[[#This Row],[SỐ LƯỢNG ]]</f>
        <v>1260000</v>
      </c>
      <c r="K21" s="123">
        <f>+Table3[[#This Row],[THÀNH TIỀN ]]*10%</f>
        <v>126000</v>
      </c>
    </row>
    <row r="22" spans="1:12" s="57" customFormat="1">
      <c r="A22" s="68">
        <v>43166</v>
      </c>
      <c r="B22" s="58" t="s">
        <v>366</v>
      </c>
      <c r="C22" s="58" t="s">
        <v>341</v>
      </c>
      <c r="D22" s="58" t="s">
        <v>381</v>
      </c>
      <c r="E22" s="58" t="s">
        <v>238</v>
      </c>
      <c r="F22" s="58"/>
      <c r="G22" s="89"/>
      <c r="H22" s="89">
        <v>16</v>
      </c>
      <c r="I22" s="141">
        <v>85000</v>
      </c>
      <c r="J22" s="272">
        <f>+Table3[[#This Row],[ĐƠN GIÁ ]]*Table3[[#This Row],[SỐ LƯỢNG ]]</f>
        <v>1360000</v>
      </c>
      <c r="K22" s="123">
        <f>+Table3[[#This Row],[THÀNH TIỀN ]]*10%</f>
        <v>136000</v>
      </c>
    </row>
    <row r="23" spans="1:12" s="57" customFormat="1">
      <c r="A23" s="68">
        <v>43167</v>
      </c>
      <c r="B23" s="58" t="s">
        <v>366</v>
      </c>
      <c r="C23" s="58" t="s">
        <v>367</v>
      </c>
      <c r="D23" s="124" t="s">
        <v>383</v>
      </c>
      <c r="E23" s="58" t="s">
        <v>238</v>
      </c>
      <c r="F23" s="58"/>
      <c r="G23" s="89"/>
      <c r="H23" s="89">
        <v>32</v>
      </c>
      <c r="I23" s="141">
        <v>90000</v>
      </c>
      <c r="J23" s="272">
        <f>+Table3[[#This Row],[ĐƠN GIÁ ]]*Table3[[#This Row],[SỐ LƯỢNG ]]</f>
        <v>2880000</v>
      </c>
      <c r="K23" s="123">
        <f>+Table3[[#This Row],[THÀNH TIỀN ]]*10%</f>
        <v>288000</v>
      </c>
    </row>
    <row r="24" spans="1:12" s="57" customFormat="1">
      <c r="A24" s="68">
        <v>43167</v>
      </c>
      <c r="B24" s="58" t="s">
        <v>366</v>
      </c>
      <c r="C24" s="58" t="s">
        <v>343</v>
      </c>
      <c r="D24" s="58" t="s">
        <v>384</v>
      </c>
      <c r="E24" s="58" t="s">
        <v>238</v>
      </c>
      <c r="F24" s="58"/>
      <c r="G24" s="89"/>
      <c r="H24" s="89">
        <v>1</v>
      </c>
      <c r="I24" s="141">
        <v>230000</v>
      </c>
      <c r="J24" s="272">
        <f>+Table3[[#This Row],[ĐƠN GIÁ ]]*Table3[[#This Row],[SỐ LƯỢNG ]]</f>
        <v>230000</v>
      </c>
      <c r="K24" s="123">
        <f>+Table3[[#This Row],[THÀNH TIỀN ]]*10%</f>
        <v>23000</v>
      </c>
    </row>
    <row r="25" spans="1:12" s="57" customFormat="1">
      <c r="A25" s="68">
        <v>43168</v>
      </c>
      <c r="B25" s="58" t="s">
        <v>366</v>
      </c>
      <c r="C25" s="58" t="s">
        <v>367</v>
      </c>
      <c r="D25" s="124" t="s">
        <v>383</v>
      </c>
      <c r="E25" s="58" t="s">
        <v>238</v>
      </c>
      <c r="F25" s="58"/>
      <c r="G25" s="89"/>
      <c r="H25" s="89">
        <v>6</v>
      </c>
      <c r="I25" s="141">
        <v>90000</v>
      </c>
      <c r="J25" s="272">
        <f>+Table3[[#This Row],[ĐƠN GIÁ ]]*Table3[[#This Row],[SỐ LƯỢNG ]]</f>
        <v>540000</v>
      </c>
      <c r="K25" s="123">
        <f>+Table3[[#This Row],[THÀNH TIỀN ]]*10%</f>
        <v>54000</v>
      </c>
    </row>
    <row r="26" spans="1:12" s="57" customFormat="1">
      <c r="A26" s="68">
        <v>43168</v>
      </c>
      <c r="B26" s="58" t="s">
        <v>366</v>
      </c>
      <c r="C26" s="58" t="s">
        <v>370</v>
      </c>
      <c r="D26" s="58" t="s">
        <v>382</v>
      </c>
      <c r="E26" s="58" t="s">
        <v>238</v>
      </c>
      <c r="F26" s="58"/>
      <c r="G26" s="89"/>
      <c r="H26" s="89">
        <v>28</v>
      </c>
      <c r="I26" s="141">
        <v>100000</v>
      </c>
      <c r="J26" s="272">
        <f>+Table3[[#This Row],[ĐƠN GIÁ ]]*Table3[[#This Row],[SỐ LƯỢNG ]]</f>
        <v>2800000</v>
      </c>
      <c r="K26" s="123">
        <f>+Table3[[#This Row],[THÀNH TIỀN ]]*10%</f>
        <v>280000</v>
      </c>
    </row>
    <row r="27" spans="1:12" s="57" customFormat="1">
      <c r="A27" s="68">
        <v>43169</v>
      </c>
      <c r="B27" s="58" t="s">
        <v>366</v>
      </c>
      <c r="C27" s="58" t="s">
        <v>370</v>
      </c>
      <c r="D27" s="58" t="s">
        <v>382</v>
      </c>
      <c r="E27" s="58" t="s">
        <v>238</v>
      </c>
      <c r="F27" s="58"/>
      <c r="G27" s="89"/>
      <c r="H27" s="89">
        <v>3</v>
      </c>
      <c r="I27" s="141">
        <v>100000</v>
      </c>
      <c r="J27" s="272">
        <f>+Table3[[#This Row],[ĐƠN GIÁ ]]*Table3[[#This Row],[SỐ LƯỢNG ]]</f>
        <v>300000</v>
      </c>
      <c r="K27" s="123">
        <f>+Table3[[#This Row],[THÀNH TIỀN ]]*10%</f>
        <v>30000</v>
      </c>
    </row>
    <row r="28" spans="1:12" s="57" customFormat="1">
      <c r="A28" s="68">
        <v>43169</v>
      </c>
      <c r="B28" s="58" t="s">
        <v>366</v>
      </c>
      <c r="C28" s="58" t="s">
        <v>241</v>
      </c>
      <c r="D28" s="58" t="s">
        <v>371</v>
      </c>
      <c r="E28" s="58"/>
      <c r="F28" s="58"/>
      <c r="G28" s="89"/>
      <c r="H28" s="89">
        <v>6</v>
      </c>
      <c r="I28" s="141">
        <v>180000</v>
      </c>
      <c r="J28" s="272">
        <f>+Table3[[#This Row],[ĐƠN GIÁ ]]*Table3[[#This Row],[SỐ LƯỢNG ]]</f>
        <v>1080000</v>
      </c>
      <c r="K28" s="123">
        <f>+Table3[[#This Row],[THÀNH TIỀN ]]*10%</f>
        <v>108000</v>
      </c>
      <c r="L28" s="57">
        <v>6.5699999999999994</v>
      </c>
    </row>
    <row r="29" spans="1:12" s="57" customFormat="1">
      <c r="A29" s="68">
        <v>43169</v>
      </c>
      <c r="B29" s="58" t="s">
        <v>366</v>
      </c>
      <c r="C29" s="58" t="s">
        <v>231</v>
      </c>
      <c r="D29" s="58" t="s">
        <v>245</v>
      </c>
      <c r="E29" s="58"/>
      <c r="F29" s="58" t="s">
        <v>235</v>
      </c>
      <c r="G29" s="140">
        <v>14</v>
      </c>
      <c r="H29" s="89">
        <v>1</v>
      </c>
      <c r="I29" s="141">
        <v>1200000</v>
      </c>
      <c r="J29" s="272">
        <f>+Table3[[#This Row],[ĐƠN GIÁ ]]*Table3[[#This Row],[SỐ LƯỢNG ]]</f>
        <v>1200000</v>
      </c>
      <c r="K29" s="123">
        <f>+Table3[[#This Row],[THÀNH TIỀN ]]*10%</f>
        <v>120000</v>
      </c>
    </row>
    <row r="30" spans="1:12" s="57" customFormat="1">
      <c r="A30" s="68">
        <v>43170</v>
      </c>
      <c r="B30" s="58" t="s">
        <v>366</v>
      </c>
      <c r="C30" s="58" t="s">
        <v>372</v>
      </c>
      <c r="D30" s="58" t="s">
        <v>373</v>
      </c>
      <c r="E30" s="58"/>
      <c r="F30" s="58" t="s">
        <v>250</v>
      </c>
      <c r="G30" s="140">
        <v>14.5</v>
      </c>
      <c r="H30" s="89">
        <v>1</v>
      </c>
      <c r="I30" s="141">
        <v>900000</v>
      </c>
      <c r="J30" s="272">
        <f>+Table3[[#This Row],[ĐƠN GIÁ ]]*Table3[[#This Row],[SỐ LƯỢNG ]]</f>
        <v>900000</v>
      </c>
      <c r="K30" s="123">
        <f>+Table3[[#This Row],[THÀNH TIỀN ]]*10%</f>
        <v>90000</v>
      </c>
    </row>
    <row r="31" spans="1:12" s="57" customFormat="1">
      <c r="A31" s="68">
        <v>43170</v>
      </c>
      <c r="B31" s="58" t="s">
        <v>366</v>
      </c>
      <c r="C31" s="58" t="s">
        <v>243</v>
      </c>
      <c r="D31" s="58" t="s">
        <v>246</v>
      </c>
      <c r="E31" s="58" t="s">
        <v>238</v>
      </c>
      <c r="F31" s="58"/>
      <c r="G31" s="89"/>
      <c r="H31" s="89">
        <v>6</v>
      </c>
      <c r="I31" s="141">
        <v>180000</v>
      </c>
      <c r="J31" s="272">
        <f>+Table3[[#This Row],[ĐƠN GIÁ ]]*Table3[[#This Row],[SỐ LƯỢNG ]]</f>
        <v>1080000</v>
      </c>
      <c r="K31" s="123">
        <f>+Table3[[#This Row],[THÀNH TIỀN ]]*10%</f>
        <v>108000</v>
      </c>
    </row>
    <row r="32" spans="1:12" s="57" customFormat="1">
      <c r="A32" s="68">
        <v>43170</v>
      </c>
      <c r="B32" s="58" t="s">
        <v>366</v>
      </c>
      <c r="C32" s="58" t="s">
        <v>348</v>
      </c>
      <c r="D32" s="58" t="s">
        <v>246</v>
      </c>
      <c r="E32" s="58" t="s">
        <v>238</v>
      </c>
      <c r="F32" s="58"/>
      <c r="G32" s="89"/>
      <c r="H32" s="89">
        <v>10</v>
      </c>
      <c r="I32" s="141">
        <v>190000</v>
      </c>
      <c r="J32" s="272">
        <f>+Table3[[#This Row],[ĐƠN GIÁ ]]*Table3[[#This Row],[SỐ LƯỢNG ]]</f>
        <v>1900000</v>
      </c>
      <c r="K32" s="123">
        <f>+Table3[[#This Row],[THÀNH TIỀN ]]*10%</f>
        <v>190000</v>
      </c>
    </row>
    <row r="33" spans="1:11" s="57" customFormat="1">
      <c r="A33" s="68">
        <v>43170</v>
      </c>
      <c r="B33" s="58" t="s">
        <v>366</v>
      </c>
      <c r="C33" s="58" t="s">
        <v>348</v>
      </c>
      <c r="D33" s="58" t="s">
        <v>374</v>
      </c>
      <c r="E33" s="58" t="s">
        <v>238</v>
      </c>
      <c r="F33" s="58"/>
      <c r="G33" s="89"/>
      <c r="H33" s="89">
        <v>1</v>
      </c>
      <c r="I33" s="141">
        <v>300000</v>
      </c>
      <c r="J33" s="272">
        <f>+Table3[[#This Row],[ĐƠN GIÁ ]]*Table3[[#This Row],[SỐ LƯỢNG ]]</f>
        <v>300000</v>
      </c>
      <c r="K33" s="123">
        <f>+Table3[[#This Row],[THÀNH TIỀN ]]*10%</f>
        <v>30000</v>
      </c>
    </row>
    <row r="34" spans="1:11" s="57" customFormat="1">
      <c r="A34" s="68">
        <v>43171</v>
      </c>
      <c r="B34" s="58" t="s">
        <v>366</v>
      </c>
      <c r="C34" s="58" t="s">
        <v>348</v>
      </c>
      <c r="D34" s="58" t="s">
        <v>246</v>
      </c>
      <c r="E34" s="58" t="s">
        <v>238</v>
      </c>
      <c r="F34" s="58"/>
      <c r="G34" s="89"/>
      <c r="H34" s="89">
        <v>19</v>
      </c>
      <c r="I34" s="141">
        <v>190000</v>
      </c>
      <c r="J34" s="272">
        <f>+Table3[[#This Row],[ĐƠN GIÁ ]]*Table3[[#This Row],[SỐ LƯỢNG ]]</f>
        <v>3610000</v>
      </c>
      <c r="K34" s="123">
        <f>+Table3[[#This Row],[THÀNH TIỀN ]]*10%</f>
        <v>361000</v>
      </c>
    </row>
    <row r="35" spans="1:11" s="57" customFormat="1">
      <c r="A35" s="68">
        <v>43172</v>
      </c>
      <c r="B35" s="58" t="s">
        <v>366</v>
      </c>
      <c r="C35" s="58" t="s">
        <v>258</v>
      </c>
      <c r="D35" s="58" t="s">
        <v>260</v>
      </c>
      <c r="E35" s="58" t="s">
        <v>238</v>
      </c>
      <c r="F35" s="58"/>
      <c r="G35" s="89"/>
      <c r="H35" s="89">
        <v>16</v>
      </c>
      <c r="I35" s="141">
        <v>220000</v>
      </c>
      <c r="J35" s="272">
        <f>+Table3[[#This Row],[ĐƠN GIÁ ]]*Table3[[#This Row],[SỐ LƯỢNG ]]</f>
        <v>3520000</v>
      </c>
      <c r="K35" s="123">
        <f>+Table3[[#This Row],[THÀNH TIỀN ]]*10%</f>
        <v>352000</v>
      </c>
    </row>
    <row r="36" spans="1:11" s="57" customFormat="1">
      <c r="A36" s="68">
        <v>43173</v>
      </c>
      <c r="B36" s="58" t="s">
        <v>366</v>
      </c>
      <c r="C36" s="58" t="s">
        <v>258</v>
      </c>
      <c r="D36" s="58" t="s">
        <v>260</v>
      </c>
      <c r="E36" s="58" t="s">
        <v>238</v>
      </c>
      <c r="F36" s="58"/>
      <c r="G36" s="89"/>
      <c r="H36" s="89">
        <v>5</v>
      </c>
      <c r="I36" s="141">
        <v>220000</v>
      </c>
      <c r="J36" s="272">
        <f>+Table3[[#This Row],[ĐƠN GIÁ ]]*Table3[[#This Row],[SỐ LƯỢNG ]]</f>
        <v>1100000</v>
      </c>
      <c r="K36" s="123">
        <f>+Table3[[#This Row],[THÀNH TIỀN ]]*10%</f>
        <v>110000</v>
      </c>
    </row>
    <row r="37" spans="1:11" s="57" customFormat="1">
      <c r="A37" s="68">
        <v>43173</v>
      </c>
      <c r="B37" s="58" t="s">
        <v>366</v>
      </c>
      <c r="C37" s="58" t="s">
        <v>258</v>
      </c>
      <c r="D37" s="58" t="s">
        <v>262</v>
      </c>
      <c r="E37" s="58" t="s">
        <v>238</v>
      </c>
      <c r="F37" s="58"/>
      <c r="G37" s="89"/>
      <c r="H37" s="89">
        <v>15</v>
      </c>
      <c r="I37" s="141">
        <v>180000</v>
      </c>
      <c r="J37" s="272">
        <f>+Table3[[#This Row],[ĐƠN GIÁ ]]*Table3[[#This Row],[SỐ LƯỢNG ]]</f>
        <v>2700000</v>
      </c>
      <c r="K37" s="123">
        <f>+Table3[[#This Row],[THÀNH TIỀN ]]*10%</f>
        <v>270000</v>
      </c>
    </row>
    <row r="38" spans="1:11" s="57" customFormat="1">
      <c r="A38" s="68">
        <v>43174</v>
      </c>
      <c r="B38" s="58" t="s">
        <v>366</v>
      </c>
      <c r="C38" s="58" t="s">
        <v>258</v>
      </c>
      <c r="D38" s="58" t="s">
        <v>262</v>
      </c>
      <c r="E38" s="58" t="s">
        <v>238</v>
      </c>
      <c r="F38" s="58"/>
      <c r="G38" s="89"/>
      <c r="H38" s="89">
        <v>10</v>
      </c>
      <c r="I38" s="141">
        <v>180000</v>
      </c>
      <c r="J38" s="272">
        <f>+Table3[[#This Row],[ĐƠN GIÁ ]]*Table3[[#This Row],[SỐ LƯỢNG ]]</f>
        <v>1800000</v>
      </c>
      <c r="K38" s="123">
        <f>+Table3[[#This Row],[THÀNH TIỀN ]]*10%</f>
        <v>180000</v>
      </c>
    </row>
    <row r="39" spans="1:11" s="57" customFormat="1">
      <c r="A39" s="68">
        <v>43174</v>
      </c>
      <c r="B39" s="58" t="s">
        <v>366</v>
      </c>
      <c r="C39" s="58" t="s">
        <v>258</v>
      </c>
      <c r="D39" s="58" t="s">
        <v>259</v>
      </c>
      <c r="E39" s="58" t="s">
        <v>238</v>
      </c>
      <c r="F39" s="58"/>
      <c r="G39" s="89"/>
      <c r="H39" s="89">
        <v>7</v>
      </c>
      <c r="I39" s="141">
        <v>220000</v>
      </c>
      <c r="J39" s="272">
        <f>+Table3[[#This Row],[ĐƠN GIÁ ]]*Table3[[#This Row],[SỐ LƯỢNG ]]</f>
        <v>1540000</v>
      </c>
      <c r="K39" s="123">
        <f>+Table3[[#This Row],[THÀNH TIỀN ]]*10%</f>
        <v>154000</v>
      </c>
    </row>
    <row r="40" spans="1:11" s="57" customFormat="1">
      <c r="A40" s="68">
        <v>43176</v>
      </c>
      <c r="B40" s="58" t="s">
        <v>366</v>
      </c>
      <c r="C40" s="58" t="s">
        <v>372</v>
      </c>
      <c r="D40" s="58" t="s">
        <v>245</v>
      </c>
      <c r="E40" s="58"/>
      <c r="F40" s="58" t="s">
        <v>235</v>
      </c>
      <c r="G40" s="140">
        <v>14</v>
      </c>
      <c r="H40" s="89">
        <v>1</v>
      </c>
      <c r="I40" s="141">
        <v>1200000</v>
      </c>
      <c r="J40" s="272">
        <f>+Table3[[#This Row],[ĐƠN GIÁ ]]*Table3[[#This Row],[SỐ LƯỢNG ]]</f>
        <v>1200000</v>
      </c>
      <c r="K40" s="123">
        <f>+Table3[[#This Row],[THÀNH TIỀN ]]*10%</f>
        <v>120000</v>
      </c>
    </row>
    <row r="41" spans="1:11" s="57" customFormat="1">
      <c r="A41" s="68">
        <v>43176</v>
      </c>
      <c r="B41" s="58" t="s">
        <v>366</v>
      </c>
      <c r="C41" s="58" t="s">
        <v>375</v>
      </c>
      <c r="D41" s="58" t="s">
        <v>260</v>
      </c>
      <c r="E41" s="58" t="s">
        <v>238</v>
      </c>
      <c r="F41" s="58"/>
      <c r="G41" s="89"/>
      <c r="H41" s="89">
        <v>1</v>
      </c>
      <c r="I41" s="141">
        <v>220000</v>
      </c>
      <c r="J41" s="272">
        <f>+Table3[[#This Row],[ĐƠN GIÁ ]]*Table3[[#This Row],[SỐ LƯỢNG ]]</f>
        <v>220000</v>
      </c>
      <c r="K41" s="123">
        <f>+Table3[[#This Row],[THÀNH TIỀN ]]*10%</f>
        <v>22000</v>
      </c>
    </row>
    <row r="42" spans="1:11" s="57" customFormat="1">
      <c r="A42" s="68">
        <v>43176</v>
      </c>
      <c r="B42" s="58" t="s">
        <v>366</v>
      </c>
      <c r="C42" s="58" t="s">
        <v>351</v>
      </c>
      <c r="D42" s="58" t="s">
        <v>260</v>
      </c>
      <c r="E42" s="58" t="s">
        <v>238</v>
      </c>
      <c r="F42" s="58"/>
      <c r="G42" s="89"/>
      <c r="H42" s="89">
        <v>9</v>
      </c>
      <c r="I42" s="141">
        <v>230000</v>
      </c>
      <c r="J42" s="272">
        <f>+Table3[[#This Row],[ĐƠN GIÁ ]]*Table3[[#This Row],[SỐ LƯỢNG ]]</f>
        <v>2070000</v>
      </c>
      <c r="K42" s="123">
        <f>+Table3[[#This Row],[THÀNH TIỀN ]]*10%</f>
        <v>207000</v>
      </c>
    </row>
    <row r="43" spans="1:11" s="57" customFormat="1">
      <c r="A43" s="68">
        <v>43176</v>
      </c>
      <c r="B43" s="58" t="s">
        <v>366</v>
      </c>
      <c r="C43" s="58" t="s">
        <v>351</v>
      </c>
      <c r="D43" s="58" t="s">
        <v>350</v>
      </c>
      <c r="E43" s="58" t="s">
        <v>238</v>
      </c>
      <c r="F43" s="58"/>
      <c r="G43" s="89"/>
      <c r="H43" s="89">
        <v>1</v>
      </c>
      <c r="I43" s="141">
        <v>230000</v>
      </c>
      <c r="J43" s="272">
        <f>+Table3[[#This Row],[ĐƠN GIÁ ]]*Table3[[#This Row],[SỐ LƯỢNG ]]</f>
        <v>230000</v>
      </c>
      <c r="K43" s="123">
        <f>+Table3[[#This Row],[THÀNH TIỀN ]]*10%</f>
        <v>23000</v>
      </c>
    </row>
    <row r="44" spans="1:11" s="57" customFormat="1">
      <c r="A44" s="68">
        <v>43176</v>
      </c>
      <c r="B44" s="58" t="s">
        <v>366</v>
      </c>
      <c r="C44" s="58" t="s">
        <v>243</v>
      </c>
      <c r="D44" s="58" t="s">
        <v>350</v>
      </c>
      <c r="E44" s="58" t="s">
        <v>238</v>
      </c>
      <c r="F44" s="58"/>
      <c r="G44" s="89"/>
      <c r="H44" s="89">
        <v>2</v>
      </c>
      <c r="I44" s="141">
        <v>180000</v>
      </c>
      <c r="J44" s="272">
        <f>+Table3[[#This Row],[ĐƠN GIÁ ]]*Table3[[#This Row],[SỐ LƯỢNG ]]</f>
        <v>360000</v>
      </c>
      <c r="K44" s="123">
        <f>+Table3[[#This Row],[THÀNH TIỀN ]]*10%</f>
        <v>36000</v>
      </c>
    </row>
    <row r="45" spans="1:11" s="57" customFormat="1">
      <c r="A45" s="68">
        <v>43176</v>
      </c>
      <c r="B45" s="58" t="s">
        <v>366</v>
      </c>
      <c r="C45" s="58" t="s">
        <v>258</v>
      </c>
      <c r="D45" s="58" t="s">
        <v>260</v>
      </c>
      <c r="E45" s="58" t="s">
        <v>238</v>
      </c>
      <c r="F45" s="58"/>
      <c r="G45" s="89"/>
      <c r="H45" s="89">
        <v>1</v>
      </c>
      <c r="I45" s="141">
        <v>230000</v>
      </c>
      <c r="J45" s="272">
        <f>+Table3[[#This Row],[ĐƠN GIÁ ]]*Table3[[#This Row],[SỐ LƯỢNG ]]</f>
        <v>230000</v>
      </c>
      <c r="K45" s="123">
        <f>+Table3[[#This Row],[THÀNH TIỀN ]]*10%</f>
        <v>23000</v>
      </c>
    </row>
    <row r="46" spans="1:11" s="57" customFormat="1">
      <c r="A46" s="68">
        <v>43177</v>
      </c>
      <c r="B46" s="58" t="s">
        <v>366</v>
      </c>
      <c r="C46" s="58" t="s">
        <v>265</v>
      </c>
      <c r="D46" s="58" t="s">
        <v>266</v>
      </c>
      <c r="E46" s="58" t="s">
        <v>238</v>
      </c>
      <c r="F46" s="58"/>
      <c r="G46" s="89"/>
      <c r="H46" s="89">
        <v>12</v>
      </c>
      <c r="I46" s="141">
        <v>180000</v>
      </c>
      <c r="J46" s="272">
        <f>+Table3[[#This Row],[ĐƠN GIÁ ]]*Table3[[#This Row],[SỐ LƯỢNG ]]</f>
        <v>2160000</v>
      </c>
      <c r="K46" s="123">
        <f>+Table3[[#This Row],[THÀNH TIỀN ]]*10%</f>
        <v>216000</v>
      </c>
    </row>
    <row r="47" spans="1:11" s="57" customFormat="1">
      <c r="A47" s="68">
        <v>43177</v>
      </c>
      <c r="B47" s="58" t="s">
        <v>366</v>
      </c>
      <c r="C47" s="58" t="s">
        <v>351</v>
      </c>
      <c r="D47" s="58" t="s">
        <v>266</v>
      </c>
      <c r="E47" s="58" t="s">
        <v>238</v>
      </c>
      <c r="F47" s="58"/>
      <c r="G47" s="89"/>
      <c r="H47" s="89">
        <v>4</v>
      </c>
      <c r="I47" s="141">
        <v>230000</v>
      </c>
      <c r="J47" s="272">
        <f>+Table3[[#This Row],[ĐƠN GIÁ ]]*Table3[[#This Row],[SỐ LƯỢNG ]]</f>
        <v>920000</v>
      </c>
      <c r="K47" s="123">
        <f>+Table3[[#This Row],[THÀNH TIỀN ]]*10%</f>
        <v>92000</v>
      </c>
    </row>
    <row r="48" spans="1:11" s="57" customFormat="1">
      <c r="A48" s="68">
        <v>43177</v>
      </c>
      <c r="B48" s="58" t="s">
        <v>366</v>
      </c>
      <c r="C48" s="58" t="s">
        <v>265</v>
      </c>
      <c r="D48" s="58" t="s">
        <v>376</v>
      </c>
      <c r="E48" s="58" t="s">
        <v>238</v>
      </c>
      <c r="F48" s="58"/>
      <c r="G48" s="89"/>
      <c r="H48" s="89">
        <v>2</v>
      </c>
      <c r="I48" s="141">
        <v>200000</v>
      </c>
      <c r="J48" s="272">
        <f>+Table3[[#This Row],[ĐƠN GIÁ ]]*Table3[[#This Row],[SỐ LƯỢNG ]]</f>
        <v>400000</v>
      </c>
      <c r="K48" s="123">
        <f>+Table3[[#This Row],[THÀNH TIỀN ]]*10%</f>
        <v>40000</v>
      </c>
    </row>
    <row r="49" spans="1:11" s="57" customFormat="1">
      <c r="A49" s="68">
        <v>43178</v>
      </c>
      <c r="B49" s="58" t="s">
        <v>366</v>
      </c>
      <c r="C49" s="58" t="s">
        <v>265</v>
      </c>
      <c r="D49" s="58" t="s">
        <v>266</v>
      </c>
      <c r="E49" s="58" t="s">
        <v>238</v>
      </c>
      <c r="F49" s="58"/>
      <c r="G49" s="89"/>
      <c r="H49" s="89">
        <v>13</v>
      </c>
      <c r="I49" s="141">
        <v>180000</v>
      </c>
      <c r="J49" s="272">
        <f>+Table3[[#This Row],[ĐƠN GIÁ ]]*Table3[[#This Row],[SỐ LƯỢNG ]]</f>
        <v>2340000</v>
      </c>
      <c r="K49" s="123">
        <f>+Table3[[#This Row],[THÀNH TIỀN ]]*10%</f>
        <v>234000</v>
      </c>
    </row>
    <row r="50" spans="1:11" s="57" customFormat="1">
      <c r="A50" s="68">
        <v>43178</v>
      </c>
      <c r="B50" s="58" t="s">
        <v>366</v>
      </c>
      <c r="C50" s="58" t="s">
        <v>258</v>
      </c>
      <c r="D50" s="58" t="s">
        <v>266</v>
      </c>
      <c r="E50" s="58" t="s">
        <v>238</v>
      </c>
      <c r="F50" s="58"/>
      <c r="G50" s="89"/>
      <c r="H50" s="89">
        <v>2</v>
      </c>
      <c r="I50" s="141">
        <v>230000</v>
      </c>
      <c r="J50" s="272">
        <f>+Table3[[#This Row],[ĐƠN GIÁ ]]*Table3[[#This Row],[SỐ LƯỢNG ]]</f>
        <v>460000</v>
      </c>
      <c r="K50" s="123">
        <f>+Table3[[#This Row],[THÀNH TIỀN ]]*10%</f>
        <v>46000</v>
      </c>
    </row>
    <row r="51" spans="1:11" s="57" customFormat="1">
      <c r="A51" s="68">
        <v>43178</v>
      </c>
      <c r="B51" s="58" t="s">
        <v>366</v>
      </c>
      <c r="C51" s="58" t="s">
        <v>258</v>
      </c>
      <c r="D51" s="58" t="s">
        <v>232</v>
      </c>
      <c r="E51" s="58" t="s">
        <v>238</v>
      </c>
      <c r="F51" s="58"/>
      <c r="G51" s="89"/>
      <c r="H51" s="89">
        <v>1</v>
      </c>
      <c r="I51" s="141">
        <v>200000</v>
      </c>
      <c r="J51" s="272">
        <f>+Table3[[#This Row],[ĐƠN GIÁ ]]*Table3[[#This Row],[SỐ LƯỢNG ]]</f>
        <v>200000</v>
      </c>
      <c r="K51" s="123">
        <f>+Table3[[#This Row],[THÀNH TIỀN ]]*10%</f>
        <v>20000</v>
      </c>
    </row>
    <row r="52" spans="1:11" s="57" customFormat="1">
      <c r="A52" s="68">
        <v>43178</v>
      </c>
      <c r="B52" s="58" t="s">
        <v>366</v>
      </c>
      <c r="C52" s="58" t="s">
        <v>265</v>
      </c>
      <c r="D52" s="58" t="s">
        <v>377</v>
      </c>
      <c r="E52" s="58" t="s">
        <v>238</v>
      </c>
      <c r="F52" s="58"/>
      <c r="G52" s="278" t="s">
        <v>513</v>
      </c>
      <c r="H52" s="89">
        <v>1</v>
      </c>
      <c r="I52" s="141"/>
      <c r="J52" s="272">
        <f>+Table3[[#This Row],[ĐƠN GIÁ ]]*Table3[[#This Row],[SỐ LƯỢNG ]]</f>
        <v>0</v>
      </c>
      <c r="K52" s="123">
        <f>+Table3[[#This Row],[THÀNH TIỀN ]]*10%</f>
        <v>0</v>
      </c>
    </row>
    <row r="53" spans="1:11" s="57" customFormat="1">
      <c r="A53" s="68">
        <v>43179</v>
      </c>
      <c r="B53" s="58" t="s">
        <v>366</v>
      </c>
      <c r="C53" s="58" t="s">
        <v>353</v>
      </c>
      <c r="D53" s="58" t="s">
        <v>266</v>
      </c>
      <c r="E53" s="58" t="s">
        <v>238</v>
      </c>
      <c r="F53" s="58"/>
      <c r="G53" s="89"/>
      <c r="H53" s="89">
        <v>5</v>
      </c>
      <c r="I53" s="141">
        <v>230000</v>
      </c>
      <c r="J53" s="272">
        <f>+Table3[[#This Row],[ĐƠN GIÁ ]]*Table3[[#This Row],[SỐ LƯỢNG ]]</f>
        <v>1150000</v>
      </c>
      <c r="K53" s="123">
        <f>+Table3[[#This Row],[THÀNH TIỀN ]]*10%</f>
        <v>115000</v>
      </c>
    </row>
    <row r="54" spans="1:11" s="57" customFormat="1">
      <c r="A54" s="68">
        <v>43179</v>
      </c>
      <c r="B54" s="58" t="s">
        <v>366</v>
      </c>
      <c r="C54" s="58" t="s">
        <v>353</v>
      </c>
      <c r="D54" s="58" t="s">
        <v>350</v>
      </c>
      <c r="E54" s="58" t="s">
        <v>238</v>
      </c>
      <c r="F54" s="58"/>
      <c r="G54" s="89"/>
      <c r="H54" s="89">
        <v>8</v>
      </c>
      <c r="I54" s="141">
        <v>230000</v>
      </c>
      <c r="J54" s="272">
        <f>+Table3[[#This Row],[ĐƠN GIÁ ]]*Table3[[#This Row],[SỐ LƯỢNG ]]</f>
        <v>1840000</v>
      </c>
      <c r="K54" s="123">
        <f>+Table3[[#This Row],[THÀNH TIỀN ]]*10%</f>
        <v>184000</v>
      </c>
    </row>
    <row r="55" spans="1:11" s="57" customFormat="1">
      <c r="A55" s="68">
        <v>43179</v>
      </c>
      <c r="B55" s="58" t="s">
        <v>366</v>
      </c>
      <c r="C55" s="58" t="s">
        <v>353</v>
      </c>
      <c r="D55" s="58" t="s">
        <v>380</v>
      </c>
      <c r="E55" s="58" t="s">
        <v>238</v>
      </c>
      <c r="F55" s="58"/>
      <c r="G55" s="89"/>
      <c r="H55" s="89">
        <v>1</v>
      </c>
      <c r="I55" s="141">
        <v>200000</v>
      </c>
      <c r="J55" s="272">
        <f>+Table3[[#This Row],[ĐƠN GIÁ ]]*Table3[[#This Row],[SỐ LƯỢNG ]]</f>
        <v>200000</v>
      </c>
      <c r="K55" s="123">
        <f>+Table3[[#This Row],[THÀNH TIỀN ]]*10%</f>
        <v>20000</v>
      </c>
    </row>
    <row r="56" spans="1:11" s="57" customFormat="1">
      <c r="A56" s="68">
        <v>43179</v>
      </c>
      <c r="B56" s="58" t="s">
        <v>366</v>
      </c>
      <c r="C56" s="58" t="s">
        <v>351</v>
      </c>
      <c r="D56" s="58" t="s">
        <v>350</v>
      </c>
      <c r="E56" s="58" t="s">
        <v>238</v>
      </c>
      <c r="F56" s="58"/>
      <c r="G56" s="89"/>
      <c r="H56" s="89">
        <v>1</v>
      </c>
      <c r="I56" s="141">
        <v>230000</v>
      </c>
      <c r="J56" s="272">
        <f>+Table3[[#This Row],[ĐƠN GIÁ ]]*Table3[[#This Row],[SỐ LƯỢNG ]]</f>
        <v>230000</v>
      </c>
      <c r="K56" s="123">
        <f>+Table3[[#This Row],[THÀNH TIỀN ]]*10%</f>
        <v>23000</v>
      </c>
    </row>
    <row r="57" spans="1:11" s="57" customFormat="1">
      <c r="A57" s="68">
        <v>43182</v>
      </c>
      <c r="B57" s="58" t="s">
        <v>366</v>
      </c>
      <c r="C57" s="58" t="s">
        <v>351</v>
      </c>
      <c r="D57" s="58" t="s">
        <v>260</v>
      </c>
      <c r="E57" s="58" t="s">
        <v>238</v>
      </c>
      <c r="F57" s="58"/>
      <c r="G57" s="89"/>
      <c r="H57" s="89">
        <v>4</v>
      </c>
      <c r="I57" s="141">
        <v>230000</v>
      </c>
      <c r="J57" s="272">
        <f>+Table3[[#This Row],[ĐƠN GIÁ ]]*Table3[[#This Row],[SỐ LƯỢNG ]]</f>
        <v>920000</v>
      </c>
      <c r="K57" s="123">
        <f>+Table3[[#This Row],[THÀNH TIỀN ]]*10%</f>
        <v>92000</v>
      </c>
    </row>
    <row r="58" spans="1:11" s="57" customFormat="1">
      <c r="A58" s="68">
        <v>43183</v>
      </c>
      <c r="B58" s="58" t="s">
        <v>366</v>
      </c>
      <c r="C58" s="58" t="s">
        <v>351</v>
      </c>
      <c r="D58" s="58" t="s">
        <v>355</v>
      </c>
      <c r="E58" s="58" t="s">
        <v>238</v>
      </c>
      <c r="F58" s="58"/>
      <c r="G58" s="89"/>
      <c r="H58" s="89">
        <v>8</v>
      </c>
      <c r="I58" s="141">
        <v>230000</v>
      </c>
      <c r="J58" s="272">
        <f>+Table3[[#This Row],[ĐƠN GIÁ ]]*Table3[[#This Row],[SỐ LƯỢNG ]]</f>
        <v>1840000</v>
      </c>
      <c r="K58" s="123">
        <f>+Table3[[#This Row],[THÀNH TIỀN ]]*10%</f>
        <v>184000</v>
      </c>
    </row>
    <row r="59" spans="1:11" s="57" customFormat="1">
      <c r="A59" s="68">
        <v>43183</v>
      </c>
      <c r="B59" s="58" t="s">
        <v>366</v>
      </c>
      <c r="C59" s="58" t="s">
        <v>343</v>
      </c>
      <c r="D59" s="58" t="s">
        <v>379</v>
      </c>
      <c r="E59" s="58" t="s">
        <v>238</v>
      </c>
      <c r="F59" s="58"/>
      <c r="G59" s="89"/>
      <c r="H59" s="89">
        <v>1</v>
      </c>
      <c r="I59" s="141">
        <v>250000</v>
      </c>
      <c r="J59" s="272">
        <f>+Table3[[#This Row],[ĐƠN GIÁ ]]*Table3[[#This Row],[SỐ LƯỢNG ]]</f>
        <v>250000</v>
      </c>
      <c r="K59" s="123">
        <f>+Table3[[#This Row],[THÀNH TIỀN ]]*10%</f>
        <v>25000</v>
      </c>
    </row>
    <row r="60" spans="1:11" s="57" customFormat="1">
      <c r="A60" s="68">
        <v>43183</v>
      </c>
      <c r="B60" s="58" t="s">
        <v>366</v>
      </c>
      <c r="C60" s="58" t="s">
        <v>343</v>
      </c>
      <c r="D60" s="58" t="s">
        <v>254</v>
      </c>
      <c r="E60" s="58" t="s">
        <v>238</v>
      </c>
      <c r="F60" s="58"/>
      <c r="G60" s="89"/>
      <c r="H60" s="89">
        <v>2</v>
      </c>
      <c r="I60" s="141">
        <v>200000</v>
      </c>
      <c r="J60" s="272">
        <f>+Table3[[#This Row],[ĐƠN GIÁ ]]*Table3[[#This Row],[SỐ LƯỢNG ]]</f>
        <v>400000</v>
      </c>
      <c r="K60" s="123">
        <f>+Table3[[#This Row],[THÀNH TIỀN ]]*10%</f>
        <v>40000</v>
      </c>
    </row>
    <row r="61" spans="1:11" s="57" customFormat="1">
      <c r="A61" s="68">
        <v>43184</v>
      </c>
      <c r="B61" s="58" t="s">
        <v>366</v>
      </c>
      <c r="C61" s="58" t="s">
        <v>343</v>
      </c>
      <c r="D61" s="58" t="s">
        <v>380</v>
      </c>
      <c r="E61" s="58" t="s">
        <v>238</v>
      </c>
      <c r="F61" s="58"/>
      <c r="G61" s="89"/>
      <c r="H61" s="89">
        <v>1</v>
      </c>
      <c r="I61" s="141">
        <v>250000</v>
      </c>
      <c r="J61" s="272">
        <f>+Table3[[#This Row],[ĐƠN GIÁ ]]*Table3[[#This Row],[SỐ LƯỢNG ]]</f>
        <v>250000</v>
      </c>
      <c r="K61" s="123">
        <f>+Table3[[#This Row],[THÀNH TIỀN ]]*10%</f>
        <v>25000</v>
      </c>
    </row>
    <row r="62" spans="1:11" s="57" customFormat="1">
      <c r="A62" s="68">
        <v>43184</v>
      </c>
      <c r="B62" s="58" t="s">
        <v>366</v>
      </c>
      <c r="C62" s="58" t="s">
        <v>258</v>
      </c>
      <c r="D62" s="58" t="s">
        <v>380</v>
      </c>
      <c r="E62" s="58" t="s">
        <v>238</v>
      </c>
      <c r="F62" s="58"/>
      <c r="G62" s="89"/>
      <c r="H62" s="89">
        <v>9</v>
      </c>
      <c r="I62" s="141">
        <v>180000</v>
      </c>
      <c r="J62" s="272">
        <f>+Table3[[#This Row],[ĐƠN GIÁ ]]*Table3[[#This Row],[SỐ LƯỢNG ]]</f>
        <v>1620000</v>
      </c>
      <c r="K62" s="123">
        <f>+Table3[[#This Row],[THÀNH TIỀN ]]*10%</f>
        <v>162000</v>
      </c>
    </row>
    <row r="63" spans="1:11" s="57" customFormat="1">
      <c r="A63" s="68">
        <v>43184</v>
      </c>
      <c r="B63" s="58" t="s">
        <v>366</v>
      </c>
      <c r="C63" s="58" t="s">
        <v>258</v>
      </c>
      <c r="D63" s="58" t="s">
        <v>378</v>
      </c>
      <c r="E63" s="58" t="s">
        <v>238</v>
      </c>
      <c r="F63" s="58"/>
      <c r="G63" s="89"/>
      <c r="H63" s="89">
        <v>1</v>
      </c>
      <c r="I63" s="141">
        <v>180000</v>
      </c>
      <c r="J63" s="272">
        <f>+Table3[[#This Row],[ĐƠN GIÁ ]]*Table3[[#This Row],[SỐ LƯỢNG ]]</f>
        <v>180000</v>
      </c>
      <c r="K63" s="123">
        <f>+Table3[[#This Row],[THÀNH TIỀN ]]*10%</f>
        <v>18000</v>
      </c>
    </row>
    <row r="64" spans="1:11" s="57" customFormat="1">
      <c r="A64" s="68">
        <v>43184</v>
      </c>
      <c r="B64" s="58" t="s">
        <v>366</v>
      </c>
      <c r="C64" s="58" t="s">
        <v>351</v>
      </c>
      <c r="D64" s="58" t="s">
        <v>355</v>
      </c>
      <c r="E64" s="58" t="s">
        <v>238</v>
      </c>
      <c r="F64" s="58"/>
      <c r="G64" s="89"/>
      <c r="H64" s="89">
        <v>1</v>
      </c>
      <c r="I64" s="141">
        <v>230000</v>
      </c>
      <c r="J64" s="272">
        <f>+Table3[[#This Row],[ĐƠN GIÁ ]]*Table3[[#This Row],[SỐ LƯỢNG ]]</f>
        <v>230000</v>
      </c>
      <c r="K64" s="123">
        <f>+Table3[[#This Row],[THÀNH TIỀN ]]*10%</f>
        <v>23000</v>
      </c>
    </row>
    <row r="65" spans="1:11" s="57" customFormat="1">
      <c r="A65" s="68">
        <v>43184</v>
      </c>
      <c r="B65" s="58" t="s">
        <v>366</v>
      </c>
      <c r="C65" s="58" t="s">
        <v>265</v>
      </c>
      <c r="D65" s="58" t="s">
        <v>358</v>
      </c>
      <c r="E65" s="58" t="s">
        <v>238</v>
      </c>
      <c r="F65" s="58"/>
      <c r="G65" s="89"/>
      <c r="H65" s="89">
        <v>2</v>
      </c>
      <c r="I65" s="141">
        <v>180000</v>
      </c>
      <c r="J65" s="272">
        <f>+Table3[[#This Row],[ĐƠN GIÁ ]]*Table3[[#This Row],[SỐ LƯỢNG ]]</f>
        <v>360000</v>
      </c>
      <c r="K65" s="123">
        <f>+Table3[[#This Row],[THÀNH TIỀN ]]*10%</f>
        <v>36000</v>
      </c>
    </row>
    <row r="66" spans="1:11" s="57" customFormat="1">
      <c r="A66" s="68">
        <v>43185</v>
      </c>
      <c r="B66" s="58" t="s">
        <v>366</v>
      </c>
      <c r="C66" s="58" t="s">
        <v>278</v>
      </c>
      <c r="D66" s="58" t="s">
        <v>358</v>
      </c>
      <c r="E66" s="58" t="s">
        <v>238</v>
      </c>
      <c r="F66" s="58"/>
      <c r="G66" s="89"/>
      <c r="H66" s="89">
        <v>6</v>
      </c>
      <c r="I66" s="141">
        <v>200000</v>
      </c>
      <c r="J66" s="272">
        <f>+Table3[[#This Row],[ĐƠN GIÁ ]]*Table3[[#This Row],[SỐ LƯỢNG ]]</f>
        <v>1200000</v>
      </c>
      <c r="K66" s="123">
        <f>+Table3[[#This Row],[THÀNH TIỀN ]]*10%</f>
        <v>120000</v>
      </c>
    </row>
    <row r="67" spans="1:11" s="57" customFormat="1">
      <c r="A67" s="68">
        <v>43185</v>
      </c>
      <c r="B67" s="58" t="s">
        <v>366</v>
      </c>
      <c r="C67" s="58" t="s">
        <v>278</v>
      </c>
      <c r="D67" s="58" t="s">
        <v>380</v>
      </c>
      <c r="E67" s="58" t="s">
        <v>238</v>
      </c>
      <c r="F67" s="58"/>
      <c r="G67" s="89"/>
      <c r="H67" s="89">
        <v>6</v>
      </c>
      <c r="I67" s="141">
        <v>220000</v>
      </c>
      <c r="J67" s="272">
        <f>+Table3[[#This Row],[ĐƠN GIÁ ]]*Table3[[#This Row],[SỐ LƯỢNG ]]</f>
        <v>1320000</v>
      </c>
      <c r="K67" s="123">
        <f>+Table3[[#This Row],[THÀNH TIỀN ]]*10%</f>
        <v>132000</v>
      </c>
    </row>
    <row r="68" spans="1:11" s="57" customFormat="1">
      <c r="A68" s="68">
        <v>43185</v>
      </c>
      <c r="B68" s="58" t="s">
        <v>366</v>
      </c>
      <c r="C68" s="58" t="s">
        <v>278</v>
      </c>
      <c r="D68" s="58" t="s">
        <v>266</v>
      </c>
      <c r="E68" s="58" t="s">
        <v>238</v>
      </c>
      <c r="F68" s="58"/>
      <c r="G68" s="89"/>
      <c r="H68" s="89">
        <v>2</v>
      </c>
      <c r="I68" s="141">
        <v>250000</v>
      </c>
      <c r="J68" s="272">
        <f>+Table3[[#This Row],[ĐƠN GIÁ ]]*Table3[[#This Row],[SỐ LƯỢNG ]]</f>
        <v>500000</v>
      </c>
      <c r="K68" s="123">
        <f>+Table3[[#This Row],[THÀNH TIỀN ]]*10%</f>
        <v>50000</v>
      </c>
    </row>
    <row r="69" spans="1:11" s="57" customFormat="1">
      <c r="A69" s="68">
        <v>43185</v>
      </c>
      <c r="B69" s="58" t="s">
        <v>366</v>
      </c>
      <c r="C69" s="58" t="s">
        <v>343</v>
      </c>
      <c r="D69" s="58" t="s">
        <v>359</v>
      </c>
      <c r="E69" s="58" t="s">
        <v>238</v>
      </c>
      <c r="F69" s="58"/>
      <c r="G69" s="89"/>
      <c r="H69" s="89">
        <v>1</v>
      </c>
      <c r="I69" s="141">
        <v>250000</v>
      </c>
      <c r="J69" s="272">
        <f>+Table3[[#This Row],[ĐƠN GIÁ ]]*Table3[[#This Row],[SỐ LƯỢNG ]]</f>
        <v>250000</v>
      </c>
      <c r="K69" s="123">
        <f>+Table3[[#This Row],[THÀNH TIỀN ]]*10%</f>
        <v>25000</v>
      </c>
    </row>
    <row r="70" spans="1:11" s="57" customFormat="1">
      <c r="A70" s="68">
        <v>43186</v>
      </c>
      <c r="B70" s="58" t="s">
        <v>366</v>
      </c>
      <c r="C70" s="58" t="s">
        <v>236</v>
      </c>
      <c r="D70" s="58" t="s">
        <v>260</v>
      </c>
      <c r="E70" s="58" t="s">
        <v>238</v>
      </c>
      <c r="F70" s="58"/>
      <c r="G70" s="89"/>
      <c r="H70" s="89">
        <v>3</v>
      </c>
      <c r="I70" s="141">
        <v>190000</v>
      </c>
      <c r="J70" s="272">
        <f>+Table3[[#This Row],[ĐƠN GIÁ ]]*Table3[[#This Row],[SỐ LƯỢNG ]]</f>
        <v>570000</v>
      </c>
      <c r="K70" s="123">
        <f>+Table3[[#This Row],[THÀNH TIỀN ]]*10%</f>
        <v>57000</v>
      </c>
    </row>
    <row r="71" spans="1:11" s="57" customFormat="1">
      <c r="A71" s="152">
        <v>43186</v>
      </c>
      <c r="B71" s="115" t="s">
        <v>366</v>
      </c>
      <c r="C71" s="115" t="s">
        <v>236</v>
      </c>
      <c r="D71" s="115" t="s">
        <v>350</v>
      </c>
      <c r="E71" s="115" t="s">
        <v>238</v>
      </c>
      <c r="F71" s="115"/>
      <c r="G71" s="116"/>
      <c r="H71" s="116">
        <v>10</v>
      </c>
      <c r="I71" s="142">
        <v>190000</v>
      </c>
      <c r="J71" s="117">
        <f>+Table3[[#This Row],[ĐƠN GIÁ ]]*Table3[[#This Row],[SỐ LƯỢNG ]]</f>
        <v>1900000</v>
      </c>
      <c r="K71" s="123">
        <f>+Table3[[#This Row],[THÀNH TIỀN ]]*10%</f>
        <v>190000</v>
      </c>
    </row>
    <row r="72" spans="1:11">
      <c r="A72" s="152"/>
      <c r="B72" s="115"/>
      <c r="C72" s="115"/>
      <c r="D72" s="115"/>
      <c r="E72" s="115"/>
      <c r="F72" s="115"/>
      <c r="G72" s="153"/>
      <c r="H72" s="153"/>
      <c r="I72" s="154"/>
      <c r="J72" s="155">
        <f>SUBTOTAL(109,[[THÀNH TIỀN ]])</f>
        <v>71666600</v>
      </c>
      <c r="K72" s="155">
        <f>SUBTOTAL(109,[LTX])</f>
        <v>7166660</v>
      </c>
    </row>
    <row r="74" spans="1:11">
      <c r="C74" s="329" t="s">
        <v>34</v>
      </c>
      <c r="D74" s="330"/>
      <c r="E74" s="330"/>
      <c r="F74" s="330"/>
      <c r="G74" s="331"/>
      <c r="H74" s="19"/>
      <c r="I74" s="14">
        <f>+Table3[[#Totals],[THÀNH TIỀN ]]</f>
        <v>71666600</v>
      </c>
    </row>
    <row r="75" spans="1:11">
      <c r="C75" s="329" t="s">
        <v>35</v>
      </c>
      <c r="D75" s="330"/>
      <c r="E75" s="330"/>
      <c r="F75" s="330"/>
      <c r="G75" s="331"/>
      <c r="H75" s="19"/>
      <c r="I75" s="14">
        <f>+Table3[[#Totals],[LTX]]</f>
        <v>7166660</v>
      </c>
    </row>
    <row r="76" spans="1:11">
      <c r="C76" s="329" t="s">
        <v>36</v>
      </c>
      <c r="D76" s="330"/>
      <c r="E76" s="330"/>
      <c r="F76" s="330"/>
      <c r="G76" s="331"/>
      <c r="H76" s="19"/>
      <c r="I76" s="14">
        <v>1400000</v>
      </c>
    </row>
    <row r="77" spans="1:11">
      <c r="C77" s="329" t="s">
        <v>37</v>
      </c>
      <c r="D77" s="330"/>
      <c r="E77" s="330"/>
      <c r="F77" s="330"/>
      <c r="G77" s="331"/>
      <c r="H77" s="9"/>
      <c r="I77" s="14">
        <f>SUM(I75:I76)</f>
        <v>8566660</v>
      </c>
    </row>
    <row r="78" spans="1:11">
      <c r="C78" s="69" t="s">
        <v>100</v>
      </c>
      <c r="D78" s="70"/>
      <c r="E78" s="70"/>
      <c r="F78" s="70"/>
      <c r="G78" s="71"/>
      <c r="H78" s="33"/>
      <c r="I78" s="14">
        <f>+E83</f>
        <v>15800000</v>
      </c>
    </row>
    <row r="79" spans="1:11">
      <c r="C79" s="69" t="s">
        <v>111</v>
      </c>
      <c r="D79" s="70"/>
      <c r="E79" s="70"/>
      <c r="F79" s="70"/>
      <c r="G79" s="71"/>
      <c r="H79" s="33"/>
      <c r="I79" s="14"/>
    </row>
    <row r="80" spans="1:11">
      <c r="C80" s="69" t="s">
        <v>112</v>
      </c>
      <c r="D80" s="70"/>
      <c r="E80" s="70"/>
      <c r="F80" s="70"/>
      <c r="G80" s="71"/>
      <c r="H80" s="33"/>
      <c r="I80" s="14">
        <f>+I74-I75-I76-I77-I78-I79</f>
        <v>38733280</v>
      </c>
    </row>
    <row r="82" spans="3:7">
      <c r="C82" s="2" t="s">
        <v>169</v>
      </c>
    </row>
    <row r="83" spans="3:7">
      <c r="C83" s="46" t="s">
        <v>191</v>
      </c>
      <c r="D83" s="47" t="s">
        <v>89</v>
      </c>
      <c r="E83" s="325">
        <v>15800000</v>
      </c>
      <c r="F83" s="326"/>
      <c r="G83" s="327"/>
    </row>
  </sheetData>
  <mergeCells count="6">
    <mergeCell ref="E83:G83"/>
    <mergeCell ref="A5:J7"/>
    <mergeCell ref="C74:G74"/>
    <mergeCell ref="C75:G75"/>
    <mergeCell ref="C76:G76"/>
    <mergeCell ref="C77:G77"/>
  </mergeCells>
  <pageMargins left="0.7" right="0.7" top="0.75" bottom="0.75" header="0.3" footer="0.3"/>
  <pageSetup paperSize="9" orientation="landscape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C000"/>
  </sheetPr>
  <dimension ref="A1:L101"/>
  <sheetViews>
    <sheetView topLeftCell="A52" workbookViewId="0">
      <selection activeCell="K9" sqref="K9:K67"/>
    </sheetView>
  </sheetViews>
  <sheetFormatPr defaultRowHeight="15"/>
  <cols>
    <col min="1" max="1" width="12.7109375" style="26" customWidth="1"/>
    <col min="2" max="2" width="7.28515625" style="26" customWidth="1"/>
    <col min="3" max="3" width="18.42578125" style="26" customWidth="1"/>
    <col min="4" max="4" width="21.140625" style="26" customWidth="1"/>
    <col min="5" max="5" width="7.42578125" style="26" customWidth="1"/>
    <col min="6" max="6" width="9.140625" style="26"/>
    <col min="7" max="7" width="7.28515625" style="26" customWidth="1"/>
    <col min="8" max="8" width="9.140625" style="26"/>
    <col min="9" max="9" width="12.140625" style="26" customWidth="1"/>
    <col min="10" max="10" width="11.42578125" style="228" customWidth="1"/>
    <col min="11" max="11" width="15.140625" style="228" customWidth="1"/>
    <col min="12" max="12" width="13.5703125" customWidth="1"/>
  </cols>
  <sheetData>
    <row r="1" spans="1:12">
      <c r="A1" s="146" t="s">
        <v>0</v>
      </c>
      <c r="B1" s="146"/>
      <c r="C1" s="146"/>
      <c r="D1" s="147"/>
      <c r="E1" s="147"/>
      <c r="F1" s="147"/>
      <c r="G1" s="147"/>
      <c r="H1" s="148"/>
      <c r="I1" s="149"/>
      <c r="J1" s="150"/>
      <c r="K1" s="150"/>
    </row>
    <row r="2" spans="1:12">
      <c r="A2" s="146" t="s">
        <v>1</v>
      </c>
      <c r="B2" s="146"/>
      <c r="C2" s="146"/>
      <c r="D2" s="147"/>
      <c r="E2" s="147"/>
      <c r="F2" s="147"/>
      <c r="G2" s="147"/>
      <c r="H2" s="148"/>
      <c r="I2" s="149"/>
      <c r="J2" s="150"/>
      <c r="K2" s="150"/>
    </row>
    <row r="3" spans="1:12">
      <c r="A3" s="146" t="s">
        <v>2</v>
      </c>
      <c r="B3" s="146"/>
      <c r="C3" s="146"/>
      <c r="D3" s="147"/>
      <c r="E3" s="147"/>
      <c r="F3" s="147"/>
      <c r="G3" s="147"/>
      <c r="H3" s="148"/>
      <c r="I3" s="149"/>
      <c r="J3" s="150"/>
      <c r="K3" s="150"/>
    </row>
    <row r="4" spans="1:12">
      <c r="A4" s="146" t="s">
        <v>3</v>
      </c>
      <c r="B4" s="146"/>
      <c r="C4" s="146"/>
      <c r="D4" s="147"/>
      <c r="E4" s="147"/>
      <c r="F4" s="147"/>
      <c r="G4" s="147"/>
      <c r="H4" s="148"/>
      <c r="I4" s="149"/>
      <c r="J4" s="150"/>
      <c r="K4" s="150"/>
    </row>
    <row r="5" spans="1:12">
      <c r="A5" s="316" t="s">
        <v>497</v>
      </c>
      <c r="B5" s="316"/>
      <c r="C5" s="316"/>
      <c r="D5" s="316"/>
      <c r="E5" s="316"/>
      <c r="F5" s="316"/>
      <c r="G5" s="316"/>
      <c r="H5" s="316"/>
      <c r="I5" s="316"/>
      <c r="J5" s="316"/>
      <c r="K5" s="316"/>
    </row>
    <row r="6" spans="1:12">
      <c r="A6" s="316"/>
      <c r="B6" s="316"/>
      <c r="C6" s="316"/>
      <c r="D6" s="316"/>
      <c r="E6" s="316"/>
      <c r="F6" s="316"/>
      <c r="G6" s="316"/>
      <c r="H6" s="316"/>
      <c r="I6" s="316"/>
      <c r="J6" s="316"/>
      <c r="K6" s="316"/>
    </row>
    <row r="7" spans="1:12" ht="6" customHeight="1">
      <c r="A7" s="316"/>
      <c r="B7" s="316"/>
      <c r="C7" s="316"/>
      <c r="D7" s="316"/>
      <c r="E7" s="316"/>
      <c r="F7" s="316"/>
      <c r="G7" s="316"/>
      <c r="H7" s="316"/>
      <c r="I7" s="316"/>
      <c r="J7" s="316"/>
      <c r="K7" s="316"/>
    </row>
    <row r="8" spans="1:12" s="57" customFormat="1">
      <c r="A8" s="136" t="s">
        <v>5</v>
      </c>
      <c r="B8" s="136" t="s">
        <v>6</v>
      </c>
      <c r="C8" s="136" t="s">
        <v>7</v>
      </c>
      <c r="D8" s="137" t="s">
        <v>8</v>
      </c>
      <c r="E8" s="136" t="s">
        <v>9</v>
      </c>
      <c r="F8" s="136" t="s">
        <v>10</v>
      </c>
      <c r="G8" s="136" t="s">
        <v>11</v>
      </c>
      <c r="H8" s="143" t="s">
        <v>12</v>
      </c>
      <c r="I8" s="137" t="s">
        <v>13</v>
      </c>
      <c r="J8" s="137" t="s">
        <v>14</v>
      </c>
      <c r="K8" s="137" t="s">
        <v>15</v>
      </c>
      <c r="L8" s="290" t="s">
        <v>16</v>
      </c>
    </row>
    <row r="9" spans="1:12" s="44" customFormat="1">
      <c r="A9" s="68">
        <v>43160</v>
      </c>
      <c r="B9" s="58">
        <v>2556</v>
      </c>
      <c r="C9" s="58" t="s">
        <v>231</v>
      </c>
      <c r="D9" s="124" t="s">
        <v>240</v>
      </c>
      <c r="E9" s="58"/>
      <c r="F9" s="58" t="s">
        <v>250</v>
      </c>
      <c r="G9" s="124"/>
      <c r="H9" s="58">
        <v>15.59</v>
      </c>
      <c r="I9" s="89">
        <v>1</v>
      </c>
      <c r="J9" s="185">
        <v>1200000</v>
      </c>
      <c r="K9" s="185">
        <f>Table4[[#This Row],[ĐƠN GIÁ ]]*Table4[[#This Row],[SỐ LƯỢNG ]]</f>
        <v>1200000</v>
      </c>
      <c r="L9" s="280">
        <f>Table4[[#This Row],[THÀNH TIỀN ]]*10%</f>
        <v>120000</v>
      </c>
    </row>
    <row r="10" spans="1:12" s="44" customFormat="1">
      <c r="A10" s="68">
        <v>43160</v>
      </c>
      <c r="B10" s="58">
        <v>2556</v>
      </c>
      <c r="C10" s="58" t="s">
        <v>348</v>
      </c>
      <c r="D10" s="58" t="s">
        <v>237</v>
      </c>
      <c r="E10" s="58" t="s">
        <v>238</v>
      </c>
      <c r="F10" s="58"/>
      <c r="G10" s="58"/>
      <c r="H10" s="58"/>
      <c r="I10" s="89">
        <v>6</v>
      </c>
      <c r="J10" s="185">
        <v>150000</v>
      </c>
      <c r="K10" s="280">
        <f>Table4[[#This Row],[ĐƠN GIÁ ]]*Table4[[#This Row],[SỐ LƯỢNG ]]</f>
        <v>900000</v>
      </c>
      <c r="L10" s="280">
        <f>Table4[[#This Row],[THÀNH TIỀN ]]*10%</f>
        <v>90000</v>
      </c>
    </row>
    <row r="11" spans="1:12" s="44" customFormat="1">
      <c r="A11" s="68">
        <v>43161</v>
      </c>
      <c r="B11" s="58">
        <v>2556</v>
      </c>
      <c r="C11" s="58" t="s">
        <v>348</v>
      </c>
      <c r="D11" s="58" t="s">
        <v>237</v>
      </c>
      <c r="E11" s="58" t="s">
        <v>238</v>
      </c>
      <c r="F11" s="58"/>
      <c r="G11" s="58"/>
      <c r="H11" s="58"/>
      <c r="I11" s="89">
        <v>15</v>
      </c>
      <c r="J11" s="280">
        <v>150000</v>
      </c>
      <c r="K11" s="280">
        <f>Table4[[#This Row],[ĐƠN GIÁ ]]*Table4[[#This Row],[SỐ LƯỢNG ]]</f>
        <v>2250000</v>
      </c>
      <c r="L11" s="280">
        <f>Table4[[#This Row],[THÀNH TIỀN ]]*10%</f>
        <v>225000</v>
      </c>
    </row>
    <row r="12" spans="1:12" s="44" customFormat="1">
      <c r="A12" s="68">
        <v>43162</v>
      </c>
      <c r="B12" s="58">
        <v>2556</v>
      </c>
      <c r="C12" s="58" t="s">
        <v>348</v>
      </c>
      <c r="D12" s="58" t="s">
        <v>237</v>
      </c>
      <c r="E12" s="58" t="s">
        <v>238</v>
      </c>
      <c r="F12" s="58"/>
      <c r="G12" s="58"/>
      <c r="H12" s="58"/>
      <c r="I12" s="89">
        <v>23</v>
      </c>
      <c r="J12" s="280">
        <v>150000</v>
      </c>
      <c r="K12" s="280">
        <f>Table4[[#This Row],[ĐƠN GIÁ ]]*Table4[[#This Row],[SỐ LƯỢNG ]]</f>
        <v>3450000</v>
      </c>
      <c r="L12" s="280">
        <f>Table4[[#This Row],[THÀNH TIỀN ]]*10%</f>
        <v>345000</v>
      </c>
    </row>
    <row r="13" spans="1:12" s="44" customFormat="1">
      <c r="A13" s="68">
        <v>43163</v>
      </c>
      <c r="B13" s="58">
        <v>2556</v>
      </c>
      <c r="C13" s="58" t="s">
        <v>348</v>
      </c>
      <c r="D13" s="58" t="s">
        <v>246</v>
      </c>
      <c r="E13" s="58" t="s">
        <v>238</v>
      </c>
      <c r="F13" s="58"/>
      <c r="G13" s="58"/>
      <c r="H13" s="58"/>
      <c r="I13" s="89">
        <v>2</v>
      </c>
      <c r="J13" s="185">
        <v>190000</v>
      </c>
      <c r="K13" s="280">
        <f>Table4[[#This Row],[ĐƠN GIÁ ]]*Table4[[#This Row],[SỐ LƯỢNG ]]</f>
        <v>380000</v>
      </c>
      <c r="L13" s="280">
        <f>Table4[[#This Row],[THÀNH TIỀN ]]*10%</f>
        <v>38000</v>
      </c>
    </row>
    <row r="14" spans="1:12" s="44" customFormat="1">
      <c r="A14" s="68">
        <v>43163</v>
      </c>
      <c r="B14" s="58">
        <v>2556</v>
      </c>
      <c r="C14" s="58" t="s">
        <v>348</v>
      </c>
      <c r="D14" s="58" t="s">
        <v>385</v>
      </c>
      <c r="E14" s="58" t="s">
        <v>238</v>
      </c>
      <c r="F14" s="58"/>
      <c r="G14" s="58"/>
      <c r="H14" s="58"/>
      <c r="I14" s="89">
        <v>10</v>
      </c>
      <c r="J14" s="185">
        <v>180000</v>
      </c>
      <c r="K14" s="280">
        <f>Table4[[#This Row],[ĐƠN GIÁ ]]*Table4[[#This Row],[SỐ LƯỢNG ]]</f>
        <v>1800000</v>
      </c>
      <c r="L14" s="280">
        <f>Table4[[#This Row],[THÀNH TIỀN ]]*10%</f>
        <v>180000</v>
      </c>
    </row>
    <row r="15" spans="1:12" s="44" customFormat="1">
      <c r="A15" s="68">
        <v>43163</v>
      </c>
      <c r="B15" s="58">
        <v>2556</v>
      </c>
      <c r="C15" s="58" t="s">
        <v>348</v>
      </c>
      <c r="D15" s="58" t="s">
        <v>386</v>
      </c>
      <c r="E15" s="58" t="s">
        <v>238</v>
      </c>
      <c r="F15" s="58"/>
      <c r="G15" s="58"/>
      <c r="H15" s="58"/>
      <c r="I15" s="89">
        <v>4</v>
      </c>
      <c r="J15" s="185">
        <v>350000</v>
      </c>
      <c r="K15" s="280">
        <f>Table4[[#This Row],[ĐƠN GIÁ ]]*Table4[[#This Row],[SỐ LƯỢNG ]]</f>
        <v>1400000</v>
      </c>
      <c r="L15" s="280">
        <f>Table4[[#This Row],[THÀNH TIỀN ]]*10%</f>
        <v>140000</v>
      </c>
    </row>
    <row r="16" spans="1:12" s="44" customFormat="1">
      <c r="A16" s="68">
        <v>43163</v>
      </c>
      <c r="B16" s="58">
        <v>2556</v>
      </c>
      <c r="C16" s="58" t="s">
        <v>231</v>
      </c>
      <c r="D16" s="58" t="s">
        <v>245</v>
      </c>
      <c r="E16" s="58"/>
      <c r="F16" s="58" t="s">
        <v>235</v>
      </c>
      <c r="G16" s="58"/>
      <c r="H16" s="140">
        <v>14.3</v>
      </c>
      <c r="I16" s="89">
        <v>1</v>
      </c>
      <c r="J16" s="185">
        <v>1200000</v>
      </c>
      <c r="K16" s="280">
        <f>Table4[[#This Row],[ĐƠN GIÁ ]]*Table4[[#This Row],[SỐ LƯỢNG ]]</f>
        <v>1200000</v>
      </c>
      <c r="L16" s="280">
        <f>Table4[[#This Row],[THÀNH TIỀN ]]*10%</f>
        <v>120000</v>
      </c>
    </row>
    <row r="17" spans="1:12" s="44" customFormat="1">
      <c r="A17" s="68">
        <v>43164</v>
      </c>
      <c r="B17" s="58">
        <v>2556</v>
      </c>
      <c r="C17" s="58" t="s">
        <v>231</v>
      </c>
      <c r="D17" s="58" t="s">
        <v>245</v>
      </c>
      <c r="E17" s="58"/>
      <c r="F17" s="58" t="s">
        <v>235</v>
      </c>
      <c r="G17" s="58"/>
      <c r="H17" s="140">
        <v>14.5</v>
      </c>
      <c r="I17" s="89">
        <v>1</v>
      </c>
      <c r="J17" s="185">
        <v>1200000</v>
      </c>
      <c r="K17" s="280">
        <f>Table4[[#This Row],[ĐƠN GIÁ ]]*Table4[[#This Row],[SỐ LƯỢNG ]]</f>
        <v>1200000</v>
      </c>
      <c r="L17" s="280">
        <f>Table4[[#This Row],[THÀNH TIỀN ]]*10%</f>
        <v>120000</v>
      </c>
    </row>
    <row r="18" spans="1:12" s="44" customFormat="1">
      <c r="A18" s="68">
        <v>43164</v>
      </c>
      <c r="B18" s="58">
        <v>2556</v>
      </c>
      <c r="C18" s="58" t="s">
        <v>348</v>
      </c>
      <c r="D18" s="58" t="s">
        <v>386</v>
      </c>
      <c r="E18" s="58" t="s">
        <v>238</v>
      </c>
      <c r="F18" s="58"/>
      <c r="G18" s="58"/>
      <c r="H18" s="58"/>
      <c r="I18" s="89">
        <v>4</v>
      </c>
      <c r="J18" s="185">
        <v>350000</v>
      </c>
      <c r="K18" s="280">
        <f>Table4[[#This Row],[ĐƠN GIÁ ]]*Table4[[#This Row],[SỐ LƯỢNG ]]</f>
        <v>1400000</v>
      </c>
      <c r="L18" s="280">
        <f>Table4[[#This Row],[THÀNH TIỀN ]]*10%</f>
        <v>140000</v>
      </c>
    </row>
    <row r="19" spans="1:12" s="44" customFormat="1">
      <c r="A19" s="68">
        <v>43164</v>
      </c>
      <c r="B19" s="58">
        <v>2556</v>
      </c>
      <c r="C19" s="58" t="s">
        <v>348</v>
      </c>
      <c r="D19" s="58" t="s">
        <v>232</v>
      </c>
      <c r="E19" s="58" t="s">
        <v>238</v>
      </c>
      <c r="F19" s="58"/>
      <c r="G19" s="58"/>
      <c r="H19" s="58"/>
      <c r="I19" s="89">
        <v>2</v>
      </c>
      <c r="J19" s="185">
        <v>150000</v>
      </c>
      <c r="K19" s="280">
        <f>Table4[[#This Row],[ĐƠN GIÁ ]]*Table4[[#This Row],[SỐ LƯỢNG ]]</f>
        <v>300000</v>
      </c>
      <c r="L19" s="280">
        <f>Table4[[#This Row],[THÀNH TIỀN ]]*10%</f>
        <v>30000</v>
      </c>
    </row>
    <row r="20" spans="1:12" s="44" customFormat="1">
      <c r="A20" s="68">
        <v>43164</v>
      </c>
      <c r="B20" s="58">
        <v>2556</v>
      </c>
      <c r="C20" s="58" t="s">
        <v>348</v>
      </c>
      <c r="D20" s="58" t="s">
        <v>237</v>
      </c>
      <c r="E20" s="58" t="s">
        <v>238</v>
      </c>
      <c r="F20" s="58"/>
      <c r="G20" s="58"/>
      <c r="H20" s="58"/>
      <c r="I20" s="89">
        <v>9</v>
      </c>
      <c r="J20" s="280">
        <v>150000</v>
      </c>
      <c r="K20" s="280">
        <f>Table4[[#This Row],[ĐƠN GIÁ ]]*Table4[[#This Row],[SỐ LƯỢNG ]]</f>
        <v>1350000</v>
      </c>
      <c r="L20" s="280">
        <f>Table4[[#This Row],[THÀNH TIỀN ]]*10%</f>
        <v>135000</v>
      </c>
    </row>
    <row r="21" spans="1:12" s="44" customFormat="1">
      <c r="A21" s="68">
        <v>43165</v>
      </c>
      <c r="B21" s="58">
        <v>2556</v>
      </c>
      <c r="C21" s="58" t="s">
        <v>348</v>
      </c>
      <c r="D21" s="58" t="s">
        <v>246</v>
      </c>
      <c r="E21" s="58" t="s">
        <v>238</v>
      </c>
      <c r="F21" s="58"/>
      <c r="G21" s="58"/>
      <c r="H21" s="58"/>
      <c r="I21" s="89">
        <v>7</v>
      </c>
      <c r="J21" s="185">
        <v>190000</v>
      </c>
      <c r="K21" s="280">
        <f>Table4[[#This Row],[ĐƠN GIÁ ]]*Table4[[#This Row],[SỐ LƯỢNG ]]</f>
        <v>1330000</v>
      </c>
      <c r="L21" s="280">
        <f>Table4[[#This Row],[THÀNH TIỀN ]]*10%</f>
        <v>133000</v>
      </c>
    </row>
    <row r="22" spans="1:12" s="44" customFormat="1">
      <c r="A22" s="68">
        <v>43165</v>
      </c>
      <c r="B22" s="58">
        <v>2556</v>
      </c>
      <c r="C22" s="58" t="s">
        <v>348</v>
      </c>
      <c r="D22" s="58" t="s">
        <v>232</v>
      </c>
      <c r="E22" s="58" t="s">
        <v>238</v>
      </c>
      <c r="F22" s="58"/>
      <c r="G22" s="58"/>
      <c r="H22" s="58"/>
      <c r="I22" s="89">
        <v>9</v>
      </c>
      <c r="J22" s="185">
        <v>150000</v>
      </c>
      <c r="K22" s="280">
        <f>Table4[[#This Row],[ĐƠN GIÁ ]]*Table4[[#This Row],[SỐ LƯỢNG ]]</f>
        <v>1350000</v>
      </c>
      <c r="L22" s="280">
        <f>Table4[[#This Row],[THÀNH TIỀN ]]*10%</f>
        <v>135000</v>
      </c>
    </row>
    <row r="23" spans="1:12" s="44" customFormat="1">
      <c r="A23" s="68">
        <v>43165</v>
      </c>
      <c r="B23" s="58">
        <v>2556</v>
      </c>
      <c r="C23" s="58" t="s">
        <v>231</v>
      </c>
      <c r="D23" s="58" t="s">
        <v>232</v>
      </c>
      <c r="E23" s="58"/>
      <c r="F23" s="58" t="s">
        <v>233</v>
      </c>
      <c r="G23" s="58"/>
      <c r="H23" s="58">
        <v>12.87</v>
      </c>
      <c r="I23" s="89">
        <v>1</v>
      </c>
      <c r="J23" s="185">
        <v>1000000</v>
      </c>
      <c r="K23" s="280">
        <f>Table4[[#This Row],[ĐƠN GIÁ ]]*Table4[[#This Row],[SỐ LƯỢNG ]]</f>
        <v>1000000</v>
      </c>
      <c r="L23" s="280">
        <f>Table4[[#This Row],[THÀNH TIỀN ]]*10%</f>
        <v>100000</v>
      </c>
    </row>
    <row r="24" spans="1:12" s="44" customFormat="1">
      <c r="A24" s="68">
        <v>43166</v>
      </c>
      <c r="B24" s="58">
        <v>2556</v>
      </c>
      <c r="C24" s="58" t="s">
        <v>243</v>
      </c>
      <c r="D24" s="58" t="s">
        <v>246</v>
      </c>
      <c r="E24" s="58" t="s">
        <v>238</v>
      </c>
      <c r="F24" s="58"/>
      <c r="G24" s="58"/>
      <c r="H24" s="58"/>
      <c r="I24" s="89">
        <v>19</v>
      </c>
      <c r="J24" s="185">
        <v>180000</v>
      </c>
      <c r="K24" s="280">
        <f>Table4[[#This Row],[ĐƠN GIÁ ]]*Table4[[#This Row],[SỐ LƯỢNG ]]</f>
        <v>3420000</v>
      </c>
      <c r="L24" s="280">
        <f>Table4[[#This Row],[THÀNH TIỀN ]]*10%</f>
        <v>342000</v>
      </c>
    </row>
    <row r="25" spans="1:12" s="44" customFormat="1">
      <c r="A25" s="68">
        <v>43167</v>
      </c>
      <c r="B25" s="58">
        <v>2556</v>
      </c>
      <c r="C25" s="58" t="s">
        <v>243</v>
      </c>
      <c r="D25" s="58" t="s">
        <v>246</v>
      </c>
      <c r="E25" s="58" t="s">
        <v>238</v>
      </c>
      <c r="F25" s="58"/>
      <c r="G25" s="58"/>
      <c r="H25" s="58"/>
      <c r="I25" s="89">
        <v>17</v>
      </c>
      <c r="J25" s="185">
        <v>180000</v>
      </c>
      <c r="K25" s="280">
        <f>Table4[[#This Row],[ĐƠN GIÁ ]]*Table4[[#This Row],[SỐ LƯỢNG ]]</f>
        <v>3060000</v>
      </c>
      <c r="L25" s="280">
        <f>Table4[[#This Row],[THÀNH TIỀN ]]*10%</f>
        <v>306000</v>
      </c>
    </row>
    <row r="26" spans="1:12" s="44" customFormat="1">
      <c r="A26" s="68">
        <v>43167</v>
      </c>
      <c r="B26" s="58">
        <v>2556</v>
      </c>
      <c r="C26" s="58" t="s">
        <v>251</v>
      </c>
      <c r="D26" s="58" t="s">
        <v>264</v>
      </c>
      <c r="E26" s="58" t="s">
        <v>238</v>
      </c>
      <c r="F26" s="58"/>
      <c r="G26" s="58"/>
      <c r="H26" s="58"/>
      <c r="I26" s="89">
        <v>1</v>
      </c>
      <c r="J26" s="185">
        <v>220000</v>
      </c>
      <c r="K26" s="280">
        <f>Table4[[#This Row],[ĐƠN GIÁ ]]*Table4[[#This Row],[SỐ LƯỢNG ]]</f>
        <v>220000</v>
      </c>
      <c r="L26" s="280">
        <f>Table4[[#This Row],[THÀNH TIỀN ]]*10%</f>
        <v>22000</v>
      </c>
    </row>
    <row r="27" spans="1:12" s="44" customFormat="1">
      <c r="A27" s="68">
        <v>43171</v>
      </c>
      <c r="B27" s="58">
        <v>2556</v>
      </c>
      <c r="C27" s="58" t="s">
        <v>231</v>
      </c>
      <c r="D27" s="58" t="s">
        <v>245</v>
      </c>
      <c r="E27" s="58"/>
      <c r="F27" s="58" t="s">
        <v>235</v>
      </c>
      <c r="G27" s="58"/>
      <c r="H27" s="140">
        <v>14.3</v>
      </c>
      <c r="I27" s="89">
        <v>1</v>
      </c>
      <c r="J27" s="185">
        <v>1200000</v>
      </c>
      <c r="K27" s="280">
        <f>Table4[[#This Row],[ĐƠN GIÁ ]]*Table4[[#This Row],[SỐ LƯỢNG ]]</f>
        <v>1200000</v>
      </c>
      <c r="L27" s="280">
        <f>Table4[[#This Row],[THÀNH TIỀN ]]*10%</f>
        <v>120000</v>
      </c>
    </row>
    <row r="28" spans="1:12" s="44" customFormat="1">
      <c r="A28" s="68">
        <v>43172</v>
      </c>
      <c r="B28" s="58">
        <v>2556</v>
      </c>
      <c r="C28" s="58" t="s">
        <v>258</v>
      </c>
      <c r="D28" s="58" t="s">
        <v>260</v>
      </c>
      <c r="E28" s="58" t="s">
        <v>238</v>
      </c>
      <c r="F28" s="58"/>
      <c r="G28" s="58"/>
      <c r="H28" s="58"/>
      <c r="I28" s="89">
        <v>9</v>
      </c>
      <c r="J28" s="185">
        <v>230000</v>
      </c>
      <c r="K28" s="280">
        <f>Table4[[#This Row],[ĐƠN GIÁ ]]*Table4[[#This Row],[SỐ LƯỢNG ]]</f>
        <v>2070000</v>
      </c>
      <c r="L28" s="280">
        <f>Table4[[#This Row],[THÀNH TIỀN ]]*10%</f>
        <v>207000</v>
      </c>
    </row>
    <row r="29" spans="1:12" s="44" customFormat="1">
      <c r="A29" s="68">
        <v>43172</v>
      </c>
      <c r="B29" s="58">
        <v>2556</v>
      </c>
      <c r="C29" s="58" t="s">
        <v>276</v>
      </c>
      <c r="D29" s="58" t="s">
        <v>277</v>
      </c>
      <c r="E29" s="58"/>
      <c r="F29" s="58" t="s">
        <v>250</v>
      </c>
      <c r="G29" s="58"/>
      <c r="H29" s="140">
        <v>14.47</v>
      </c>
      <c r="I29" s="89">
        <v>1</v>
      </c>
      <c r="J29" s="185">
        <v>80000</v>
      </c>
      <c r="K29" s="280">
        <f>Table4[[#This Row],[ĐƠN GIÁ ]]*Table4[[#This Row],[SỐ LƯỢNG ]]</f>
        <v>80000</v>
      </c>
      <c r="L29" s="280">
        <f>Table4[[#This Row],[THÀNH TIỀN ]]*10%</f>
        <v>8000</v>
      </c>
    </row>
    <row r="30" spans="1:12" s="44" customFormat="1">
      <c r="A30" s="68">
        <v>43172</v>
      </c>
      <c r="B30" s="58">
        <v>2556</v>
      </c>
      <c r="C30" s="58" t="s">
        <v>276</v>
      </c>
      <c r="D30" s="58" t="s">
        <v>277</v>
      </c>
      <c r="E30" s="58"/>
      <c r="F30" s="58" t="s">
        <v>235</v>
      </c>
      <c r="G30" s="58"/>
      <c r="H30" s="140">
        <v>14.16</v>
      </c>
      <c r="I30" s="89">
        <v>1</v>
      </c>
      <c r="J30" s="185">
        <v>80000</v>
      </c>
      <c r="K30" s="280">
        <f>Table4[[#This Row],[ĐƠN GIÁ ]]*Table4[[#This Row],[SỐ LƯỢNG ]]</f>
        <v>80000</v>
      </c>
      <c r="L30" s="280">
        <f>Table4[[#This Row],[THÀNH TIỀN ]]*10%</f>
        <v>8000</v>
      </c>
    </row>
    <row r="31" spans="1:12" s="44" customFormat="1">
      <c r="A31" s="68">
        <v>43173</v>
      </c>
      <c r="B31" s="58">
        <v>2556</v>
      </c>
      <c r="C31" s="58" t="s">
        <v>253</v>
      </c>
      <c r="D31" s="58" t="s">
        <v>387</v>
      </c>
      <c r="E31" s="58" t="s">
        <v>238</v>
      </c>
      <c r="F31" s="58"/>
      <c r="G31" s="58"/>
      <c r="H31" s="58"/>
      <c r="I31" s="89">
        <v>2</v>
      </c>
      <c r="J31" s="185">
        <v>350000</v>
      </c>
      <c r="K31" s="280">
        <f>Table4[[#This Row],[ĐƠN GIÁ ]]*Table4[[#This Row],[SỐ LƯỢNG ]]</f>
        <v>700000</v>
      </c>
      <c r="L31" s="280">
        <f>Table4[[#This Row],[THÀNH TIỀN ]]*10%</f>
        <v>70000</v>
      </c>
    </row>
    <row r="32" spans="1:12" s="44" customFormat="1">
      <c r="A32" s="68">
        <v>43173</v>
      </c>
      <c r="B32" s="58">
        <v>2556</v>
      </c>
      <c r="C32" s="58" t="s">
        <v>243</v>
      </c>
      <c r="D32" s="58" t="s">
        <v>264</v>
      </c>
      <c r="E32" s="58" t="s">
        <v>238</v>
      </c>
      <c r="F32" s="58"/>
      <c r="G32" s="58"/>
      <c r="H32" s="58"/>
      <c r="I32" s="89">
        <v>11</v>
      </c>
      <c r="J32" s="185">
        <v>200000</v>
      </c>
      <c r="K32" s="280">
        <f>Table4[[#This Row],[ĐƠN GIÁ ]]*Table4[[#This Row],[SỐ LƯỢNG ]]</f>
        <v>2200000</v>
      </c>
      <c r="L32" s="280">
        <f>Table4[[#This Row],[THÀNH TIỀN ]]*10%</f>
        <v>220000</v>
      </c>
    </row>
    <row r="33" spans="1:12" s="44" customFormat="1">
      <c r="A33" s="68">
        <v>43173</v>
      </c>
      <c r="B33" s="58">
        <v>2556</v>
      </c>
      <c r="C33" s="58" t="s">
        <v>253</v>
      </c>
      <c r="D33" s="58" t="s">
        <v>260</v>
      </c>
      <c r="E33" s="58" t="s">
        <v>238</v>
      </c>
      <c r="F33" s="58"/>
      <c r="G33" s="58"/>
      <c r="H33" s="58"/>
      <c r="I33" s="89">
        <v>1</v>
      </c>
      <c r="J33" s="185">
        <v>200000</v>
      </c>
      <c r="K33" s="280">
        <f>Table4[[#This Row],[ĐƠN GIÁ ]]*Table4[[#This Row],[SỐ LƯỢNG ]]</f>
        <v>200000</v>
      </c>
      <c r="L33" s="280">
        <f>Table4[[#This Row],[THÀNH TIỀN ]]*10%</f>
        <v>20000</v>
      </c>
    </row>
    <row r="34" spans="1:12" s="44" customFormat="1">
      <c r="A34" s="68">
        <v>43174</v>
      </c>
      <c r="B34" s="58">
        <v>2556</v>
      </c>
      <c r="C34" s="58" t="s">
        <v>243</v>
      </c>
      <c r="D34" s="58" t="s">
        <v>260</v>
      </c>
      <c r="E34" s="58" t="s">
        <v>238</v>
      </c>
      <c r="F34" s="58"/>
      <c r="G34" s="58"/>
      <c r="H34" s="58"/>
      <c r="I34" s="89">
        <v>18</v>
      </c>
      <c r="J34" s="185">
        <v>180000</v>
      </c>
      <c r="K34" s="280">
        <f>Table4[[#This Row],[ĐƠN GIÁ ]]*Table4[[#This Row],[SỐ LƯỢNG ]]</f>
        <v>3240000</v>
      </c>
      <c r="L34" s="280">
        <f>Table4[[#This Row],[THÀNH TIỀN ]]*10%</f>
        <v>324000</v>
      </c>
    </row>
    <row r="35" spans="1:12" s="44" customFormat="1">
      <c r="A35" s="68">
        <v>43174</v>
      </c>
      <c r="B35" s="58">
        <v>2556</v>
      </c>
      <c r="C35" s="58" t="s">
        <v>243</v>
      </c>
      <c r="D35" s="58" t="s">
        <v>264</v>
      </c>
      <c r="E35" s="58" t="s">
        <v>238</v>
      </c>
      <c r="F35" s="58"/>
      <c r="G35" s="58"/>
      <c r="H35" s="58"/>
      <c r="I35" s="89">
        <v>1</v>
      </c>
      <c r="J35" s="185">
        <v>200000</v>
      </c>
      <c r="K35" s="280">
        <f>Table4[[#This Row],[ĐƠN GIÁ ]]*Table4[[#This Row],[SỐ LƯỢNG ]]</f>
        <v>200000</v>
      </c>
      <c r="L35" s="280">
        <f>Table4[[#This Row],[THÀNH TIỀN ]]*10%</f>
        <v>20000</v>
      </c>
    </row>
    <row r="36" spans="1:12" s="44" customFormat="1">
      <c r="A36" s="68"/>
      <c r="B36" s="58"/>
      <c r="C36" s="58"/>
      <c r="D36" s="58"/>
      <c r="E36" s="58"/>
      <c r="F36" s="58"/>
      <c r="G36" s="58"/>
      <c r="H36" s="89"/>
      <c r="I36" s="89"/>
      <c r="J36" s="185"/>
      <c r="K36" s="280">
        <f>Table4[[#This Row],[ĐƠN GIÁ ]]*Table4[[#This Row],[SỐ LƯỢNG ]]</f>
        <v>0</v>
      </c>
      <c r="L36" s="280">
        <f>Table4[[#This Row],[THÀNH TIỀN ]]*10%</f>
        <v>0</v>
      </c>
    </row>
    <row r="37" spans="1:12" s="44" customFormat="1">
      <c r="A37" s="68">
        <v>43176</v>
      </c>
      <c r="B37" s="58">
        <v>8339</v>
      </c>
      <c r="C37" s="58" t="s">
        <v>388</v>
      </c>
      <c r="D37" s="58" t="s">
        <v>260</v>
      </c>
      <c r="E37" s="58" t="s">
        <v>238</v>
      </c>
      <c r="F37" s="58"/>
      <c r="G37" s="58"/>
      <c r="H37" s="58"/>
      <c r="I37" s="89">
        <v>5</v>
      </c>
      <c r="J37" s="185">
        <v>180000</v>
      </c>
      <c r="K37" s="280">
        <f>Table4[[#This Row],[ĐƠN GIÁ ]]*Table4[[#This Row],[SỐ LƯỢNG ]]</f>
        <v>900000</v>
      </c>
      <c r="L37" s="280">
        <f>Table4[[#This Row],[THÀNH TIỀN ]]*10%</f>
        <v>90000</v>
      </c>
    </row>
    <row r="38" spans="1:12" s="44" customFormat="1">
      <c r="A38" s="68">
        <v>43177</v>
      </c>
      <c r="B38" s="58">
        <v>8339</v>
      </c>
      <c r="C38" s="58" t="s">
        <v>388</v>
      </c>
      <c r="D38" s="58" t="s">
        <v>266</v>
      </c>
      <c r="E38" s="58" t="s">
        <v>238</v>
      </c>
      <c r="F38" s="58"/>
      <c r="G38" s="58"/>
      <c r="H38" s="58"/>
      <c r="I38" s="89">
        <v>11</v>
      </c>
      <c r="J38" s="185">
        <v>180000</v>
      </c>
      <c r="K38" s="280">
        <f>Table4[[#This Row],[ĐƠN GIÁ ]]*Table4[[#This Row],[SỐ LƯỢNG ]]</f>
        <v>1980000</v>
      </c>
      <c r="L38" s="280">
        <f>Table4[[#This Row],[THÀNH TIỀN ]]*10%</f>
        <v>198000</v>
      </c>
    </row>
    <row r="39" spans="1:12" s="44" customFormat="1">
      <c r="A39" s="68">
        <v>43181</v>
      </c>
      <c r="B39" s="58">
        <v>8339</v>
      </c>
      <c r="C39" s="58" t="s">
        <v>275</v>
      </c>
      <c r="D39" s="58" t="s">
        <v>269</v>
      </c>
      <c r="E39" s="58" t="s">
        <v>502</v>
      </c>
      <c r="F39" s="58" t="s">
        <v>502</v>
      </c>
      <c r="G39" s="58"/>
      <c r="H39" s="58"/>
      <c r="I39" s="89">
        <v>1</v>
      </c>
      <c r="J39" s="185">
        <v>250000</v>
      </c>
      <c r="K39" s="280">
        <f>Table4[[#This Row],[ĐƠN GIÁ ]]*Table4[[#This Row],[SỐ LƯỢNG ]]</f>
        <v>250000</v>
      </c>
      <c r="L39" s="280">
        <f>Table4[[#This Row],[THÀNH TIỀN ]]*10%</f>
        <v>25000</v>
      </c>
    </row>
    <row r="40" spans="1:12" s="44" customFormat="1">
      <c r="A40" s="68">
        <v>43181</v>
      </c>
      <c r="B40" s="58">
        <v>8339</v>
      </c>
      <c r="C40" s="58" t="s">
        <v>275</v>
      </c>
      <c r="D40" s="58" t="s">
        <v>269</v>
      </c>
      <c r="E40" s="58" t="s">
        <v>500</v>
      </c>
      <c r="F40" s="58" t="s">
        <v>500</v>
      </c>
      <c r="G40" s="58"/>
      <c r="H40" s="140"/>
      <c r="I40" s="89">
        <v>4</v>
      </c>
      <c r="J40" s="266">
        <v>100000</v>
      </c>
      <c r="K40" s="280">
        <f>Table4[[#This Row],[ĐƠN GIÁ ]]*Table4[[#This Row],[SỐ LƯỢNG ]]</f>
        <v>400000</v>
      </c>
      <c r="L40" s="280">
        <f>Table4[[#This Row],[THÀNH TIỀN ]]*10%</f>
        <v>40000</v>
      </c>
    </row>
    <row r="41" spans="1:12" s="44" customFormat="1">
      <c r="A41" s="68">
        <v>43182</v>
      </c>
      <c r="B41" s="58">
        <v>8339</v>
      </c>
      <c r="C41" s="58" t="s">
        <v>351</v>
      </c>
      <c r="D41" s="58" t="s">
        <v>378</v>
      </c>
      <c r="E41" s="58" t="s">
        <v>238</v>
      </c>
      <c r="F41" s="58"/>
      <c r="G41" s="58"/>
      <c r="H41" s="58"/>
      <c r="I41" s="89">
        <v>4</v>
      </c>
      <c r="J41" s="185">
        <v>180000</v>
      </c>
      <c r="K41" s="280">
        <f>Table4[[#This Row],[ĐƠN GIÁ ]]*Table4[[#This Row],[SỐ LƯỢNG ]]</f>
        <v>720000</v>
      </c>
      <c r="L41" s="280">
        <f>Table4[[#This Row],[THÀNH TIỀN ]]*10%</f>
        <v>72000</v>
      </c>
    </row>
    <row r="42" spans="1:12" s="44" customFormat="1">
      <c r="A42" s="68">
        <v>43182</v>
      </c>
      <c r="B42" s="58">
        <v>8339</v>
      </c>
      <c r="C42" s="58" t="s">
        <v>351</v>
      </c>
      <c r="D42" s="58" t="s">
        <v>260</v>
      </c>
      <c r="E42" s="58" t="s">
        <v>238</v>
      </c>
      <c r="F42" s="58"/>
      <c r="G42" s="58"/>
      <c r="H42" s="58"/>
      <c r="I42" s="89">
        <v>5</v>
      </c>
      <c r="J42" s="185">
        <v>220000</v>
      </c>
      <c r="K42" s="280">
        <f>Table4[[#This Row],[ĐƠN GIÁ ]]*Table4[[#This Row],[SỐ LƯỢNG ]]</f>
        <v>1100000</v>
      </c>
      <c r="L42" s="280">
        <f>Table4[[#This Row],[THÀNH TIỀN ]]*10%</f>
        <v>110000</v>
      </c>
    </row>
    <row r="43" spans="1:12" s="44" customFormat="1">
      <c r="A43" s="68">
        <v>43182</v>
      </c>
      <c r="B43" s="58">
        <v>8339</v>
      </c>
      <c r="C43" s="58" t="s">
        <v>389</v>
      </c>
      <c r="D43" s="58" t="s">
        <v>377</v>
      </c>
      <c r="E43" s="58" t="s">
        <v>238</v>
      </c>
      <c r="F43" s="58"/>
      <c r="G43" s="58"/>
      <c r="H43" s="119" t="s">
        <v>511</v>
      </c>
      <c r="I43" s="89">
        <v>2</v>
      </c>
      <c r="J43" s="185"/>
      <c r="K43" s="280">
        <f>Table4[[#This Row],[ĐƠN GIÁ ]]*Table4[[#This Row],[SỐ LƯỢNG ]]</f>
        <v>0</v>
      </c>
      <c r="L43" s="280">
        <f>Table4[[#This Row],[THÀNH TIỀN ]]*10%</f>
        <v>0</v>
      </c>
    </row>
    <row r="44" spans="1:12" s="44" customFormat="1">
      <c r="A44" s="68">
        <v>43183</v>
      </c>
      <c r="B44" s="58">
        <v>8339</v>
      </c>
      <c r="C44" s="58" t="s">
        <v>389</v>
      </c>
      <c r="D44" s="58" t="s">
        <v>377</v>
      </c>
      <c r="E44" s="58" t="s">
        <v>238</v>
      </c>
      <c r="F44" s="58"/>
      <c r="G44" s="58"/>
      <c r="H44" s="119" t="s">
        <v>511</v>
      </c>
      <c r="I44" s="89">
        <v>1</v>
      </c>
      <c r="J44" s="185"/>
      <c r="K44" s="280">
        <f>Table4[[#This Row],[ĐƠN GIÁ ]]*Table4[[#This Row],[SỐ LƯỢNG ]]</f>
        <v>0</v>
      </c>
      <c r="L44" s="280">
        <f>Table4[[#This Row],[THÀNH TIỀN ]]*10%</f>
        <v>0</v>
      </c>
    </row>
    <row r="45" spans="1:12" s="44" customFormat="1">
      <c r="A45" s="68">
        <v>43183</v>
      </c>
      <c r="B45" s="58">
        <v>8339</v>
      </c>
      <c r="C45" s="58" t="s">
        <v>389</v>
      </c>
      <c r="D45" s="58" t="s">
        <v>390</v>
      </c>
      <c r="E45" s="58" t="s">
        <v>238</v>
      </c>
      <c r="F45" s="58"/>
      <c r="G45" s="58"/>
      <c r="H45" s="58"/>
      <c r="I45" s="89">
        <v>3</v>
      </c>
      <c r="J45" s="185">
        <v>300000</v>
      </c>
      <c r="K45" s="280">
        <f>Table4[[#This Row],[ĐƠN GIÁ ]]*Table4[[#This Row],[SỐ LƯỢNG ]]</f>
        <v>900000</v>
      </c>
      <c r="L45" s="280">
        <f>Table4[[#This Row],[THÀNH TIỀN ]]*10%</f>
        <v>90000</v>
      </c>
    </row>
    <row r="46" spans="1:12" s="44" customFormat="1">
      <c r="A46" s="68">
        <v>43183</v>
      </c>
      <c r="B46" s="58">
        <v>8339</v>
      </c>
      <c r="C46" s="58" t="s">
        <v>389</v>
      </c>
      <c r="D46" s="58" t="s">
        <v>391</v>
      </c>
      <c r="E46" s="58" t="s">
        <v>238</v>
      </c>
      <c r="F46" s="58"/>
      <c r="G46" s="58"/>
      <c r="H46" s="58"/>
      <c r="I46" s="89">
        <v>5</v>
      </c>
      <c r="J46" s="185">
        <v>150000</v>
      </c>
      <c r="K46" s="280">
        <f>Table4[[#This Row],[ĐƠN GIÁ ]]*Table4[[#This Row],[SỐ LƯỢNG ]]</f>
        <v>750000</v>
      </c>
      <c r="L46" s="280">
        <f>Table4[[#This Row],[THÀNH TIỀN ]]*10%</f>
        <v>75000</v>
      </c>
    </row>
    <row r="47" spans="1:12" s="44" customFormat="1">
      <c r="A47" s="68">
        <v>43183</v>
      </c>
      <c r="B47" s="58">
        <v>8339</v>
      </c>
      <c r="C47" s="58" t="s">
        <v>389</v>
      </c>
      <c r="D47" s="58" t="s">
        <v>392</v>
      </c>
      <c r="E47" s="58" t="s">
        <v>238</v>
      </c>
      <c r="F47" s="58"/>
      <c r="G47" s="58"/>
      <c r="H47" s="58"/>
      <c r="I47" s="89">
        <v>4</v>
      </c>
      <c r="J47" s="185">
        <v>250000</v>
      </c>
      <c r="K47" s="280">
        <f>Table4[[#This Row],[ĐƠN GIÁ ]]*Table4[[#This Row],[SỐ LƯỢNG ]]</f>
        <v>1000000</v>
      </c>
      <c r="L47" s="280">
        <f>Table4[[#This Row],[THÀNH TIỀN ]]*10%</f>
        <v>100000</v>
      </c>
    </row>
    <row r="48" spans="1:12" s="44" customFormat="1">
      <c r="A48" s="68">
        <v>43183</v>
      </c>
      <c r="B48" s="58">
        <v>8339</v>
      </c>
      <c r="C48" s="58" t="s">
        <v>389</v>
      </c>
      <c r="D48" s="119" t="s">
        <v>354</v>
      </c>
      <c r="E48" s="58" t="s">
        <v>238</v>
      </c>
      <c r="F48" s="58"/>
      <c r="G48" s="58"/>
      <c r="H48" s="58"/>
      <c r="I48" s="89">
        <v>1</v>
      </c>
      <c r="J48" s="185"/>
      <c r="K48" s="280">
        <f>Table4[[#This Row],[ĐƠN GIÁ ]]*Table4[[#This Row],[SỐ LƯỢNG ]]</f>
        <v>0</v>
      </c>
      <c r="L48" s="280">
        <f>Table4[[#This Row],[THÀNH TIỀN ]]*10%</f>
        <v>0</v>
      </c>
    </row>
    <row r="49" spans="1:12" s="44" customFormat="1">
      <c r="A49" s="68">
        <v>43183</v>
      </c>
      <c r="B49" s="58">
        <v>8339</v>
      </c>
      <c r="C49" s="58" t="s">
        <v>389</v>
      </c>
      <c r="D49" s="58" t="s">
        <v>393</v>
      </c>
      <c r="E49" s="58" t="s">
        <v>238</v>
      </c>
      <c r="F49" s="58"/>
      <c r="G49" s="58"/>
      <c r="H49" s="58"/>
      <c r="I49" s="89">
        <v>1</v>
      </c>
      <c r="J49" s="185">
        <v>300000</v>
      </c>
      <c r="K49" s="280">
        <f>Table4[[#This Row],[ĐƠN GIÁ ]]*Table4[[#This Row],[SỐ LƯỢNG ]]</f>
        <v>300000</v>
      </c>
      <c r="L49" s="280">
        <f>Table4[[#This Row],[THÀNH TIỀN ]]*10%</f>
        <v>30000</v>
      </c>
    </row>
    <row r="50" spans="1:12" s="44" customFormat="1">
      <c r="A50" s="68">
        <v>43183</v>
      </c>
      <c r="B50" s="58">
        <v>8339</v>
      </c>
      <c r="C50" s="58" t="s">
        <v>351</v>
      </c>
      <c r="D50" s="58" t="s">
        <v>355</v>
      </c>
      <c r="E50" s="58" t="s">
        <v>238</v>
      </c>
      <c r="F50" s="58"/>
      <c r="G50" s="58"/>
      <c r="H50" s="58"/>
      <c r="I50" s="89">
        <v>2</v>
      </c>
      <c r="J50" s="185">
        <v>230000</v>
      </c>
      <c r="K50" s="280">
        <f>Table4[[#This Row],[ĐƠN GIÁ ]]*Table4[[#This Row],[SỐ LƯỢNG ]]</f>
        <v>460000</v>
      </c>
      <c r="L50" s="280">
        <f>Table4[[#This Row],[THÀNH TIỀN ]]*10%</f>
        <v>46000</v>
      </c>
    </row>
    <row r="51" spans="1:12" s="44" customFormat="1">
      <c r="A51" s="68">
        <v>43184</v>
      </c>
      <c r="B51" s="58">
        <v>8339</v>
      </c>
      <c r="C51" s="58" t="s">
        <v>343</v>
      </c>
      <c r="D51" s="58" t="s">
        <v>279</v>
      </c>
      <c r="E51" s="58" t="s">
        <v>238</v>
      </c>
      <c r="F51" s="58"/>
      <c r="G51" s="58"/>
      <c r="H51" s="58"/>
      <c r="I51" s="89">
        <v>1</v>
      </c>
      <c r="J51" s="185">
        <v>220000</v>
      </c>
      <c r="K51" s="280">
        <f>Table4[[#This Row],[ĐƠN GIÁ ]]*Table4[[#This Row],[SỐ LƯỢNG ]]</f>
        <v>220000</v>
      </c>
      <c r="L51" s="280">
        <f>Table4[[#This Row],[THÀNH TIỀN ]]*10%</f>
        <v>22000</v>
      </c>
    </row>
    <row r="52" spans="1:12" s="44" customFormat="1">
      <c r="A52" s="68">
        <v>43184</v>
      </c>
      <c r="B52" s="58">
        <v>8339</v>
      </c>
      <c r="C52" s="58" t="s">
        <v>351</v>
      </c>
      <c r="D52" s="58" t="s">
        <v>355</v>
      </c>
      <c r="E52" s="58" t="s">
        <v>238</v>
      </c>
      <c r="F52" s="58"/>
      <c r="G52" s="58"/>
      <c r="H52" s="58"/>
      <c r="I52" s="89">
        <v>3</v>
      </c>
      <c r="J52" s="185">
        <v>230000</v>
      </c>
      <c r="K52" s="280">
        <f>Table4[[#This Row],[ĐƠN GIÁ ]]*Table4[[#This Row],[SỐ LƯỢNG ]]</f>
        <v>690000</v>
      </c>
      <c r="L52" s="280">
        <f>Table4[[#This Row],[THÀNH TIỀN ]]*10%</f>
        <v>69000</v>
      </c>
    </row>
    <row r="53" spans="1:12" s="44" customFormat="1">
      <c r="A53" s="68">
        <v>43184</v>
      </c>
      <c r="B53" s="58">
        <v>8339</v>
      </c>
      <c r="C53" s="58" t="s">
        <v>351</v>
      </c>
      <c r="D53" s="58" t="s">
        <v>266</v>
      </c>
      <c r="E53" s="58" t="s">
        <v>238</v>
      </c>
      <c r="F53" s="58"/>
      <c r="G53" s="58"/>
      <c r="H53" s="58"/>
      <c r="I53" s="89">
        <v>3</v>
      </c>
      <c r="J53" s="185">
        <v>220000</v>
      </c>
      <c r="K53" s="280">
        <f>Table4[[#This Row],[ĐƠN GIÁ ]]*Table4[[#This Row],[SỐ LƯỢNG ]]</f>
        <v>660000</v>
      </c>
      <c r="L53" s="280">
        <f>Table4[[#This Row],[THÀNH TIỀN ]]*10%</f>
        <v>66000</v>
      </c>
    </row>
    <row r="54" spans="1:12" s="44" customFormat="1">
      <c r="A54" s="68">
        <v>43184</v>
      </c>
      <c r="B54" s="58">
        <v>8339</v>
      </c>
      <c r="C54" s="58" t="s">
        <v>243</v>
      </c>
      <c r="D54" s="58" t="s">
        <v>266</v>
      </c>
      <c r="E54" s="58" t="s">
        <v>238</v>
      </c>
      <c r="F54" s="58"/>
      <c r="G54" s="58"/>
      <c r="H54" s="58"/>
      <c r="I54" s="89">
        <v>4</v>
      </c>
      <c r="J54" s="185">
        <v>180000</v>
      </c>
      <c r="K54" s="280">
        <f>Table4[[#This Row],[ĐƠN GIÁ ]]*Table4[[#This Row],[SỐ LƯỢNG ]]</f>
        <v>720000</v>
      </c>
      <c r="L54" s="280">
        <f>Table4[[#This Row],[THÀNH TIỀN ]]*10%</f>
        <v>72000</v>
      </c>
    </row>
    <row r="55" spans="1:12" s="44" customFormat="1">
      <c r="A55" s="68">
        <v>43185</v>
      </c>
      <c r="B55" s="58">
        <v>8339</v>
      </c>
      <c r="C55" s="58" t="s">
        <v>394</v>
      </c>
      <c r="D55" s="58" t="s">
        <v>266</v>
      </c>
      <c r="E55" s="58" t="s">
        <v>238</v>
      </c>
      <c r="F55" s="58"/>
      <c r="G55" s="58"/>
      <c r="H55" s="58"/>
      <c r="I55" s="89">
        <v>15</v>
      </c>
      <c r="J55" s="185">
        <v>190000</v>
      </c>
      <c r="K55" s="280">
        <f>Table4[[#This Row],[ĐƠN GIÁ ]]*Table4[[#This Row],[SỐ LƯỢNG ]]</f>
        <v>2850000</v>
      </c>
      <c r="L55" s="280">
        <f>Table4[[#This Row],[THÀNH TIỀN ]]*10%</f>
        <v>285000</v>
      </c>
    </row>
    <row r="56" spans="1:12" s="44" customFormat="1">
      <c r="A56" s="68">
        <v>43186</v>
      </c>
      <c r="B56" s="58">
        <v>8339</v>
      </c>
      <c r="C56" s="58" t="s">
        <v>394</v>
      </c>
      <c r="D56" s="58" t="s">
        <v>350</v>
      </c>
      <c r="E56" s="58" t="s">
        <v>238</v>
      </c>
      <c r="F56" s="58"/>
      <c r="G56" s="58"/>
      <c r="H56" s="58"/>
      <c r="I56" s="89">
        <v>12</v>
      </c>
      <c r="J56" s="185">
        <v>190000</v>
      </c>
      <c r="K56" s="280">
        <f>Table4[[#This Row],[ĐƠN GIÁ ]]*Table4[[#This Row],[SỐ LƯỢNG ]]</f>
        <v>2280000</v>
      </c>
      <c r="L56" s="280">
        <f>Table4[[#This Row],[THÀNH TIỀN ]]*10%</f>
        <v>228000</v>
      </c>
    </row>
    <row r="57" spans="1:12" s="44" customFormat="1">
      <c r="A57" s="68">
        <v>43186</v>
      </c>
      <c r="B57" s="58">
        <v>8339</v>
      </c>
      <c r="C57" s="58" t="s">
        <v>394</v>
      </c>
      <c r="D57" s="58" t="s">
        <v>260</v>
      </c>
      <c r="E57" s="58" t="s">
        <v>238</v>
      </c>
      <c r="F57" s="58"/>
      <c r="G57" s="58"/>
      <c r="H57" s="58"/>
      <c r="I57" s="89">
        <v>3</v>
      </c>
      <c r="J57" s="185">
        <v>190000</v>
      </c>
      <c r="K57" s="280">
        <f>Table4[[#This Row],[ĐƠN GIÁ ]]*Table4[[#This Row],[SỐ LƯỢNG ]]</f>
        <v>570000</v>
      </c>
      <c r="L57" s="280">
        <f>Table4[[#This Row],[THÀNH TIỀN ]]*10%</f>
        <v>57000</v>
      </c>
    </row>
    <row r="58" spans="1:12" s="44" customFormat="1">
      <c r="A58" s="68">
        <v>43187</v>
      </c>
      <c r="B58" s="58">
        <v>8339</v>
      </c>
      <c r="C58" s="58" t="s">
        <v>394</v>
      </c>
      <c r="D58" s="58" t="s">
        <v>237</v>
      </c>
      <c r="E58" s="58" t="s">
        <v>238</v>
      </c>
      <c r="F58" s="58"/>
      <c r="G58" s="58"/>
      <c r="H58" s="58"/>
      <c r="I58" s="89">
        <v>11</v>
      </c>
      <c r="J58" s="280">
        <v>150000</v>
      </c>
      <c r="K58" s="280">
        <f>Table4[[#This Row],[ĐƠN GIÁ ]]*Table4[[#This Row],[SỐ LƯỢNG ]]</f>
        <v>1650000</v>
      </c>
      <c r="L58" s="280">
        <f>Table4[[#This Row],[THÀNH TIỀN ]]*10%</f>
        <v>165000</v>
      </c>
    </row>
    <row r="59" spans="1:12" s="44" customFormat="1">
      <c r="A59" s="68">
        <v>43187</v>
      </c>
      <c r="B59" s="58">
        <v>8339</v>
      </c>
      <c r="C59" s="58" t="s">
        <v>394</v>
      </c>
      <c r="D59" s="58" t="s">
        <v>395</v>
      </c>
      <c r="E59" s="58" t="s">
        <v>238</v>
      </c>
      <c r="F59" s="58"/>
      <c r="G59" s="58"/>
      <c r="H59" s="58"/>
      <c r="I59" s="89">
        <v>1</v>
      </c>
      <c r="J59" s="185">
        <v>100000</v>
      </c>
      <c r="K59" s="280">
        <f>Table4[[#This Row],[ĐƠN GIÁ ]]*Table4[[#This Row],[SỐ LƯỢNG ]]</f>
        <v>100000</v>
      </c>
      <c r="L59" s="280">
        <f>Table4[[#This Row],[THÀNH TIỀN ]]*10%</f>
        <v>10000</v>
      </c>
    </row>
    <row r="60" spans="1:12" s="66" customFormat="1">
      <c r="A60" s="68">
        <v>43187</v>
      </c>
      <c r="B60" s="58">
        <v>8339</v>
      </c>
      <c r="C60" s="58" t="s">
        <v>394</v>
      </c>
      <c r="D60" s="58" t="s">
        <v>266</v>
      </c>
      <c r="E60" s="58" t="s">
        <v>238</v>
      </c>
      <c r="F60" s="233"/>
      <c r="G60" s="58"/>
      <c r="H60" s="58"/>
      <c r="I60" s="89">
        <v>9</v>
      </c>
      <c r="J60" s="185">
        <v>190000</v>
      </c>
      <c r="K60" s="280">
        <f>Table4[[#This Row],[ĐƠN GIÁ ]]*Table4[[#This Row],[SỐ LƯỢNG ]]</f>
        <v>1710000</v>
      </c>
      <c r="L60" s="280">
        <f>Table4[[#This Row],[THÀNH TIỀN ]]*10%</f>
        <v>171000</v>
      </c>
    </row>
    <row r="61" spans="1:12" s="44" customFormat="1">
      <c r="A61" s="68">
        <v>43188</v>
      </c>
      <c r="B61" s="58">
        <v>8339</v>
      </c>
      <c r="C61" s="58" t="s">
        <v>394</v>
      </c>
      <c r="D61" s="58" t="s">
        <v>246</v>
      </c>
      <c r="E61" s="58" t="s">
        <v>238</v>
      </c>
      <c r="F61" s="58"/>
      <c r="G61" s="58"/>
      <c r="H61" s="58"/>
      <c r="I61" s="89">
        <v>5</v>
      </c>
      <c r="J61" s="185">
        <v>190000</v>
      </c>
      <c r="K61" s="280">
        <f>Table4[[#This Row],[ĐƠN GIÁ ]]*Table4[[#This Row],[SỐ LƯỢNG ]]</f>
        <v>950000</v>
      </c>
      <c r="L61" s="280">
        <f>Table4[[#This Row],[THÀNH TIỀN ]]*10%</f>
        <v>95000</v>
      </c>
    </row>
    <row r="62" spans="1:12" s="44" customFormat="1">
      <c r="A62" s="68">
        <v>43188</v>
      </c>
      <c r="B62" s="58">
        <v>8339</v>
      </c>
      <c r="C62" s="58" t="s">
        <v>343</v>
      </c>
      <c r="D62" s="58" t="s">
        <v>396</v>
      </c>
      <c r="E62" s="58" t="s">
        <v>238</v>
      </c>
      <c r="F62" s="58"/>
      <c r="G62" s="58"/>
      <c r="H62" s="58"/>
      <c r="I62" s="89">
        <v>4</v>
      </c>
      <c r="J62" s="185">
        <v>250000</v>
      </c>
      <c r="K62" s="280">
        <f>Table4[[#This Row],[ĐƠN GIÁ ]]*Table4[[#This Row],[SỐ LƯỢNG ]]</f>
        <v>1000000</v>
      </c>
      <c r="L62" s="280">
        <f>Table4[[#This Row],[THÀNH TIỀN ]]*10%</f>
        <v>100000</v>
      </c>
    </row>
    <row r="63" spans="1:12" s="44" customFormat="1">
      <c r="A63" s="68">
        <v>43188</v>
      </c>
      <c r="B63" s="58">
        <v>8339</v>
      </c>
      <c r="C63" s="58" t="s">
        <v>394</v>
      </c>
      <c r="D63" s="58" t="s">
        <v>350</v>
      </c>
      <c r="E63" s="58" t="s">
        <v>238</v>
      </c>
      <c r="F63" s="58"/>
      <c r="G63" s="58"/>
      <c r="H63" s="58"/>
      <c r="I63" s="89">
        <v>1</v>
      </c>
      <c r="J63" s="185">
        <v>190000</v>
      </c>
      <c r="K63" s="280">
        <f>Table4[[#This Row],[ĐƠN GIÁ ]]*Table4[[#This Row],[SỐ LƯỢNG ]]</f>
        <v>190000</v>
      </c>
      <c r="L63" s="280">
        <f>Table4[[#This Row],[THÀNH TIỀN ]]*10%</f>
        <v>19000</v>
      </c>
    </row>
    <row r="64" spans="1:12" s="44" customFormat="1">
      <c r="A64" s="68">
        <v>43189</v>
      </c>
      <c r="B64" s="58">
        <v>8339</v>
      </c>
      <c r="C64" s="58" t="s">
        <v>278</v>
      </c>
      <c r="D64" s="58" t="s">
        <v>397</v>
      </c>
      <c r="E64" s="58" t="s">
        <v>238</v>
      </c>
      <c r="F64" s="58"/>
      <c r="G64" s="58"/>
      <c r="H64" s="58"/>
      <c r="I64" s="89">
        <v>8</v>
      </c>
      <c r="J64" s="185">
        <v>250000</v>
      </c>
      <c r="K64" s="280">
        <f>Table4[[#This Row],[ĐƠN GIÁ ]]*Table4[[#This Row],[SỐ LƯỢNG ]]</f>
        <v>2000000</v>
      </c>
      <c r="L64" s="280">
        <f>Table4[[#This Row],[THÀNH TIỀN ]]*10%</f>
        <v>200000</v>
      </c>
    </row>
    <row r="65" spans="1:12" s="44" customFormat="1">
      <c r="A65" s="68">
        <v>43189</v>
      </c>
      <c r="B65" s="58">
        <v>8339</v>
      </c>
      <c r="C65" s="58" t="s">
        <v>278</v>
      </c>
      <c r="D65" s="115" t="s">
        <v>279</v>
      </c>
      <c r="E65" s="58" t="s">
        <v>238</v>
      </c>
      <c r="F65" s="115"/>
      <c r="G65" s="58"/>
      <c r="H65" s="58"/>
      <c r="I65" s="89">
        <v>8</v>
      </c>
      <c r="J65" s="185">
        <v>220000</v>
      </c>
      <c r="K65" s="280">
        <f>Table4[[#This Row],[ĐƠN GIÁ ]]*Table4[[#This Row],[SỐ LƯỢNG ]]</f>
        <v>1760000</v>
      </c>
      <c r="L65" s="280">
        <f>Table4[[#This Row],[THÀNH TIỀN ]]*10%</f>
        <v>176000</v>
      </c>
    </row>
    <row r="66" spans="1:12" s="44" customFormat="1">
      <c r="A66" s="68">
        <v>43190</v>
      </c>
      <c r="B66" s="58">
        <v>8339</v>
      </c>
      <c r="C66" s="58" t="s">
        <v>343</v>
      </c>
      <c r="D66" s="58" t="s">
        <v>468</v>
      </c>
      <c r="E66" s="58" t="s">
        <v>238</v>
      </c>
      <c r="F66" s="58"/>
      <c r="G66" s="58"/>
      <c r="H66" s="212">
        <v>98</v>
      </c>
      <c r="I66" s="213">
        <v>7</v>
      </c>
      <c r="J66" s="185">
        <v>350000</v>
      </c>
      <c r="K66" s="280">
        <f>Table4[[#This Row],[ĐƠN GIÁ ]]*Table4[[#This Row],[SỐ LƯỢNG ]]</f>
        <v>2450000</v>
      </c>
      <c r="L66" s="280">
        <f>Table4[[#This Row],[THÀNH TIỀN ]]*10%</f>
        <v>245000</v>
      </c>
    </row>
    <row r="67" spans="1:12" s="44" customFormat="1">
      <c r="A67" s="152">
        <v>43190</v>
      </c>
      <c r="B67" s="115">
        <v>8339</v>
      </c>
      <c r="C67" s="115" t="s">
        <v>351</v>
      </c>
      <c r="D67" s="115" t="s">
        <v>355</v>
      </c>
      <c r="E67" s="115" t="s">
        <v>238</v>
      </c>
      <c r="F67" s="115"/>
      <c r="G67" s="115"/>
      <c r="H67" s="249"/>
      <c r="I67" s="250">
        <v>1</v>
      </c>
      <c r="J67" s="185">
        <v>230000</v>
      </c>
      <c r="K67" s="280">
        <f>Table4[[#This Row],[ĐƠN GIÁ ]]*Table4[[#This Row],[SỐ LƯỢNG ]]</f>
        <v>230000</v>
      </c>
      <c r="L67" s="280">
        <f>Table4[[#This Row],[THÀNH TIỀN ]]*10%</f>
        <v>23000</v>
      </c>
    </row>
    <row r="68" spans="1:12" s="44" customFormat="1">
      <c r="A68" s="282"/>
      <c r="B68" s="282"/>
      <c r="C68" s="282"/>
      <c r="D68" s="282"/>
      <c r="E68" s="282"/>
      <c r="F68" s="282"/>
      <c r="G68" s="282"/>
      <c r="H68" s="283"/>
      <c r="I68" s="283">
        <f>SUM(I9:I67)</f>
        <v>322</v>
      </c>
      <c r="J68" s="289"/>
      <c r="K68" s="289">
        <f>SUBTOTAL(109,[[THÀNH TIỀN ]])</f>
        <v>65970000</v>
      </c>
      <c r="L68" s="291">
        <f>SUBTOTAL(109,[LTX])</f>
        <v>6597000</v>
      </c>
    </row>
    <row r="69" spans="1:12" s="44" customFormat="1">
      <c r="A69" s="57"/>
      <c r="B69" s="57"/>
      <c r="C69" s="57"/>
      <c r="D69" s="57"/>
      <c r="E69" s="57"/>
      <c r="F69" s="57"/>
      <c r="G69" s="57"/>
      <c r="H69" s="57"/>
      <c r="I69" s="57"/>
      <c r="J69" s="252"/>
      <c r="K69" s="252"/>
    </row>
    <row r="70" spans="1:12" s="44" customFormat="1">
      <c r="A70" s="57"/>
      <c r="B70" s="57"/>
      <c r="C70" s="334" t="s">
        <v>34</v>
      </c>
      <c r="D70" s="335"/>
      <c r="E70" s="335"/>
      <c r="F70" s="335"/>
      <c r="G70" s="336"/>
      <c r="H70" s="253"/>
      <c r="I70" s="180">
        <f>+Table4[[#Totals],[THÀNH TIỀN ]]</f>
        <v>65970000</v>
      </c>
      <c r="J70" s="252"/>
      <c r="K70" s="252"/>
    </row>
    <row r="71" spans="1:12" s="44" customFormat="1">
      <c r="A71" s="57"/>
      <c r="B71" s="57"/>
      <c r="C71" s="334" t="s">
        <v>35</v>
      </c>
      <c r="D71" s="335"/>
      <c r="E71" s="335"/>
      <c r="F71" s="335"/>
      <c r="G71" s="336"/>
      <c r="H71" s="253"/>
      <c r="I71" s="180">
        <f>+Table4[[#Totals],[LTX]]</f>
        <v>6597000</v>
      </c>
      <c r="J71" s="252"/>
      <c r="K71" s="252"/>
    </row>
    <row r="72" spans="1:12" s="44" customFormat="1">
      <c r="A72" s="57"/>
      <c r="B72" s="57"/>
      <c r="C72" s="334" t="s">
        <v>100</v>
      </c>
      <c r="D72" s="335"/>
      <c r="E72" s="335"/>
      <c r="F72" s="335"/>
      <c r="G72" s="336"/>
      <c r="H72" s="179"/>
      <c r="I72" s="180">
        <f>+D86</f>
        <v>314000</v>
      </c>
      <c r="J72" s="252"/>
      <c r="K72" s="252"/>
    </row>
    <row r="73" spans="1:12" s="44" customFormat="1">
      <c r="A73" s="57"/>
      <c r="B73" s="57"/>
      <c r="C73" s="334" t="s">
        <v>111</v>
      </c>
      <c r="D73" s="335"/>
      <c r="E73" s="335"/>
      <c r="F73" s="335"/>
      <c r="G73" s="336"/>
      <c r="H73" s="179"/>
      <c r="I73" s="180">
        <f>+K84</f>
        <v>24000000</v>
      </c>
      <c r="J73" s="252"/>
      <c r="K73" s="252"/>
    </row>
    <row r="74" spans="1:12" s="44" customFormat="1">
      <c r="A74" s="57"/>
      <c r="B74" s="57"/>
      <c r="C74" s="334" t="s">
        <v>168</v>
      </c>
      <c r="D74" s="335"/>
      <c r="E74" s="335"/>
      <c r="F74" s="335"/>
      <c r="G74" s="336"/>
      <c r="H74" s="179"/>
      <c r="I74" s="180">
        <f>+D101</f>
        <v>4755000</v>
      </c>
      <c r="J74" s="252"/>
      <c r="K74" s="252"/>
    </row>
    <row r="75" spans="1:12" s="44" customFormat="1">
      <c r="A75" s="57"/>
      <c r="B75" s="57"/>
      <c r="C75" s="334" t="s">
        <v>112</v>
      </c>
      <c r="D75" s="335"/>
      <c r="E75" s="335"/>
      <c r="F75" s="335"/>
      <c r="G75" s="336"/>
      <c r="H75" s="179"/>
      <c r="I75" s="180">
        <f>+I70-I71-I72-I73-I74</f>
        <v>30304000</v>
      </c>
      <c r="J75" s="252"/>
      <c r="K75" s="252"/>
    </row>
    <row r="76" spans="1:12" s="44" customFormat="1">
      <c r="A76" s="57"/>
      <c r="B76" s="57"/>
      <c r="C76" s="57"/>
      <c r="D76" s="57"/>
      <c r="E76" s="57"/>
      <c r="F76" s="57"/>
      <c r="G76" s="57"/>
      <c r="H76" s="57"/>
      <c r="I76" s="57"/>
      <c r="J76" s="252"/>
      <c r="K76" s="252"/>
    </row>
    <row r="77" spans="1:12" s="44" customFormat="1">
      <c r="A77" s="59" t="s">
        <v>169</v>
      </c>
      <c r="B77" s="254"/>
      <c r="C77" s="254"/>
      <c r="D77" s="181"/>
      <c r="E77" s="181"/>
      <c r="F77" s="181" t="s">
        <v>170</v>
      </c>
      <c r="G77" s="59"/>
      <c r="H77" s="57"/>
      <c r="I77" s="57"/>
      <c r="J77" s="252"/>
      <c r="K77" s="252"/>
    </row>
    <row r="78" spans="1:12" s="44" customFormat="1">
      <c r="A78" s="183" t="s">
        <v>299</v>
      </c>
      <c r="B78" s="337" t="s">
        <v>96</v>
      </c>
      <c r="C78" s="338"/>
      <c r="D78" s="123">
        <v>170000</v>
      </c>
      <c r="E78" s="57"/>
      <c r="F78" s="58" t="s">
        <v>327</v>
      </c>
      <c r="G78" s="184"/>
      <c r="H78" s="58" t="s">
        <v>290</v>
      </c>
      <c r="I78" s="58"/>
      <c r="J78" s="255"/>
      <c r="K78" s="185">
        <v>4000000</v>
      </c>
    </row>
    <row r="79" spans="1:12" s="44" customFormat="1">
      <c r="A79" s="183" t="s">
        <v>182</v>
      </c>
      <c r="B79" s="122" t="s">
        <v>183</v>
      </c>
      <c r="C79" s="123"/>
      <c r="D79" s="123"/>
      <c r="E79" s="57"/>
      <c r="F79" s="58" t="s">
        <v>314</v>
      </c>
      <c r="G79" s="184"/>
      <c r="H79" s="58" t="s">
        <v>290</v>
      </c>
      <c r="I79" s="58"/>
      <c r="J79" s="255"/>
      <c r="K79" s="185">
        <v>4000000</v>
      </c>
    </row>
    <row r="80" spans="1:12" s="44" customFormat="1">
      <c r="A80" s="183" t="s">
        <v>182</v>
      </c>
      <c r="B80" s="122" t="s">
        <v>184</v>
      </c>
      <c r="C80" s="123"/>
      <c r="D80" s="180">
        <f>SUM(D79)</f>
        <v>0</v>
      </c>
      <c r="E80" s="57"/>
      <c r="F80" s="58" t="s">
        <v>328</v>
      </c>
      <c r="G80" s="184"/>
      <c r="H80" s="58" t="s">
        <v>290</v>
      </c>
      <c r="I80" s="58"/>
      <c r="J80" s="255"/>
      <c r="K80" s="185">
        <v>4000000</v>
      </c>
    </row>
    <row r="81" spans="1:11" s="44" customFormat="1">
      <c r="A81" s="183" t="s">
        <v>182</v>
      </c>
      <c r="B81" s="122" t="s">
        <v>185</v>
      </c>
      <c r="C81" s="122"/>
      <c r="D81" s="123">
        <v>70000</v>
      </c>
      <c r="E81" s="57"/>
      <c r="F81" s="58" t="s">
        <v>329</v>
      </c>
      <c r="G81" s="184"/>
      <c r="H81" s="58" t="s">
        <v>290</v>
      </c>
      <c r="I81" s="58"/>
      <c r="J81" s="255"/>
      <c r="K81" s="185">
        <v>4000000</v>
      </c>
    </row>
    <row r="82" spans="1:11" s="44" customFormat="1">
      <c r="A82" s="183" t="s">
        <v>182</v>
      </c>
      <c r="B82" s="122" t="s">
        <v>186</v>
      </c>
      <c r="C82" s="122"/>
      <c r="D82" s="123">
        <v>20000</v>
      </c>
      <c r="E82" s="57"/>
      <c r="F82" s="58" t="s">
        <v>317</v>
      </c>
      <c r="G82" s="184"/>
      <c r="H82" s="58" t="s">
        <v>290</v>
      </c>
      <c r="I82" s="58"/>
      <c r="J82" s="255"/>
      <c r="K82" s="185">
        <v>4000000</v>
      </c>
    </row>
    <row r="83" spans="1:11" s="44" customFormat="1">
      <c r="A83" s="183" t="s">
        <v>182</v>
      </c>
      <c r="B83" s="122" t="s">
        <v>187</v>
      </c>
      <c r="C83" s="122"/>
      <c r="D83" s="123">
        <v>26000</v>
      </c>
      <c r="E83" s="57"/>
      <c r="F83" s="58" t="s">
        <v>330</v>
      </c>
      <c r="G83" s="184"/>
      <c r="H83" s="58" t="s">
        <v>290</v>
      </c>
      <c r="I83" s="58"/>
      <c r="J83" s="255"/>
      <c r="K83" s="185">
        <v>4000000</v>
      </c>
    </row>
    <row r="84" spans="1:11" s="44" customFormat="1">
      <c r="A84" s="183" t="s">
        <v>182</v>
      </c>
      <c r="B84" s="122" t="s">
        <v>188</v>
      </c>
      <c r="C84" s="122"/>
      <c r="D84" s="123">
        <v>24000</v>
      </c>
      <c r="E84" s="57"/>
      <c r="F84" s="57"/>
      <c r="G84" s="57"/>
      <c r="H84" s="57"/>
      <c r="I84" s="57"/>
      <c r="J84" s="252"/>
      <c r="K84" s="256">
        <f>SUM(K78:K83)</f>
        <v>24000000</v>
      </c>
    </row>
    <row r="85" spans="1:11" s="44" customFormat="1">
      <c r="A85" s="183" t="s">
        <v>182</v>
      </c>
      <c r="B85" s="122" t="s">
        <v>189</v>
      </c>
      <c r="C85" s="122"/>
      <c r="D85" s="123">
        <v>4000</v>
      </c>
      <c r="E85" s="57"/>
      <c r="F85" s="57"/>
      <c r="G85" s="57"/>
      <c r="H85" s="57"/>
      <c r="I85" s="57"/>
      <c r="J85" s="252"/>
      <c r="K85" s="252"/>
    </row>
    <row r="86" spans="1:11">
      <c r="D86" s="223">
        <f>SUM(D78:D85)</f>
        <v>314000</v>
      </c>
    </row>
    <row r="87" spans="1:11">
      <c r="A87" s="222" t="s">
        <v>171</v>
      </c>
    </row>
    <row r="88" spans="1:11">
      <c r="A88" s="161" t="s">
        <v>327</v>
      </c>
      <c r="B88" s="163" t="s">
        <v>321</v>
      </c>
      <c r="C88" s="164"/>
      <c r="D88" s="162">
        <v>350000</v>
      </c>
    </row>
    <row r="89" spans="1:11">
      <c r="A89" s="161" t="s">
        <v>314</v>
      </c>
      <c r="B89" s="163" t="s">
        <v>295</v>
      </c>
      <c r="C89" s="164"/>
      <c r="D89" s="162">
        <v>60000</v>
      </c>
    </row>
    <row r="90" spans="1:11">
      <c r="A90" s="161" t="s">
        <v>314</v>
      </c>
      <c r="B90" s="163" t="s">
        <v>284</v>
      </c>
      <c r="C90" s="164"/>
      <c r="D90" s="162">
        <v>50000</v>
      </c>
    </row>
    <row r="91" spans="1:11">
      <c r="A91" s="161" t="s">
        <v>331</v>
      </c>
      <c r="B91" s="163" t="s">
        <v>332</v>
      </c>
      <c r="C91" s="164"/>
      <c r="D91" s="162">
        <v>1710000</v>
      </c>
    </row>
    <row r="92" spans="1:11">
      <c r="A92" s="161" t="s">
        <v>328</v>
      </c>
      <c r="B92" s="163" t="s">
        <v>333</v>
      </c>
      <c r="C92" s="164"/>
      <c r="D92" s="162">
        <v>160000</v>
      </c>
    </row>
    <row r="93" spans="1:11">
      <c r="A93" s="161" t="s">
        <v>329</v>
      </c>
      <c r="B93" s="163" t="s">
        <v>334</v>
      </c>
      <c r="C93" s="164"/>
      <c r="D93" s="162">
        <v>350000</v>
      </c>
    </row>
    <row r="94" spans="1:11">
      <c r="A94" s="161" t="s">
        <v>329</v>
      </c>
      <c r="B94" s="163" t="s">
        <v>335</v>
      </c>
      <c r="C94" s="164"/>
      <c r="D94" s="162">
        <v>250000</v>
      </c>
    </row>
    <row r="95" spans="1:11">
      <c r="A95" s="161" t="s">
        <v>329</v>
      </c>
      <c r="B95" s="163" t="s">
        <v>295</v>
      </c>
      <c r="C95" s="164"/>
      <c r="D95" s="162">
        <v>60000</v>
      </c>
    </row>
    <row r="96" spans="1:11">
      <c r="A96" s="161" t="s">
        <v>336</v>
      </c>
      <c r="B96" s="163" t="s">
        <v>337</v>
      </c>
      <c r="C96" s="164"/>
      <c r="D96" s="162">
        <v>1140000</v>
      </c>
    </row>
    <row r="97" spans="1:4">
      <c r="A97" s="161" t="s">
        <v>317</v>
      </c>
      <c r="B97" s="163" t="s">
        <v>338</v>
      </c>
      <c r="C97" s="164"/>
      <c r="D97" s="162">
        <v>15000</v>
      </c>
    </row>
    <row r="98" spans="1:4">
      <c r="A98" s="161" t="s">
        <v>317</v>
      </c>
      <c r="B98" s="163" t="s">
        <v>324</v>
      </c>
      <c r="C98" s="164"/>
      <c r="D98" s="162">
        <v>55000</v>
      </c>
    </row>
    <row r="99" spans="1:4">
      <c r="A99" s="161" t="s">
        <v>330</v>
      </c>
      <c r="B99" s="163" t="s">
        <v>339</v>
      </c>
      <c r="C99" s="164"/>
      <c r="D99" s="162">
        <v>55000</v>
      </c>
    </row>
    <row r="100" spans="1:4">
      <c r="A100" s="161" t="s">
        <v>496</v>
      </c>
      <c r="B100" s="332" t="s">
        <v>488</v>
      </c>
      <c r="C100" s="333"/>
      <c r="D100" s="162">
        <v>500000</v>
      </c>
    </row>
    <row r="101" spans="1:4">
      <c r="D101" s="223">
        <f>SUM(D88:D100)</f>
        <v>4755000</v>
      </c>
    </row>
  </sheetData>
  <mergeCells count="9">
    <mergeCell ref="B100:C100"/>
    <mergeCell ref="C74:G74"/>
    <mergeCell ref="C75:G75"/>
    <mergeCell ref="B78:C78"/>
    <mergeCell ref="A5:K7"/>
    <mergeCell ref="C72:G72"/>
    <mergeCell ref="C73:G73"/>
    <mergeCell ref="C70:G70"/>
    <mergeCell ref="C71:G71"/>
  </mergeCells>
  <pageMargins left="0.7" right="0.7" top="0.75" bottom="0.75" header="0.3" footer="0.3"/>
  <pageSetup paperSize="9" orientation="landscape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C000"/>
  </sheetPr>
  <dimension ref="A1:I66"/>
  <sheetViews>
    <sheetView topLeftCell="A37" workbookViewId="0">
      <selection activeCell="K12" sqref="K12:K16"/>
    </sheetView>
  </sheetViews>
  <sheetFormatPr defaultRowHeight="15"/>
  <cols>
    <col min="1" max="1" width="12" customWidth="1"/>
    <col min="3" max="3" width="18.7109375" customWidth="1"/>
    <col min="4" max="4" width="30.140625" customWidth="1"/>
    <col min="5" max="5" width="7.7109375" customWidth="1"/>
    <col min="6" max="6" width="14" style="6" customWidth="1"/>
    <col min="7" max="7" width="12.5703125" style="6" customWidth="1"/>
    <col min="8" max="8" width="15.140625" style="6" customWidth="1"/>
    <col min="9" max="9" width="13.28515625" style="6" bestFit="1" customWidth="1"/>
  </cols>
  <sheetData>
    <row r="1" spans="1:9">
      <c r="A1" s="1" t="s">
        <v>0</v>
      </c>
      <c r="B1" s="1"/>
      <c r="C1" s="1"/>
      <c r="D1" s="3"/>
      <c r="E1" s="4"/>
      <c r="F1" s="10"/>
      <c r="G1" s="5"/>
      <c r="H1" s="5"/>
      <c r="I1" s="5"/>
    </row>
    <row r="2" spans="1:9">
      <c r="A2" s="1" t="s">
        <v>1</v>
      </c>
      <c r="B2" s="1"/>
      <c r="C2" s="1"/>
      <c r="D2" s="3"/>
      <c r="E2" s="4"/>
      <c r="F2" s="10"/>
      <c r="G2" s="5"/>
      <c r="H2" s="5"/>
      <c r="I2" s="5"/>
    </row>
    <row r="3" spans="1:9">
      <c r="A3" s="1" t="s">
        <v>2</v>
      </c>
      <c r="B3" s="1"/>
      <c r="C3" s="1"/>
      <c r="D3" s="3"/>
      <c r="E3" s="4"/>
      <c r="F3" s="10"/>
      <c r="G3" s="5"/>
      <c r="H3" s="5"/>
      <c r="I3" s="5"/>
    </row>
    <row r="4" spans="1:9">
      <c r="A4" s="1" t="s">
        <v>3</v>
      </c>
      <c r="B4" s="1"/>
      <c r="C4" s="1"/>
      <c r="D4" s="3"/>
      <c r="E4" s="4"/>
      <c r="F4" s="10"/>
      <c r="G4" s="5"/>
      <c r="H4" s="5"/>
      <c r="I4" s="5"/>
    </row>
    <row r="5" spans="1:9">
      <c r="A5" s="328" t="s">
        <v>221</v>
      </c>
      <c r="B5" s="328"/>
      <c r="C5" s="328"/>
      <c r="D5" s="328"/>
      <c r="E5" s="328"/>
      <c r="F5" s="328"/>
      <c r="G5" s="328"/>
      <c r="H5" s="328"/>
      <c r="I5" s="328"/>
    </row>
    <row r="6" spans="1:9">
      <c r="A6" s="328"/>
      <c r="B6" s="328"/>
      <c r="C6" s="328"/>
      <c r="D6" s="328"/>
      <c r="E6" s="328"/>
      <c r="F6" s="328"/>
      <c r="G6" s="328"/>
      <c r="H6" s="328"/>
      <c r="I6" s="328"/>
    </row>
    <row r="7" spans="1:9">
      <c r="A7" s="328"/>
      <c r="B7" s="328"/>
      <c r="C7" s="328"/>
      <c r="D7" s="328"/>
      <c r="E7" s="328"/>
      <c r="F7" s="328"/>
      <c r="G7" s="328"/>
      <c r="H7" s="328"/>
      <c r="I7" s="328"/>
    </row>
    <row r="8" spans="1:9">
      <c r="D8" s="2" t="s">
        <v>26</v>
      </c>
    </row>
    <row r="9" spans="1:9" s="26" customFormat="1">
      <c r="A9" s="27" t="s">
        <v>5</v>
      </c>
      <c r="B9" s="28" t="s">
        <v>6</v>
      </c>
      <c r="C9" s="28" t="s">
        <v>7</v>
      </c>
      <c r="D9" s="29" t="s">
        <v>8</v>
      </c>
      <c r="E9" s="30" t="s">
        <v>498</v>
      </c>
      <c r="F9" s="29" t="s">
        <v>13</v>
      </c>
      <c r="G9" s="29" t="s">
        <v>14</v>
      </c>
      <c r="H9" s="29" t="s">
        <v>15</v>
      </c>
      <c r="I9" s="31" t="s">
        <v>16</v>
      </c>
    </row>
    <row r="10" spans="1:9" s="57" customFormat="1">
      <c r="A10" s="110">
        <v>43160</v>
      </c>
      <c r="B10" s="58" t="s">
        <v>404</v>
      </c>
      <c r="C10" s="58" t="s">
        <v>361</v>
      </c>
      <c r="D10" s="58" t="s">
        <v>381</v>
      </c>
      <c r="E10" s="58" t="s">
        <v>238</v>
      </c>
      <c r="F10" s="89">
        <v>10</v>
      </c>
      <c r="G10" s="111">
        <v>85000</v>
      </c>
      <c r="H10" s="112">
        <f>Table11[[#This Row],[ĐƠN GIÁ ]]*Table11[[#This Row],[SỐ LƯỢNG ]]</f>
        <v>850000</v>
      </c>
      <c r="I10" s="113">
        <f>+Table11[[#This Row],[THÀNH TIỀN ]]*10%</f>
        <v>85000</v>
      </c>
    </row>
    <row r="11" spans="1:9" s="57" customFormat="1">
      <c r="A11" s="110">
        <v>43162</v>
      </c>
      <c r="B11" s="58" t="s">
        <v>404</v>
      </c>
      <c r="C11" s="58" t="s">
        <v>343</v>
      </c>
      <c r="D11" s="58" t="s">
        <v>254</v>
      </c>
      <c r="E11" s="58" t="s">
        <v>238</v>
      </c>
      <c r="F11" s="89">
        <v>1</v>
      </c>
      <c r="G11" s="280">
        <v>200000</v>
      </c>
      <c r="H11" s="111">
        <f>Table11[[#This Row],[ĐƠN GIÁ ]]*Table11[[#This Row],[SỐ LƯỢNG ]]</f>
        <v>200000</v>
      </c>
      <c r="I11" s="113">
        <f>+Table11[[#This Row],[THÀNH TIỀN ]]*10%</f>
        <v>20000</v>
      </c>
    </row>
    <row r="12" spans="1:9" s="57" customFormat="1">
      <c r="A12" s="110">
        <v>43162</v>
      </c>
      <c r="B12" s="58" t="s">
        <v>404</v>
      </c>
      <c r="C12" s="58" t="s">
        <v>343</v>
      </c>
      <c r="D12" s="58" t="s">
        <v>406</v>
      </c>
      <c r="E12" s="58" t="s">
        <v>238</v>
      </c>
      <c r="F12" s="89">
        <v>1</v>
      </c>
      <c r="G12" s="280">
        <v>200000</v>
      </c>
      <c r="H12" s="111">
        <f>Table11[[#This Row],[ĐƠN GIÁ ]]*Table11[[#This Row],[SỐ LƯỢNG ]]</f>
        <v>200000</v>
      </c>
      <c r="I12" s="113">
        <f>+Table11[[#This Row],[THÀNH TIỀN ]]*10%</f>
        <v>20000</v>
      </c>
    </row>
    <row r="13" spans="1:9" s="57" customFormat="1">
      <c r="A13" s="110">
        <v>43162</v>
      </c>
      <c r="B13" s="58" t="s">
        <v>404</v>
      </c>
      <c r="C13" s="58" t="s">
        <v>241</v>
      </c>
      <c r="D13" s="58" t="s">
        <v>242</v>
      </c>
      <c r="E13" s="58"/>
      <c r="F13" s="89">
        <v>23</v>
      </c>
      <c r="G13" s="111">
        <f>6.453*24000</f>
        <v>154872</v>
      </c>
      <c r="H13" s="111">
        <f>Table11[[#This Row],[ĐƠN GIÁ ]]*Table11[[#This Row],[SỐ LƯỢNG ]]</f>
        <v>3562056</v>
      </c>
      <c r="I13" s="113">
        <f>+Table11[[#This Row],[THÀNH TIỀN ]]*10%</f>
        <v>356205.60000000003</v>
      </c>
    </row>
    <row r="14" spans="1:9" s="57" customFormat="1">
      <c r="A14" s="110">
        <v>43162</v>
      </c>
      <c r="B14" s="58" t="s">
        <v>404</v>
      </c>
      <c r="C14" s="58" t="s">
        <v>241</v>
      </c>
      <c r="D14" s="58" t="s">
        <v>240</v>
      </c>
      <c r="E14" s="58"/>
      <c r="F14" s="89">
        <v>13</v>
      </c>
      <c r="G14" s="111">
        <v>100000</v>
      </c>
      <c r="H14" s="111">
        <f>Table11[[#This Row],[ĐƠN GIÁ ]]*Table11[[#This Row],[SỐ LƯỢNG ]]</f>
        <v>1300000</v>
      </c>
      <c r="I14" s="113">
        <f>+Table11[[#This Row],[THÀNH TIỀN ]]*10%</f>
        <v>130000</v>
      </c>
    </row>
    <row r="15" spans="1:9" s="57" customFormat="1">
      <c r="A15" s="110">
        <v>43163</v>
      </c>
      <c r="B15" s="58" t="s">
        <v>404</v>
      </c>
      <c r="C15" s="58" t="s">
        <v>241</v>
      </c>
      <c r="D15" s="58" t="s">
        <v>242</v>
      </c>
      <c r="E15" s="58"/>
      <c r="F15" s="89">
        <v>12</v>
      </c>
      <c r="G15" s="111">
        <f>6.305*24000</f>
        <v>151320</v>
      </c>
      <c r="H15" s="111">
        <f>Table11[[#This Row],[ĐƠN GIÁ ]]*Table11[[#This Row],[SỐ LƯỢNG ]]</f>
        <v>1815840</v>
      </c>
      <c r="I15" s="113">
        <f>+Table11[[#This Row],[THÀNH TIỀN ]]*10%</f>
        <v>181584</v>
      </c>
    </row>
    <row r="16" spans="1:9" s="57" customFormat="1">
      <c r="A16" s="110">
        <v>43163</v>
      </c>
      <c r="B16" s="58" t="s">
        <v>404</v>
      </c>
      <c r="C16" s="58" t="s">
        <v>243</v>
      </c>
      <c r="D16" s="58" t="s">
        <v>407</v>
      </c>
      <c r="E16" s="58" t="s">
        <v>238</v>
      </c>
      <c r="F16" s="89">
        <v>3</v>
      </c>
      <c r="G16" s="111">
        <v>150000</v>
      </c>
      <c r="H16" s="111">
        <f>Table11[[#This Row],[ĐƠN GIÁ ]]*Table11[[#This Row],[SỐ LƯỢNG ]]</f>
        <v>450000</v>
      </c>
      <c r="I16" s="113">
        <f>+Table11[[#This Row],[THÀNH TIỀN ]]*10%</f>
        <v>45000</v>
      </c>
    </row>
    <row r="17" spans="1:9" s="57" customFormat="1">
      <c r="A17" s="110">
        <v>43165</v>
      </c>
      <c r="B17" s="58" t="s">
        <v>404</v>
      </c>
      <c r="C17" s="58" t="s">
        <v>348</v>
      </c>
      <c r="D17" s="58" t="s">
        <v>246</v>
      </c>
      <c r="E17" s="58" t="s">
        <v>238</v>
      </c>
      <c r="F17" s="89">
        <v>10</v>
      </c>
      <c r="G17" s="111">
        <v>190000</v>
      </c>
      <c r="H17" s="111">
        <f>Table11[[#This Row],[ĐƠN GIÁ ]]*Table11[[#This Row],[SỐ LƯỢNG ]]</f>
        <v>1900000</v>
      </c>
      <c r="I17" s="113">
        <f>+Table11[[#This Row],[THÀNH TIỀN ]]*10%</f>
        <v>190000</v>
      </c>
    </row>
    <row r="18" spans="1:9" s="57" customFormat="1">
      <c r="A18" s="110">
        <v>43165</v>
      </c>
      <c r="B18" s="58" t="s">
        <v>404</v>
      </c>
      <c r="C18" s="58" t="s">
        <v>348</v>
      </c>
      <c r="D18" s="58" t="s">
        <v>409</v>
      </c>
      <c r="E18" s="58" t="s">
        <v>238</v>
      </c>
      <c r="F18" s="89">
        <v>2</v>
      </c>
      <c r="G18" s="111">
        <v>190000</v>
      </c>
      <c r="H18" s="111">
        <f>Table11[[#This Row],[ĐƠN GIÁ ]]*Table11[[#This Row],[SỐ LƯỢNG ]]</f>
        <v>380000</v>
      </c>
      <c r="I18" s="113">
        <f>+Table11[[#This Row],[THÀNH TIỀN ]]*10%</f>
        <v>38000</v>
      </c>
    </row>
    <row r="19" spans="1:9" s="57" customFormat="1">
      <c r="A19" s="110">
        <v>43166</v>
      </c>
      <c r="B19" s="58" t="s">
        <v>404</v>
      </c>
      <c r="C19" s="58" t="s">
        <v>243</v>
      </c>
      <c r="D19" s="58" t="s">
        <v>246</v>
      </c>
      <c r="E19" s="58" t="s">
        <v>238</v>
      </c>
      <c r="F19" s="89">
        <v>9</v>
      </c>
      <c r="G19" s="111">
        <v>180000</v>
      </c>
      <c r="H19" s="111">
        <f>Table11[[#This Row],[ĐƠN GIÁ ]]*Table11[[#This Row],[SỐ LƯỢNG ]]</f>
        <v>1620000</v>
      </c>
      <c r="I19" s="113">
        <f>+Table11[[#This Row],[THÀNH TIỀN ]]*10%</f>
        <v>162000</v>
      </c>
    </row>
    <row r="20" spans="1:9" s="57" customFormat="1">
      <c r="A20" s="110">
        <v>43166</v>
      </c>
      <c r="B20" s="58" t="s">
        <v>404</v>
      </c>
      <c r="C20" s="58" t="s">
        <v>243</v>
      </c>
      <c r="D20" s="58" t="s">
        <v>407</v>
      </c>
      <c r="E20" s="58" t="s">
        <v>238</v>
      </c>
      <c r="F20" s="89">
        <v>1</v>
      </c>
      <c r="G20" s="111">
        <v>150000</v>
      </c>
      <c r="H20" s="111">
        <f>Table11[[#This Row],[ĐƠN GIÁ ]]*Table11[[#This Row],[SỐ LƯỢNG ]]</f>
        <v>150000</v>
      </c>
      <c r="I20" s="113">
        <f>+Table11[[#This Row],[THÀNH TIỀN ]]*10%</f>
        <v>15000</v>
      </c>
    </row>
    <row r="21" spans="1:9" s="57" customFormat="1">
      <c r="A21" s="110">
        <v>43167</v>
      </c>
      <c r="B21" s="58" t="s">
        <v>404</v>
      </c>
      <c r="C21" s="58" t="s">
        <v>243</v>
      </c>
      <c r="D21" s="58" t="s">
        <v>246</v>
      </c>
      <c r="E21" s="58" t="s">
        <v>238</v>
      </c>
      <c r="F21" s="89">
        <v>14</v>
      </c>
      <c r="G21" s="111">
        <v>180000</v>
      </c>
      <c r="H21" s="111">
        <f>Table11[[#This Row],[ĐƠN GIÁ ]]*Table11[[#This Row],[SỐ LƯỢNG ]]</f>
        <v>2520000</v>
      </c>
      <c r="I21" s="113">
        <f>+Table11[[#This Row],[THÀNH TIỀN ]]*10%</f>
        <v>252000</v>
      </c>
    </row>
    <row r="22" spans="1:9" s="57" customFormat="1">
      <c r="A22" s="110">
        <v>43168</v>
      </c>
      <c r="B22" s="58" t="s">
        <v>404</v>
      </c>
      <c r="C22" s="58" t="s">
        <v>361</v>
      </c>
      <c r="D22" s="58" t="s">
        <v>381</v>
      </c>
      <c r="E22" s="58" t="s">
        <v>238</v>
      </c>
      <c r="F22" s="89">
        <v>25</v>
      </c>
      <c r="G22" s="111">
        <v>85000</v>
      </c>
      <c r="H22" s="111">
        <f>Table11[[#This Row],[ĐƠN GIÁ ]]*Table11[[#This Row],[SỐ LƯỢNG ]]</f>
        <v>2125000</v>
      </c>
      <c r="I22" s="113">
        <f>+Table11[[#This Row],[THÀNH TIỀN ]]*10%</f>
        <v>212500</v>
      </c>
    </row>
    <row r="23" spans="1:9" s="57" customFormat="1">
      <c r="A23" s="110">
        <v>43169</v>
      </c>
      <c r="B23" s="58" t="s">
        <v>404</v>
      </c>
      <c r="C23" s="58" t="s">
        <v>348</v>
      </c>
      <c r="D23" s="119" t="s">
        <v>514</v>
      </c>
      <c r="E23" s="58" t="s">
        <v>238</v>
      </c>
      <c r="F23" s="89">
        <v>3</v>
      </c>
      <c r="G23" s="280"/>
      <c r="H23" s="111">
        <f>Table11[[#This Row],[ĐƠN GIÁ ]]*Table11[[#This Row],[SỐ LƯỢNG ]]</f>
        <v>0</v>
      </c>
      <c r="I23" s="113">
        <f>+Table11[[#This Row],[THÀNH TIỀN ]]*10%</f>
        <v>0</v>
      </c>
    </row>
    <row r="24" spans="1:9" s="57" customFormat="1">
      <c r="A24" s="110">
        <v>43172</v>
      </c>
      <c r="B24" s="58" t="s">
        <v>404</v>
      </c>
      <c r="C24" s="58" t="s">
        <v>258</v>
      </c>
      <c r="D24" s="58" t="s">
        <v>260</v>
      </c>
      <c r="E24" s="58" t="s">
        <v>238</v>
      </c>
      <c r="F24" s="89">
        <v>18</v>
      </c>
      <c r="G24" s="111">
        <v>230000</v>
      </c>
      <c r="H24" s="111">
        <f>Table11[[#This Row],[ĐƠN GIÁ ]]*Table11[[#This Row],[SỐ LƯỢNG ]]</f>
        <v>4140000</v>
      </c>
      <c r="I24" s="113">
        <f>+Table11[[#This Row],[THÀNH TIỀN ]]*10%</f>
        <v>414000</v>
      </c>
    </row>
    <row r="25" spans="1:9" s="57" customFormat="1">
      <c r="A25" s="110">
        <v>43173</v>
      </c>
      <c r="B25" s="58" t="s">
        <v>404</v>
      </c>
      <c r="C25" s="58" t="s">
        <v>258</v>
      </c>
      <c r="D25" s="58" t="s">
        <v>260</v>
      </c>
      <c r="E25" s="58" t="s">
        <v>238</v>
      </c>
      <c r="F25" s="89">
        <v>4</v>
      </c>
      <c r="G25" s="111">
        <v>230000</v>
      </c>
      <c r="H25" s="111">
        <f>Table11[[#This Row],[ĐƠN GIÁ ]]*Table11[[#This Row],[SỐ LƯỢNG ]]</f>
        <v>920000</v>
      </c>
      <c r="I25" s="113">
        <f>+Table11[[#This Row],[THÀNH TIỀN ]]*10%</f>
        <v>92000</v>
      </c>
    </row>
    <row r="26" spans="1:9" s="57" customFormat="1">
      <c r="A26" s="110">
        <v>43173</v>
      </c>
      <c r="B26" s="58" t="s">
        <v>404</v>
      </c>
      <c r="C26" s="58" t="s">
        <v>258</v>
      </c>
      <c r="D26" s="58" t="s">
        <v>262</v>
      </c>
      <c r="E26" s="58" t="s">
        <v>238</v>
      </c>
      <c r="F26" s="89">
        <v>15</v>
      </c>
      <c r="G26" s="111">
        <v>180000</v>
      </c>
      <c r="H26" s="111">
        <f>Table11[[#This Row],[ĐƠN GIÁ ]]*Table11[[#This Row],[SỐ LƯỢNG ]]</f>
        <v>2700000</v>
      </c>
      <c r="I26" s="113">
        <f>+Table11[[#This Row],[THÀNH TIỀN ]]*10%</f>
        <v>270000</v>
      </c>
    </row>
    <row r="27" spans="1:9" s="57" customFormat="1">
      <c r="A27" s="110">
        <v>43174</v>
      </c>
      <c r="B27" s="58" t="s">
        <v>404</v>
      </c>
      <c r="C27" s="58" t="s">
        <v>258</v>
      </c>
      <c r="D27" s="58" t="s">
        <v>262</v>
      </c>
      <c r="E27" s="58" t="s">
        <v>238</v>
      </c>
      <c r="F27" s="89">
        <v>11</v>
      </c>
      <c r="G27" s="111">
        <v>180000</v>
      </c>
      <c r="H27" s="111">
        <f>Table11[[#This Row],[ĐƠN GIÁ ]]*Table11[[#This Row],[SỐ LƯỢNG ]]</f>
        <v>1980000</v>
      </c>
      <c r="I27" s="113">
        <f>+Table11[[#This Row],[THÀNH TIỀN ]]*10%</f>
        <v>198000</v>
      </c>
    </row>
    <row r="28" spans="1:9" s="57" customFormat="1">
      <c r="A28" s="110">
        <v>43174</v>
      </c>
      <c r="B28" s="58" t="s">
        <v>404</v>
      </c>
      <c r="C28" s="58" t="s">
        <v>258</v>
      </c>
      <c r="D28" s="58" t="s">
        <v>259</v>
      </c>
      <c r="E28" s="58" t="s">
        <v>238</v>
      </c>
      <c r="F28" s="89">
        <v>4</v>
      </c>
      <c r="G28" s="111">
        <v>230000</v>
      </c>
      <c r="H28" s="111">
        <f>Table11[[#This Row],[ĐƠN GIÁ ]]*Table11[[#This Row],[SỐ LƯỢNG ]]</f>
        <v>920000</v>
      </c>
      <c r="I28" s="113">
        <f>+Table11[[#This Row],[THÀNH TIỀN ]]*10%</f>
        <v>92000</v>
      </c>
    </row>
    <row r="29" spans="1:9" s="57" customFormat="1">
      <c r="A29" s="110">
        <v>43174</v>
      </c>
      <c r="B29" s="58" t="s">
        <v>404</v>
      </c>
      <c r="C29" s="58" t="s">
        <v>258</v>
      </c>
      <c r="D29" s="58" t="s">
        <v>408</v>
      </c>
      <c r="E29" s="58" t="s">
        <v>238</v>
      </c>
      <c r="F29" s="89">
        <v>3</v>
      </c>
      <c r="G29" s="280">
        <v>180000</v>
      </c>
      <c r="H29" s="111">
        <f>Table11[[#This Row],[ĐƠN GIÁ ]]*Table11[[#This Row],[SỐ LƯỢNG ]]</f>
        <v>540000</v>
      </c>
      <c r="I29" s="113">
        <f>+Table11[[#This Row],[THÀNH TIỀN ]]*10%</f>
        <v>54000</v>
      </c>
    </row>
    <row r="30" spans="1:9" s="57" customFormat="1">
      <c r="A30" s="110">
        <v>43175</v>
      </c>
      <c r="B30" s="58" t="s">
        <v>404</v>
      </c>
      <c r="C30" s="58" t="s">
        <v>236</v>
      </c>
      <c r="D30" s="58" t="s">
        <v>260</v>
      </c>
      <c r="E30" s="58" t="s">
        <v>238</v>
      </c>
      <c r="F30" s="89">
        <v>5</v>
      </c>
      <c r="G30" s="111">
        <v>190000</v>
      </c>
      <c r="H30" s="111">
        <f>Table11[[#This Row],[ĐƠN GIÁ ]]*Table11[[#This Row],[SỐ LƯỢNG ]]</f>
        <v>950000</v>
      </c>
      <c r="I30" s="113">
        <f>+Table11[[#This Row],[THÀNH TIỀN ]]*10%</f>
        <v>95000</v>
      </c>
    </row>
    <row r="31" spans="1:9" s="57" customFormat="1">
      <c r="A31" s="110">
        <v>43176</v>
      </c>
      <c r="B31" s="58" t="s">
        <v>404</v>
      </c>
      <c r="C31" s="58" t="s">
        <v>258</v>
      </c>
      <c r="D31" s="58" t="s">
        <v>260</v>
      </c>
      <c r="E31" s="58" t="s">
        <v>238</v>
      </c>
      <c r="F31" s="89">
        <v>9</v>
      </c>
      <c r="G31" s="111">
        <v>230000</v>
      </c>
      <c r="H31" s="111">
        <f>Table11[[#This Row],[ĐƠN GIÁ ]]*Table11[[#This Row],[SỐ LƯỢNG ]]</f>
        <v>2070000</v>
      </c>
      <c r="I31" s="113">
        <f>+Table11[[#This Row],[THÀNH TIỀN ]]*10%</f>
        <v>207000</v>
      </c>
    </row>
    <row r="32" spans="1:9" s="57" customFormat="1">
      <c r="A32" s="110">
        <v>43176</v>
      </c>
      <c r="B32" s="58" t="s">
        <v>404</v>
      </c>
      <c r="C32" s="58" t="s">
        <v>243</v>
      </c>
      <c r="D32" s="58" t="s">
        <v>260</v>
      </c>
      <c r="E32" s="58" t="s">
        <v>238</v>
      </c>
      <c r="F32" s="89">
        <v>11</v>
      </c>
      <c r="G32" s="111">
        <v>180000</v>
      </c>
      <c r="H32" s="111">
        <f>Table11[[#This Row],[ĐƠN GIÁ ]]*Table11[[#This Row],[SỐ LƯỢNG ]]</f>
        <v>1980000</v>
      </c>
      <c r="I32" s="113">
        <f>+Table11[[#This Row],[THÀNH TIỀN ]]*10%</f>
        <v>198000</v>
      </c>
    </row>
    <row r="33" spans="1:9" s="57" customFormat="1">
      <c r="A33" s="110">
        <v>43176</v>
      </c>
      <c r="B33" s="58" t="s">
        <v>404</v>
      </c>
      <c r="C33" s="58" t="s">
        <v>243</v>
      </c>
      <c r="D33" s="58" t="s">
        <v>350</v>
      </c>
      <c r="E33" s="58" t="s">
        <v>238</v>
      </c>
      <c r="F33" s="89">
        <v>4</v>
      </c>
      <c r="G33" s="111">
        <v>180000</v>
      </c>
      <c r="H33" s="111">
        <f>Table11[[#This Row],[ĐƠN GIÁ ]]*Table11[[#This Row],[SỐ LƯỢNG ]]</f>
        <v>720000</v>
      </c>
      <c r="I33" s="113">
        <f>+Table11[[#This Row],[THÀNH TIỀN ]]*10%</f>
        <v>72000</v>
      </c>
    </row>
    <row r="34" spans="1:9" s="57" customFormat="1">
      <c r="A34" s="110">
        <v>43177</v>
      </c>
      <c r="B34" s="58" t="s">
        <v>404</v>
      </c>
      <c r="C34" s="58" t="s">
        <v>243</v>
      </c>
      <c r="D34" s="58" t="s">
        <v>266</v>
      </c>
      <c r="E34" s="58" t="s">
        <v>238</v>
      </c>
      <c r="F34" s="89">
        <v>22</v>
      </c>
      <c r="G34" s="111">
        <v>180000</v>
      </c>
      <c r="H34" s="111">
        <f>Table11[[#This Row],[ĐƠN GIÁ ]]*Table11[[#This Row],[SỐ LƯỢNG ]]</f>
        <v>3960000</v>
      </c>
      <c r="I34" s="113">
        <f>+Table11[[#This Row],[THÀNH TIỀN ]]*10%</f>
        <v>396000</v>
      </c>
    </row>
    <row r="35" spans="1:9" s="57" customFormat="1">
      <c r="A35" s="110">
        <v>43178</v>
      </c>
      <c r="B35" s="58" t="s">
        <v>404</v>
      </c>
      <c r="C35" s="58" t="s">
        <v>258</v>
      </c>
      <c r="D35" s="58" t="s">
        <v>262</v>
      </c>
      <c r="E35" s="58" t="s">
        <v>238</v>
      </c>
      <c r="F35" s="89">
        <v>7</v>
      </c>
      <c r="G35" s="111">
        <v>180000</v>
      </c>
      <c r="H35" s="111">
        <f>Table11[[#This Row],[ĐƠN GIÁ ]]*Table11[[#This Row],[SỐ LƯỢNG ]]</f>
        <v>1260000</v>
      </c>
      <c r="I35" s="113">
        <f>+Table11[[#This Row],[THÀNH TIỀN ]]*10%</f>
        <v>126000</v>
      </c>
    </row>
    <row r="36" spans="1:9" s="57" customFormat="1">
      <c r="A36" s="110">
        <v>43178</v>
      </c>
      <c r="B36" s="58" t="s">
        <v>404</v>
      </c>
      <c r="C36" s="58" t="s">
        <v>258</v>
      </c>
      <c r="D36" s="58" t="s">
        <v>266</v>
      </c>
      <c r="E36" s="58" t="s">
        <v>238</v>
      </c>
      <c r="F36" s="89">
        <v>4</v>
      </c>
      <c r="G36" s="111">
        <v>230000</v>
      </c>
      <c r="H36" s="111">
        <f>Table11[[#This Row],[ĐƠN GIÁ ]]*Table11[[#This Row],[SỐ LƯỢNG ]]</f>
        <v>920000</v>
      </c>
      <c r="I36" s="113">
        <f>+Table11[[#This Row],[THÀNH TIỀN ]]*10%</f>
        <v>92000</v>
      </c>
    </row>
    <row r="37" spans="1:9" s="57" customFormat="1">
      <c r="A37" s="110">
        <v>43178</v>
      </c>
      <c r="B37" s="58" t="s">
        <v>404</v>
      </c>
      <c r="C37" s="58" t="s">
        <v>258</v>
      </c>
      <c r="D37" s="58" t="s">
        <v>259</v>
      </c>
      <c r="E37" s="58" t="s">
        <v>238</v>
      </c>
      <c r="F37" s="89">
        <v>3</v>
      </c>
      <c r="G37" s="111">
        <v>230000</v>
      </c>
      <c r="H37" s="111">
        <f>Table11[[#This Row],[ĐƠN GIÁ ]]*Table11[[#This Row],[SỐ LƯỢNG ]]</f>
        <v>690000</v>
      </c>
      <c r="I37" s="113">
        <f>+Table11[[#This Row],[THÀNH TIỀN ]]*10%</f>
        <v>69000</v>
      </c>
    </row>
    <row r="38" spans="1:9" s="57" customFormat="1">
      <c r="A38" s="110">
        <v>43179</v>
      </c>
      <c r="B38" s="58" t="s">
        <v>404</v>
      </c>
      <c r="C38" s="58" t="s">
        <v>410</v>
      </c>
      <c r="D38" s="58" t="s">
        <v>266</v>
      </c>
      <c r="E38" s="58" t="s">
        <v>238</v>
      </c>
      <c r="F38" s="89">
        <v>1</v>
      </c>
      <c r="G38" s="111">
        <v>230000</v>
      </c>
      <c r="H38" s="111">
        <f>Table11[[#This Row],[ĐƠN GIÁ ]]*Table11[[#This Row],[SỐ LƯỢNG ]]</f>
        <v>230000</v>
      </c>
      <c r="I38" s="113">
        <f>+Table11[[#This Row],[THÀNH TIỀN ]]*10%</f>
        <v>23000</v>
      </c>
    </row>
    <row r="39" spans="1:9" s="57" customFormat="1">
      <c r="A39" s="110">
        <v>43182</v>
      </c>
      <c r="B39" s="58" t="s">
        <v>404</v>
      </c>
      <c r="C39" s="58" t="s">
        <v>411</v>
      </c>
      <c r="D39" s="58" t="s">
        <v>260</v>
      </c>
      <c r="E39" s="58" t="s">
        <v>238</v>
      </c>
      <c r="F39" s="89">
        <v>3</v>
      </c>
      <c r="G39" s="111">
        <v>230000</v>
      </c>
      <c r="H39" s="111">
        <f>Table11[[#This Row],[ĐƠN GIÁ ]]*Table11[[#This Row],[SỐ LƯỢNG ]]</f>
        <v>690000</v>
      </c>
      <c r="I39" s="113">
        <f>+Table11[[#This Row],[THÀNH TIỀN ]]*10%</f>
        <v>69000</v>
      </c>
    </row>
    <row r="40" spans="1:9" s="57" customFormat="1">
      <c r="A40" s="110">
        <v>43182</v>
      </c>
      <c r="B40" s="58" t="s">
        <v>404</v>
      </c>
      <c r="C40" s="58" t="s">
        <v>411</v>
      </c>
      <c r="D40" s="58" t="s">
        <v>378</v>
      </c>
      <c r="E40" s="58" t="s">
        <v>238</v>
      </c>
      <c r="F40" s="89">
        <v>3</v>
      </c>
      <c r="G40" s="111">
        <v>200000</v>
      </c>
      <c r="H40" s="111">
        <f>Table11[[#This Row],[ĐƠN GIÁ ]]*Table11[[#This Row],[SỐ LƯỢNG ]]</f>
        <v>600000</v>
      </c>
      <c r="I40" s="113">
        <f>+Table11[[#This Row],[THÀNH TIỀN ]]*10%</f>
        <v>60000</v>
      </c>
    </row>
    <row r="41" spans="1:9" s="57" customFormat="1">
      <c r="A41" s="110">
        <v>43183</v>
      </c>
      <c r="B41" s="58" t="s">
        <v>404</v>
      </c>
      <c r="C41" s="58" t="s">
        <v>411</v>
      </c>
      <c r="D41" s="58" t="s">
        <v>355</v>
      </c>
      <c r="E41" s="58" t="s">
        <v>238</v>
      </c>
      <c r="F41" s="89">
        <v>13</v>
      </c>
      <c r="G41" s="111">
        <v>220000</v>
      </c>
      <c r="H41" s="111">
        <f>Table11[[#This Row],[ĐƠN GIÁ ]]*Table11[[#This Row],[SỐ LƯỢNG ]]</f>
        <v>2860000</v>
      </c>
      <c r="I41" s="113">
        <f>+Table11[[#This Row],[THÀNH TIỀN ]]*10%</f>
        <v>286000</v>
      </c>
    </row>
    <row r="42" spans="1:9" s="57" customFormat="1">
      <c r="A42" s="110">
        <v>43184</v>
      </c>
      <c r="B42" s="58" t="s">
        <v>404</v>
      </c>
      <c r="C42" s="58" t="s">
        <v>343</v>
      </c>
      <c r="D42" s="58" t="s">
        <v>405</v>
      </c>
      <c r="E42" s="58" t="s">
        <v>238</v>
      </c>
      <c r="F42" s="89">
        <v>1</v>
      </c>
      <c r="G42" s="111">
        <v>220000</v>
      </c>
      <c r="H42" s="111">
        <f>Table11[[#This Row],[ĐƠN GIÁ ]]*Table11[[#This Row],[SỐ LƯỢNG ]]</f>
        <v>220000</v>
      </c>
      <c r="I42" s="113">
        <f>+Table11[[#This Row],[THÀNH TIỀN ]]*10%</f>
        <v>22000</v>
      </c>
    </row>
    <row r="43" spans="1:9" s="57" customFormat="1">
      <c r="A43" s="110">
        <v>43184</v>
      </c>
      <c r="B43" s="58" t="s">
        <v>404</v>
      </c>
      <c r="C43" s="58" t="s">
        <v>243</v>
      </c>
      <c r="D43" s="58" t="s">
        <v>266</v>
      </c>
      <c r="E43" s="58" t="s">
        <v>238</v>
      </c>
      <c r="F43" s="89">
        <v>1</v>
      </c>
      <c r="G43" s="111">
        <v>180000</v>
      </c>
      <c r="H43" s="111">
        <f>Table11[[#This Row],[ĐƠN GIÁ ]]*Table11[[#This Row],[SỐ LƯỢNG ]]</f>
        <v>180000</v>
      </c>
      <c r="I43" s="113">
        <f>+Table11[[#This Row],[THÀNH TIỀN ]]*10%</f>
        <v>18000</v>
      </c>
    </row>
    <row r="44" spans="1:9" s="57" customFormat="1">
      <c r="A44" s="110">
        <v>43184</v>
      </c>
      <c r="B44" s="58" t="s">
        <v>404</v>
      </c>
      <c r="C44" s="58" t="s">
        <v>411</v>
      </c>
      <c r="D44" s="58" t="s">
        <v>355</v>
      </c>
      <c r="E44" s="58" t="s">
        <v>238</v>
      </c>
      <c r="F44" s="89">
        <v>4</v>
      </c>
      <c r="G44" s="280">
        <v>220000</v>
      </c>
      <c r="H44" s="111">
        <f>Table11[[#This Row],[ĐƠN GIÁ ]]*Table11[[#This Row],[SỐ LƯỢNG ]]</f>
        <v>880000</v>
      </c>
      <c r="I44" s="113">
        <f>+Table11[[#This Row],[THÀNH TIỀN ]]*10%</f>
        <v>88000</v>
      </c>
    </row>
    <row r="45" spans="1:9" s="57" customFormat="1">
      <c r="A45" s="110">
        <v>43184</v>
      </c>
      <c r="B45" s="58" t="s">
        <v>404</v>
      </c>
      <c r="C45" s="58" t="s">
        <v>411</v>
      </c>
      <c r="D45" s="58" t="s">
        <v>266</v>
      </c>
      <c r="E45" s="58" t="s">
        <v>238</v>
      </c>
      <c r="F45" s="89">
        <v>3</v>
      </c>
      <c r="G45" s="280">
        <v>230000</v>
      </c>
      <c r="H45" s="111">
        <f>Table11[[#This Row],[ĐƠN GIÁ ]]*Table11[[#This Row],[SỐ LƯỢNG ]]</f>
        <v>690000</v>
      </c>
      <c r="I45" s="113">
        <f>+Table11[[#This Row],[THÀNH TIỀN ]]*10%</f>
        <v>69000</v>
      </c>
    </row>
    <row r="46" spans="1:9" s="57" customFormat="1">
      <c r="A46" s="110">
        <v>43185</v>
      </c>
      <c r="B46" s="58" t="s">
        <v>404</v>
      </c>
      <c r="C46" s="58" t="s">
        <v>278</v>
      </c>
      <c r="D46" s="119" t="s">
        <v>354</v>
      </c>
      <c r="E46" s="58" t="s">
        <v>238</v>
      </c>
      <c r="F46" s="89">
        <v>3</v>
      </c>
      <c r="G46" s="111"/>
      <c r="H46" s="111">
        <f>Table11[[#This Row],[ĐƠN GIÁ ]]*Table11[[#This Row],[SỐ LƯỢNG ]]</f>
        <v>0</v>
      </c>
      <c r="I46" s="113">
        <f>+Table11[[#This Row],[THÀNH TIỀN ]]*10%</f>
        <v>0</v>
      </c>
    </row>
    <row r="47" spans="1:9" s="57" customFormat="1">
      <c r="A47" s="110">
        <v>43185</v>
      </c>
      <c r="B47" s="58" t="s">
        <v>404</v>
      </c>
      <c r="C47" s="58" t="s">
        <v>278</v>
      </c>
      <c r="D47" s="58" t="s">
        <v>266</v>
      </c>
      <c r="E47" s="58" t="s">
        <v>238</v>
      </c>
      <c r="F47" s="89">
        <v>5</v>
      </c>
      <c r="G47" s="111">
        <v>250000</v>
      </c>
      <c r="H47" s="111">
        <f>Table11[[#This Row],[ĐƠN GIÁ ]]*Table11[[#This Row],[SỐ LƯỢNG ]]</f>
        <v>1250000</v>
      </c>
      <c r="I47" s="113">
        <f>+Table11[[#This Row],[THÀNH TIỀN ]]*10%</f>
        <v>125000</v>
      </c>
    </row>
    <row r="48" spans="1:9" s="57" customFormat="1">
      <c r="A48" s="110">
        <v>43186</v>
      </c>
      <c r="B48" s="58" t="s">
        <v>404</v>
      </c>
      <c r="C48" s="58" t="s">
        <v>411</v>
      </c>
      <c r="D48" s="58" t="s">
        <v>360</v>
      </c>
      <c r="E48" s="58" t="s">
        <v>238</v>
      </c>
      <c r="F48" s="89">
        <v>1</v>
      </c>
      <c r="G48" s="111">
        <v>230000</v>
      </c>
      <c r="H48" s="111">
        <f>Table11[[#This Row],[ĐƠN GIÁ ]]*Table11[[#This Row],[SỐ LƯỢNG ]]</f>
        <v>230000</v>
      </c>
      <c r="I48" s="113">
        <f>+Table11[[#This Row],[THÀNH TIỀN ]]*10%</f>
        <v>23000</v>
      </c>
    </row>
    <row r="49" spans="1:9" s="57" customFormat="1">
      <c r="A49" s="110">
        <v>43186</v>
      </c>
      <c r="B49" s="58" t="s">
        <v>404</v>
      </c>
      <c r="C49" s="58" t="s">
        <v>411</v>
      </c>
      <c r="D49" s="58" t="s">
        <v>350</v>
      </c>
      <c r="E49" s="58" t="s">
        <v>238</v>
      </c>
      <c r="F49" s="89">
        <v>9</v>
      </c>
      <c r="G49" s="111">
        <v>220000</v>
      </c>
      <c r="H49" s="111">
        <f>Table11[[#This Row],[ĐƠN GIÁ ]]*Table11[[#This Row],[SỐ LƯỢNG ]]</f>
        <v>1980000</v>
      </c>
      <c r="I49" s="113">
        <f>+Table11[[#This Row],[THÀNH TIỀN ]]*10%</f>
        <v>198000</v>
      </c>
    </row>
    <row r="50" spans="1:9" s="57" customFormat="1">
      <c r="A50" s="110">
        <v>43187</v>
      </c>
      <c r="B50" s="58" t="s">
        <v>404</v>
      </c>
      <c r="C50" s="58" t="s">
        <v>361</v>
      </c>
      <c r="D50" s="58" t="s">
        <v>381</v>
      </c>
      <c r="E50" s="58" t="s">
        <v>238</v>
      </c>
      <c r="F50" s="89">
        <v>17</v>
      </c>
      <c r="G50" s="111">
        <v>85000</v>
      </c>
      <c r="H50" s="111">
        <f>Table11[[#This Row],[ĐƠN GIÁ ]]*Table11[[#This Row],[SỐ LƯỢNG ]]</f>
        <v>1445000</v>
      </c>
      <c r="I50" s="113">
        <f>+Table11[[#This Row],[THÀNH TIỀN ]]*10%</f>
        <v>144500</v>
      </c>
    </row>
    <row r="51" spans="1:9" s="57" customFormat="1">
      <c r="A51" s="114">
        <v>43187</v>
      </c>
      <c r="B51" s="115" t="s">
        <v>404</v>
      </c>
      <c r="C51" s="58" t="s">
        <v>411</v>
      </c>
      <c r="D51" s="115" t="s">
        <v>266</v>
      </c>
      <c r="E51" s="115" t="s">
        <v>238</v>
      </c>
      <c r="F51" s="116">
        <v>1</v>
      </c>
      <c r="G51" s="111">
        <v>230000</v>
      </c>
      <c r="H51" s="117">
        <f>Table11[[#This Row],[ĐƠN GIÁ ]]*Table11[[#This Row],[SỐ LƯỢNG ]]</f>
        <v>230000</v>
      </c>
      <c r="I51" s="113">
        <f>+Table11[[#This Row],[THÀNH TIỀN ]]*10%</f>
        <v>23000</v>
      </c>
    </row>
    <row r="52" spans="1:9" s="44" customFormat="1">
      <c r="A52" s="109"/>
      <c r="B52" s="100"/>
      <c r="C52" s="100"/>
      <c r="D52" s="100"/>
      <c r="E52" s="100"/>
      <c r="F52" s="287">
        <f>SUM(F10:F51)</f>
        <v>312</v>
      </c>
      <c r="G52" s="288"/>
      <c r="H52" s="288">
        <f>SUBTOTAL(109,[[THÀNH TIỀN ]])</f>
        <v>52307896</v>
      </c>
      <c r="I52" s="288">
        <f>SUBTOTAL(109,[LTX])</f>
        <v>5230789.5999999996</v>
      </c>
    </row>
    <row r="54" spans="1:9">
      <c r="C54" s="329" t="s">
        <v>34</v>
      </c>
      <c r="D54" s="330"/>
      <c r="E54" s="330"/>
      <c r="F54" s="331"/>
      <c r="G54" s="14"/>
      <c r="H54" s="14">
        <f>+Table11[[#Totals],[THÀNH TIỀN ]]</f>
        <v>52307896</v>
      </c>
    </row>
    <row r="55" spans="1:9">
      <c r="C55" s="329" t="s">
        <v>35</v>
      </c>
      <c r="D55" s="330"/>
      <c r="E55" s="330"/>
      <c r="F55" s="331"/>
      <c r="G55" s="14"/>
      <c r="H55" s="14">
        <f>+Table11[[#Totals],[LTX]]</f>
        <v>5230789.5999999996</v>
      </c>
    </row>
    <row r="56" spans="1:9">
      <c r="C56" s="329" t="s">
        <v>36</v>
      </c>
      <c r="D56" s="330"/>
      <c r="E56" s="330"/>
      <c r="F56" s="331"/>
      <c r="G56" s="14"/>
      <c r="H56" s="14"/>
    </row>
    <row r="57" spans="1:9">
      <c r="C57" s="329" t="s">
        <v>100</v>
      </c>
      <c r="D57" s="330"/>
      <c r="E57" s="330"/>
      <c r="F57" s="331"/>
      <c r="G57" s="14"/>
      <c r="H57" s="14">
        <f>+E66</f>
        <v>14800000</v>
      </c>
    </row>
    <row r="58" spans="1:9">
      <c r="C58" s="329" t="s">
        <v>112</v>
      </c>
      <c r="D58" s="330"/>
      <c r="E58" s="330"/>
      <c r="F58" s="331"/>
      <c r="G58" s="14"/>
      <c r="H58" s="14">
        <f>+H54-H55-H56-H57</f>
        <v>32277106.399999999</v>
      </c>
    </row>
    <row r="60" spans="1:9">
      <c r="C60" s="46" t="s">
        <v>126</v>
      </c>
      <c r="D60" s="47" t="s">
        <v>121</v>
      </c>
      <c r="E60" s="339">
        <v>3800000</v>
      </c>
      <c r="F60" s="339"/>
      <c r="I60"/>
    </row>
    <row r="61" spans="1:9">
      <c r="C61" s="46" t="s">
        <v>126</v>
      </c>
      <c r="D61" s="47" t="s">
        <v>122</v>
      </c>
      <c r="E61" s="339">
        <v>2400000</v>
      </c>
      <c r="F61" s="339"/>
      <c r="I61"/>
    </row>
    <row r="62" spans="1:9">
      <c r="C62" s="46" t="s">
        <v>126</v>
      </c>
      <c r="D62" s="47" t="s">
        <v>123</v>
      </c>
      <c r="E62" s="339">
        <v>450000</v>
      </c>
      <c r="F62" s="339"/>
      <c r="I62"/>
    </row>
    <row r="63" spans="1:9">
      <c r="C63" s="46" t="s">
        <v>126</v>
      </c>
      <c r="D63" s="47" t="s">
        <v>124</v>
      </c>
      <c r="E63" s="339">
        <v>450000</v>
      </c>
      <c r="F63" s="339"/>
      <c r="I63"/>
    </row>
    <row r="64" spans="1:9">
      <c r="C64" s="46" t="s">
        <v>126</v>
      </c>
      <c r="D64" s="47" t="s">
        <v>125</v>
      </c>
      <c r="E64" s="339">
        <v>300000</v>
      </c>
      <c r="F64" s="339"/>
      <c r="I64"/>
    </row>
    <row r="65" spans="3:9">
      <c r="C65" s="46" t="s">
        <v>491</v>
      </c>
      <c r="D65" s="47" t="s">
        <v>492</v>
      </c>
      <c r="E65" s="339">
        <v>7400000</v>
      </c>
      <c r="F65" s="339"/>
      <c r="I65"/>
    </row>
    <row r="66" spans="3:9">
      <c r="E66" s="340">
        <f>SUM(E60:E65)</f>
        <v>14800000</v>
      </c>
      <c r="F66" s="340"/>
    </row>
  </sheetData>
  <mergeCells count="13">
    <mergeCell ref="E65:F65"/>
    <mergeCell ref="E66:F66"/>
    <mergeCell ref="E60:F60"/>
    <mergeCell ref="E61:F61"/>
    <mergeCell ref="E62:F62"/>
    <mergeCell ref="E63:F63"/>
    <mergeCell ref="E64:F64"/>
    <mergeCell ref="C58:F58"/>
    <mergeCell ref="C54:F54"/>
    <mergeCell ref="C55:F55"/>
    <mergeCell ref="A5:I7"/>
    <mergeCell ref="C56:F56"/>
    <mergeCell ref="C57:F57"/>
  </mergeCells>
  <pageMargins left="0.7" right="0.7" top="0.75" bottom="0.75" header="0.3" footer="0.3"/>
  <pageSetup paperSize="9" orientation="landscape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C000"/>
  </sheetPr>
  <dimension ref="A1:K55"/>
  <sheetViews>
    <sheetView topLeftCell="A30" workbookViewId="0">
      <selection activeCell="M49" sqref="M49"/>
    </sheetView>
  </sheetViews>
  <sheetFormatPr defaultRowHeight="15"/>
  <cols>
    <col min="1" max="1" width="13.85546875" customWidth="1"/>
    <col min="2" max="2" width="9.140625" customWidth="1"/>
    <col min="3" max="3" width="20.42578125" customWidth="1"/>
    <col min="4" max="4" width="19.28515625" customWidth="1"/>
    <col min="5" max="5" width="12.5703125" customWidth="1"/>
    <col min="6" max="6" width="7.7109375" customWidth="1"/>
    <col min="7" max="7" width="6.5703125" customWidth="1"/>
    <col min="8" max="8" width="7.140625" customWidth="1"/>
    <col min="9" max="9" width="13.140625" customWidth="1"/>
    <col min="10" max="10" width="12.5703125" style="6" customWidth="1"/>
    <col min="11" max="11" width="18.42578125" style="6" customWidth="1"/>
  </cols>
  <sheetData>
    <row r="1" spans="1:11">
      <c r="A1" s="1" t="s">
        <v>0</v>
      </c>
      <c r="B1" s="1"/>
      <c r="C1" s="1"/>
      <c r="D1" s="3"/>
      <c r="E1" s="3"/>
      <c r="F1" s="3"/>
      <c r="G1" s="3"/>
      <c r="H1" s="4"/>
      <c r="I1" s="10"/>
      <c r="J1" s="5"/>
      <c r="K1" s="5"/>
    </row>
    <row r="2" spans="1:11">
      <c r="A2" s="1" t="s">
        <v>1</v>
      </c>
      <c r="B2" s="1"/>
      <c r="C2" s="1"/>
      <c r="D2" s="3"/>
      <c r="E2" s="3"/>
      <c r="F2" s="3"/>
      <c r="G2" s="3"/>
      <c r="H2" s="4"/>
      <c r="I2" s="10"/>
      <c r="J2" s="5"/>
      <c r="K2" s="5"/>
    </row>
    <row r="3" spans="1:11">
      <c r="A3" s="1" t="s">
        <v>2</v>
      </c>
      <c r="B3" s="1"/>
      <c r="C3" s="1"/>
      <c r="D3" s="3"/>
      <c r="E3" s="3"/>
      <c r="F3" s="3"/>
      <c r="G3" s="3"/>
      <c r="H3" s="4"/>
      <c r="I3" s="10"/>
      <c r="J3" s="5"/>
      <c r="K3" s="5"/>
    </row>
    <row r="4" spans="1:11">
      <c r="A4" s="1" t="s">
        <v>3</v>
      </c>
      <c r="B4" s="1"/>
      <c r="C4" s="1"/>
      <c r="D4" s="3"/>
      <c r="E4" s="3"/>
      <c r="F4" s="3"/>
      <c r="G4" s="3"/>
      <c r="H4" s="4"/>
      <c r="I4" s="10"/>
      <c r="J4" s="5"/>
      <c r="K4" s="5"/>
    </row>
    <row r="5" spans="1:11">
      <c r="A5" s="328" t="s">
        <v>221</v>
      </c>
      <c r="B5" s="328"/>
      <c r="C5" s="328"/>
      <c r="D5" s="328"/>
      <c r="E5" s="328"/>
      <c r="F5" s="328"/>
      <c r="G5" s="328"/>
      <c r="H5" s="328"/>
      <c r="I5" s="328"/>
      <c r="J5" s="341"/>
      <c r="K5" s="341"/>
    </row>
    <row r="6" spans="1:11">
      <c r="A6" s="328"/>
      <c r="B6" s="328"/>
      <c r="C6" s="328"/>
      <c r="D6" s="328"/>
      <c r="E6" s="328"/>
      <c r="F6" s="328"/>
      <c r="G6" s="328"/>
      <c r="H6" s="328"/>
      <c r="I6" s="328"/>
      <c r="J6" s="341"/>
      <c r="K6" s="341"/>
    </row>
    <row r="7" spans="1:11">
      <c r="A7" s="328"/>
      <c r="B7" s="328"/>
      <c r="C7" s="328"/>
      <c r="D7" s="328"/>
      <c r="E7" s="328"/>
      <c r="F7" s="328"/>
      <c r="G7" s="328"/>
      <c r="H7" s="328"/>
      <c r="I7" s="328"/>
      <c r="J7" s="341"/>
      <c r="K7" s="341"/>
    </row>
    <row r="8" spans="1:11" ht="18.75">
      <c r="D8" s="12" t="s">
        <v>27</v>
      </c>
    </row>
    <row r="10" spans="1:11" s="26" customFormat="1">
      <c r="A10" s="27" t="s">
        <v>5</v>
      </c>
      <c r="B10" s="28" t="s">
        <v>6</v>
      </c>
      <c r="C10" s="28" t="s">
        <v>7</v>
      </c>
      <c r="D10" s="29" t="s">
        <v>8</v>
      </c>
      <c r="E10" s="28" t="s">
        <v>9</v>
      </c>
      <c r="F10" s="28" t="s">
        <v>10</v>
      </c>
      <c r="G10" s="28" t="s">
        <v>11</v>
      </c>
      <c r="H10" s="30" t="s">
        <v>12</v>
      </c>
      <c r="I10" s="29" t="s">
        <v>13</v>
      </c>
      <c r="J10" s="29" t="s">
        <v>14</v>
      </c>
      <c r="K10" s="31" t="s">
        <v>15</v>
      </c>
    </row>
    <row r="11" spans="1:11" s="57" customFormat="1">
      <c r="A11" s="110">
        <v>43162</v>
      </c>
      <c r="B11" s="58">
        <v>3795</v>
      </c>
      <c r="C11" s="58" t="s">
        <v>243</v>
      </c>
      <c r="D11" s="58" t="s">
        <v>350</v>
      </c>
      <c r="E11" s="58" t="s">
        <v>238</v>
      </c>
      <c r="F11" s="58"/>
      <c r="G11" s="58"/>
      <c r="H11" s="58"/>
      <c r="I11" s="89">
        <v>13</v>
      </c>
      <c r="J11" s="123">
        <v>180000</v>
      </c>
      <c r="K11" s="121">
        <f>+Table14[[#This Row],[SỐ LƯỢNG ]]*Table14[[#This Row],[ĐƠN GIÁ ]]</f>
        <v>2340000</v>
      </c>
    </row>
    <row r="12" spans="1:11" s="57" customFormat="1">
      <c r="A12" s="110">
        <v>43162</v>
      </c>
      <c r="B12" s="58">
        <v>3795</v>
      </c>
      <c r="C12" s="58" t="s">
        <v>243</v>
      </c>
      <c r="D12" s="58" t="s">
        <v>369</v>
      </c>
      <c r="E12" s="58" t="s">
        <v>238</v>
      </c>
      <c r="F12" s="58"/>
      <c r="G12" s="58"/>
      <c r="H12" s="58"/>
      <c r="I12" s="89">
        <v>1</v>
      </c>
      <c r="J12" s="292">
        <v>100000</v>
      </c>
      <c r="K12" s="121">
        <f>+Table14[[#This Row],[SỐ LƯỢNG ]]*Table14[[#This Row],[ĐƠN GIÁ ]]</f>
        <v>100000</v>
      </c>
    </row>
    <row r="13" spans="1:11" s="57" customFormat="1">
      <c r="A13" s="110">
        <v>43163</v>
      </c>
      <c r="B13" s="58">
        <v>3795</v>
      </c>
      <c r="C13" s="58" t="s">
        <v>367</v>
      </c>
      <c r="D13" s="58" t="s">
        <v>412</v>
      </c>
      <c r="E13" s="58" t="s">
        <v>238</v>
      </c>
      <c r="F13" s="58"/>
      <c r="G13" s="58"/>
      <c r="H13" s="58"/>
      <c r="I13" s="89">
        <v>28</v>
      </c>
      <c r="J13" s="123">
        <v>90000</v>
      </c>
      <c r="K13" s="121">
        <f>+Table14[[#This Row],[SỐ LƯỢNG ]]*Table14[[#This Row],[ĐƠN GIÁ ]]</f>
        <v>2520000</v>
      </c>
    </row>
    <row r="14" spans="1:11" s="57" customFormat="1">
      <c r="A14" s="110">
        <v>43164</v>
      </c>
      <c r="B14" s="58">
        <v>3795</v>
      </c>
      <c r="C14" s="58" t="s">
        <v>367</v>
      </c>
      <c r="D14" s="58" t="s">
        <v>412</v>
      </c>
      <c r="E14" s="58" t="s">
        <v>238</v>
      </c>
      <c r="F14" s="58"/>
      <c r="G14" s="58"/>
      <c r="H14" s="58"/>
      <c r="I14" s="89">
        <v>20</v>
      </c>
      <c r="J14" s="123">
        <v>90000</v>
      </c>
      <c r="K14" s="121">
        <f>+Table14[[#This Row],[SỐ LƯỢNG ]]*Table14[[#This Row],[ĐƠN GIÁ ]]</f>
        <v>1800000</v>
      </c>
    </row>
    <row r="15" spans="1:11" s="57" customFormat="1">
      <c r="A15" s="110">
        <v>43164</v>
      </c>
      <c r="B15" s="58">
        <v>3795</v>
      </c>
      <c r="C15" s="58" t="s">
        <v>348</v>
      </c>
      <c r="D15" s="58" t="s">
        <v>232</v>
      </c>
      <c r="E15" s="58" t="s">
        <v>238</v>
      </c>
      <c r="F15" s="58"/>
      <c r="G15" s="58"/>
      <c r="H15" s="58"/>
      <c r="I15" s="89">
        <v>1</v>
      </c>
      <c r="J15" s="123">
        <v>150000</v>
      </c>
      <c r="K15" s="121">
        <f>+Table14[[#This Row],[SỐ LƯỢNG ]]*Table14[[#This Row],[ĐƠN GIÁ ]]</f>
        <v>150000</v>
      </c>
    </row>
    <row r="16" spans="1:11" s="57" customFormat="1">
      <c r="A16" s="110">
        <v>43165</v>
      </c>
      <c r="B16" s="58">
        <v>3795</v>
      </c>
      <c r="C16" s="58" t="s">
        <v>348</v>
      </c>
      <c r="D16" s="58" t="s">
        <v>232</v>
      </c>
      <c r="E16" s="58" t="s">
        <v>238</v>
      </c>
      <c r="F16" s="58"/>
      <c r="G16" s="58"/>
      <c r="H16" s="58"/>
      <c r="I16" s="89">
        <v>9</v>
      </c>
      <c r="J16" s="123">
        <v>150000</v>
      </c>
      <c r="K16" s="121">
        <f>+Table14[[#This Row],[SỐ LƯỢNG ]]*Table14[[#This Row],[ĐƠN GIÁ ]]</f>
        <v>1350000</v>
      </c>
    </row>
    <row r="17" spans="1:11" s="57" customFormat="1">
      <c r="A17" s="110">
        <v>43165</v>
      </c>
      <c r="B17" s="58">
        <v>3795</v>
      </c>
      <c r="C17" s="58" t="s">
        <v>348</v>
      </c>
      <c r="D17" s="58" t="s">
        <v>246</v>
      </c>
      <c r="E17" s="58" t="s">
        <v>238</v>
      </c>
      <c r="F17" s="58"/>
      <c r="G17" s="58"/>
      <c r="H17" s="58"/>
      <c r="I17" s="89">
        <v>5</v>
      </c>
      <c r="J17" s="123">
        <v>190000</v>
      </c>
      <c r="K17" s="121">
        <f>+Table14[[#This Row],[SỐ LƯỢNG ]]*Table14[[#This Row],[ĐƠN GIÁ ]]</f>
        <v>950000</v>
      </c>
    </row>
    <row r="18" spans="1:11" s="57" customFormat="1">
      <c r="A18" s="110">
        <v>43167</v>
      </c>
      <c r="B18" s="58">
        <v>3795</v>
      </c>
      <c r="C18" s="58" t="s">
        <v>343</v>
      </c>
      <c r="D18" s="58" t="s">
        <v>344</v>
      </c>
      <c r="E18" s="58" t="s">
        <v>238</v>
      </c>
      <c r="F18" s="58"/>
      <c r="G18" s="58"/>
      <c r="H18" s="58"/>
      <c r="I18" s="89">
        <v>2</v>
      </c>
      <c r="J18" s="123">
        <v>200000</v>
      </c>
      <c r="K18" s="121">
        <f>+Table14[[#This Row],[SỐ LƯỢNG ]]*Table14[[#This Row],[ĐƠN GIÁ ]]</f>
        <v>400000</v>
      </c>
    </row>
    <row r="19" spans="1:11" s="57" customFormat="1">
      <c r="A19" s="110">
        <v>43167</v>
      </c>
      <c r="B19" s="58">
        <v>3795</v>
      </c>
      <c r="C19" s="58" t="s">
        <v>343</v>
      </c>
      <c r="D19" s="58" t="s">
        <v>237</v>
      </c>
      <c r="E19" s="58" t="s">
        <v>238</v>
      </c>
      <c r="F19" s="58"/>
      <c r="G19" s="58"/>
      <c r="H19" s="58"/>
      <c r="I19" s="89">
        <v>5</v>
      </c>
      <c r="J19" s="123">
        <v>230000</v>
      </c>
      <c r="K19" s="121">
        <f>+Table14[[#This Row],[SỐ LƯỢNG ]]*Table14[[#This Row],[ĐƠN GIÁ ]]</f>
        <v>1150000</v>
      </c>
    </row>
    <row r="20" spans="1:11" s="57" customFormat="1">
      <c r="A20" s="110">
        <v>43167</v>
      </c>
      <c r="B20" s="58">
        <v>3795</v>
      </c>
      <c r="C20" s="58" t="s">
        <v>343</v>
      </c>
      <c r="D20" s="58" t="s">
        <v>264</v>
      </c>
      <c r="E20" s="58" t="s">
        <v>238</v>
      </c>
      <c r="F20" s="58"/>
      <c r="G20" s="58"/>
      <c r="H20" s="58"/>
      <c r="I20" s="89">
        <v>1</v>
      </c>
      <c r="J20" s="123">
        <v>200000</v>
      </c>
      <c r="K20" s="121">
        <f>+Table14[[#This Row],[SỐ LƯỢNG ]]*Table14[[#This Row],[ĐƠN GIÁ ]]</f>
        <v>200000</v>
      </c>
    </row>
    <row r="21" spans="1:11" s="57" customFormat="1">
      <c r="A21" s="110">
        <v>43169</v>
      </c>
      <c r="B21" s="58">
        <v>3795</v>
      </c>
      <c r="C21" s="58" t="s">
        <v>275</v>
      </c>
      <c r="D21" s="58" t="s">
        <v>342</v>
      </c>
      <c r="E21" s="58"/>
      <c r="F21" s="58"/>
      <c r="G21" s="58" t="s">
        <v>503</v>
      </c>
      <c r="H21" s="58"/>
      <c r="I21" s="89">
        <v>14</v>
      </c>
      <c r="J21" s="123">
        <v>190000</v>
      </c>
      <c r="K21" s="121">
        <f>+Table14[[#This Row],[SỐ LƯỢNG ]]*Table14[[#This Row],[ĐƠN GIÁ ]]</f>
        <v>2660000</v>
      </c>
    </row>
    <row r="22" spans="1:11" s="57" customFormat="1">
      <c r="A22" s="110">
        <v>43169</v>
      </c>
      <c r="B22" s="58">
        <v>3795</v>
      </c>
      <c r="C22" s="58" t="s">
        <v>275</v>
      </c>
      <c r="D22" s="58" t="s">
        <v>342</v>
      </c>
      <c r="E22" s="58"/>
      <c r="F22" s="58"/>
      <c r="G22" s="58" t="s">
        <v>504</v>
      </c>
      <c r="H22" s="58"/>
      <c r="I22" s="89">
        <v>7</v>
      </c>
      <c r="J22" s="123">
        <v>150000</v>
      </c>
      <c r="K22" s="121">
        <f>+Table14[[#This Row],[SỐ LƯỢNG ]]*Table14[[#This Row],[ĐƠN GIÁ ]]</f>
        <v>1050000</v>
      </c>
    </row>
    <row r="23" spans="1:11" s="57" customFormat="1">
      <c r="A23" s="110">
        <v>43170</v>
      </c>
      <c r="B23" s="58">
        <v>3795</v>
      </c>
      <c r="C23" s="58" t="s">
        <v>275</v>
      </c>
      <c r="D23" s="58" t="s">
        <v>342</v>
      </c>
      <c r="E23" s="58"/>
      <c r="F23" s="58"/>
      <c r="G23" s="58" t="s">
        <v>504</v>
      </c>
      <c r="H23" s="58"/>
      <c r="I23" s="89">
        <v>20</v>
      </c>
      <c r="J23" s="123">
        <v>150000</v>
      </c>
      <c r="K23" s="121">
        <f>+Table14[[#This Row],[SỐ LƯỢNG ]]*Table14[[#This Row],[ĐƠN GIÁ ]]</f>
        <v>3000000</v>
      </c>
    </row>
    <row r="24" spans="1:11" s="57" customFormat="1">
      <c r="A24" s="110">
        <v>43171</v>
      </c>
      <c r="B24" s="58">
        <v>3795</v>
      </c>
      <c r="C24" s="58" t="s">
        <v>275</v>
      </c>
      <c r="D24" s="58" t="s">
        <v>342</v>
      </c>
      <c r="E24" s="58"/>
      <c r="F24" s="58"/>
      <c r="G24" s="58" t="s">
        <v>500</v>
      </c>
      <c r="H24" s="58"/>
      <c r="I24" s="89">
        <v>17</v>
      </c>
      <c r="J24" s="123">
        <v>100000</v>
      </c>
      <c r="K24" s="121">
        <f>+Table14[[#This Row],[SỐ LƯỢNG ]]*Table14[[#This Row],[ĐƠN GIÁ ]]</f>
        <v>1700000</v>
      </c>
    </row>
    <row r="25" spans="1:11" s="57" customFormat="1">
      <c r="A25" s="110">
        <v>43172</v>
      </c>
      <c r="B25" s="58">
        <v>3795</v>
      </c>
      <c r="C25" s="58" t="s">
        <v>275</v>
      </c>
      <c r="D25" s="58" t="s">
        <v>342</v>
      </c>
      <c r="E25" s="58"/>
      <c r="F25" s="58"/>
      <c r="G25" s="58" t="s">
        <v>500</v>
      </c>
      <c r="H25" s="58"/>
      <c r="I25" s="89">
        <v>6</v>
      </c>
      <c r="J25" s="123">
        <v>100000</v>
      </c>
      <c r="K25" s="121">
        <f>+Table14[[#This Row],[SỐ LƯỢNG ]]*Table14[[#This Row],[ĐƠN GIÁ ]]</f>
        <v>600000</v>
      </c>
    </row>
    <row r="26" spans="1:11" s="57" customFormat="1">
      <c r="A26" s="110">
        <v>43172</v>
      </c>
      <c r="B26" s="58">
        <v>3795</v>
      </c>
      <c r="C26" s="58" t="s">
        <v>413</v>
      </c>
      <c r="D26" s="58" t="s">
        <v>342</v>
      </c>
      <c r="E26" s="58" t="s">
        <v>238</v>
      </c>
      <c r="F26" s="58"/>
      <c r="G26" s="58" t="s">
        <v>501</v>
      </c>
      <c r="H26" s="58"/>
      <c r="I26" s="89">
        <v>1</v>
      </c>
      <c r="J26" s="292">
        <v>250000</v>
      </c>
      <c r="K26" s="121">
        <f>+Table14[[#This Row],[SỐ LƯỢNG ]]*Table14[[#This Row],[ĐƠN GIÁ ]]</f>
        <v>250000</v>
      </c>
    </row>
    <row r="27" spans="1:11" s="57" customFormat="1">
      <c r="A27" s="110">
        <v>43173</v>
      </c>
      <c r="B27" s="58">
        <v>3795</v>
      </c>
      <c r="C27" s="58" t="s">
        <v>275</v>
      </c>
      <c r="D27" s="58" t="s">
        <v>342</v>
      </c>
      <c r="E27" s="58"/>
      <c r="F27" s="58"/>
      <c r="G27" s="58" t="s">
        <v>500</v>
      </c>
      <c r="H27" s="58"/>
      <c r="I27" s="89">
        <v>17</v>
      </c>
      <c r="J27" s="123">
        <v>100000</v>
      </c>
      <c r="K27" s="121">
        <f>+Table14[[#This Row],[SỐ LƯỢNG ]]*Table14[[#This Row],[ĐƠN GIÁ ]]</f>
        <v>1700000</v>
      </c>
    </row>
    <row r="28" spans="1:11" s="57" customFormat="1">
      <c r="A28" s="110">
        <v>43173</v>
      </c>
      <c r="B28" s="58">
        <v>3795</v>
      </c>
      <c r="C28" s="58" t="s">
        <v>413</v>
      </c>
      <c r="D28" s="58" t="s">
        <v>342</v>
      </c>
      <c r="E28" s="58" t="s">
        <v>238</v>
      </c>
      <c r="F28" s="58"/>
      <c r="G28" s="58" t="s">
        <v>501</v>
      </c>
      <c r="H28" s="58"/>
      <c r="I28" s="89">
        <v>2</v>
      </c>
      <c r="J28" s="292">
        <v>250000</v>
      </c>
      <c r="K28" s="121">
        <f>+Table14[[#This Row],[SỐ LƯỢNG ]]*Table14[[#This Row],[ĐƠN GIÁ ]]</f>
        <v>500000</v>
      </c>
    </row>
    <row r="29" spans="1:11" s="57" customFormat="1">
      <c r="A29" s="110">
        <v>43175</v>
      </c>
      <c r="B29" s="58">
        <v>3795</v>
      </c>
      <c r="C29" s="58" t="s">
        <v>414</v>
      </c>
      <c r="D29" s="58" t="s">
        <v>260</v>
      </c>
      <c r="E29" s="58" t="s">
        <v>238</v>
      </c>
      <c r="F29" s="58"/>
      <c r="G29" s="58"/>
      <c r="H29" s="58"/>
      <c r="I29" s="89">
        <v>7</v>
      </c>
      <c r="J29" s="123">
        <v>190000</v>
      </c>
      <c r="K29" s="121">
        <f>+Table14[[#This Row],[SỐ LƯỢNG ]]*Table14[[#This Row],[ĐƠN GIÁ ]]</f>
        <v>1330000</v>
      </c>
    </row>
    <row r="30" spans="1:11" s="57" customFormat="1">
      <c r="A30" s="110">
        <v>43176</v>
      </c>
      <c r="B30" s="58">
        <v>3795</v>
      </c>
      <c r="C30" s="58" t="s">
        <v>265</v>
      </c>
      <c r="D30" s="58" t="s">
        <v>260</v>
      </c>
      <c r="E30" s="58" t="s">
        <v>238</v>
      </c>
      <c r="F30" s="58"/>
      <c r="G30" s="58"/>
      <c r="H30" s="58"/>
      <c r="I30" s="89">
        <v>17</v>
      </c>
      <c r="J30" s="123">
        <v>180000</v>
      </c>
      <c r="K30" s="121">
        <f>+Table14[[#This Row],[SỐ LƯỢNG ]]*Table14[[#This Row],[ĐƠN GIÁ ]]</f>
        <v>3060000</v>
      </c>
    </row>
    <row r="31" spans="1:11" s="57" customFormat="1">
      <c r="A31" s="110">
        <v>43176</v>
      </c>
      <c r="B31" s="58">
        <v>3795</v>
      </c>
      <c r="C31" s="58" t="s">
        <v>265</v>
      </c>
      <c r="D31" s="58" t="s">
        <v>350</v>
      </c>
      <c r="E31" s="58" t="s">
        <v>238</v>
      </c>
      <c r="F31" s="58"/>
      <c r="G31" s="58"/>
      <c r="H31" s="58"/>
      <c r="I31" s="89">
        <v>3</v>
      </c>
      <c r="J31" s="123">
        <v>180000</v>
      </c>
      <c r="K31" s="121">
        <f>+Table14[[#This Row],[SỐ LƯỢNG ]]*Table14[[#This Row],[ĐƠN GIÁ ]]</f>
        <v>540000</v>
      </c>
    </row>
    <row r="32" spans="1:11" s="57" customFormat="1">
      <c r="A32" s="110">
        <v>43177</v>
      </c>
      <c r="B32" s="58">
        <v>3795</v>
      </c>
      <c r="C32" s="58" t="s">
        <v>272</v>
      </c>
      <c r="D32" s="58" t="s">
        <v>269</v>
      </c>
      <c r="E32" s="58"/>
      <c r="F32" s="58"/>
      <c r="G32" s="58" t="s">
        <v>503</v>
      </c>
      <c r="H32" s="58"/>
      <c r="I32" s="89">
        <v>15</v>
      </c>
      <c r="J32" s="123">
        <v>190000</v>
      </c>
      <c r="K32" s="121">
        <f>+Table14[[#This Row],[SỐ LƯỢNG ]]*Table14[[#This Row],[ĐƠN GIÁ ]]</f>
        <v>2850000</v>
      </c>
    </row>
    <row r="33" spans="1:11" s="57" customFormat="1">
      <c r="A33" s="110">
        <v>43178</v>
      </c>
      <c r="B33" s="58">
        <v>3795</v>
      </c>
      <c r="C33" s="58" t="s">
        <v>272</v>
      </c>
      <c r="D33" s="58" t="s">
        <v>269</v>
      </c>
      <c r="E33" s="58"/>
      <c r="F33" s="58"/>
      <c r="G33" s="58" t="s">
        <v>503</v>
      </c>
      <c r="H33" s="58"/>
      <c r="I33" s="89">
        <v>6</v>
      </c>
      <c r="J33" s="123">
        <v>190000</v>
      </c>
      <c r="K33" s="121">
        <f>+Table14[[#This Row],[SỐ LƯỢNG ]]*Table14[[#This Row],[ĐƠN GIÁ ]]</f>
        <v>1140000</v>
      </c>
    </row>
    <row r="34" spans="1:11" s="57" customFormat="1">
      <c r="A34" s="110">
        <v>43178</v>
      </c>
      <c r="B34" s="58">
        <v>3795</v>
      </c>
      <c r="C34" s="58" t="s">
        <v>272</v>
      </c>
      <c r="D34" s="58" t="s">
        <v>269</v>
      </c>
      <c r="E34" s="58"/>
      <c r="F34" s="58"/>
      <c r="G34" s="58" t="s">
        <v>500</v>
      </c>
      <c r="H34" s="58"/>
      <c r="I34" s="89">
        <v>17</v>
      </c>
      <c r="J34" s="123">
        <v>100000</v>
      </c>
      <c r="K34" s="121">
        <f>+Table14[[#This Row],[SỐ LƯỢNG ]]*Table14[[#This Row],[ĐƠN GIÁ ]]</f>
        <v>1700000</v>
      </c>
    </row>
    <row r="35" spans="1:11" s="57" customFormat="1">
      <c r="A35" s="110">
        <v>43179</v>
      </c>
      <c r="B35" s="58">
        <v>3795</v>
      </c>
      <c r="C35" s="58" t="s">
        <v>272</v>
      </c>
      <c r="D35" s="58" t="s">
        <v>269</v>
      </c>
      <c r="E35" s="58"/>
      <c r="F35" s="58"/>
      <c r="G35" s="58" t="s">
        <v>500</v>
      </c>
      <c r="H35" s="58"/>
      <c r="I35" s="89">
        <v>14</v>
      </c>
      <c r="J35" s="123">
        <v>100000</v>
      </c>
      <c r="K35" s="121">
        <f>+Table14[[#This Row],[SỐ LƯỢNG ]]*Table14[[#This Row],[ĐƠN GIÁ ]]</f>
        <v>1400000</v>
      </c>
    </row>
    <row r="36" spans="1:11" s="57" customFormat="1">
      <c r="A36" s="110">
        <v>43179</v>
      </c>
      <c r="B36" s="58">
        <v>3795</v>
      </c>
      <c r="C36" s="58" t="s">
        <v>272</v>
      </c>
      <c r="D36" s="58" t="s">
        <v>269</v>
      </c>
      <c r="E36" s="58"/>
      <c r="F36" s="58"/>
      <c r="G36" s="58" t="s">
        <v>504</v>
      </c>
      <c r="H36" s="58"/>
      <c r="I36" s="89">
        <v>8</v>
      </c>
      <c r="J36" s="123">
        <v>150000</v>
      </c>
      <c r="K36" s="121">
        <f>+Table14[[#This Row],[SỐ LƯỢNG ]]*Table14[[#This Row],[ĐƠN GIÁ ]]</f>
        <v>1200000</v>
      </c>
    </row>
    <row r="37" spans="1:11" s="57" customFormat="1">
      <c r="A37" s="110">
        <v>43182</v>
      </c>
      <c r="B37" s="58">
        <v>3795</v>
      </c>
      <c r="C37" s="58" t="s">
        <v>394</v>
      </c>
      <c r="D37" s="58" t="s">
        <v>391</v>
      </c>
      <c r="E37" s="58" t="s">
        <v>238</v>
      </c>
      <c r="F37" s="58"/>
      <c r="G37" s="58"/>
      <c r="H37" s="58"/>
      <c r="I37" s="89">
        <v>16</v>
      </c>
      <c r="J37" s="123">
        <v>100000</v>
      </c>
      <c r="K37" s="121">
        <f>+Table14[[#This Row],[SỐ LƯỢNG ]]*Table14[[#This Row],[ĐƠN GIÁ ]]</f>
        <v>1600000</v>
      </c>
    </row>
    <row r="38" spans="1:11" s="57" customFormat="1">
      <c r="A38" s="110">
        <v>43182</v>
      </c>
      <c r="B38" s="58">
        <v>3795</v>
      </c>
      <c r="C38" s="58" t="s">
        <v>351</v>
      </c>
      <c r="D38" s="58" t="s">
        <v>260</v>
      </c>
      <c r="E38" s="58" t="s">
        <v>238</v>
      </c>
      <c r="F38" s="58"/>
      <c r="G38" s="58"/>
      <c r="H38" s="58"/>
      <c r="I38" s="89">
        <v>1</v>
      </c>
      <c r="J38" s="123">
        <v>230000</v>
      </c>
      <c r="K38" s="121">
        <f>+Table14[[#This Row],[SỐ LƯỢNG ]]*Table14[[#This Row],[ĐƠN GIÁ ]]</f>
        <v>230000</v>
      </c>
    </row>
    <row r="39" spans="1:11" s="57" customFormat="1">
      <c r="A39" s="110">
        <v>43183</v>
      </c>
      <c r="B39" s="58">
        <v>3795</v>
      </c>
      <c r="C39" s="58" t="s">
        <v>394</v>
      </c>
      <c r="D39" s="58" t="s">
        <v>391</v>
      </c>
      <c r="E39" s="58" t="s">
        <v>238</v>
      </c>
      <c r="F39" s="58"/>
      <c r="G39" s="58"/>
      <c r="H39" s="58"/>
      <c r="I39" s="89">
        <v>26</v>
      </c>
      <c r="J39" s="123">
        <v>100000</v>
      </c>
      <c r="K39" s="121">
        <f>+Table14[[#This Row],[SỐ LƯỢNG ]]*Table14[[#This Row],[ĐƠN GIÁ ]]</f>
        <v>2600000</v>
      </c>
    </row>
    <row r="40" spans="1:11" s="57" customFormat="1">
      <c r="A40" s="110">
        <v>43184</v>
      </c>
      <c r="B40" s="58">
        <v>3795</v>
      </c>
      <c r="C40" s="58" t="s">
        <v>394</v>
      </c>
      <c r="D40" s="58" t="s">
        <v>391</v>
      </c>
      <c r="E40" s="58" t="s">
        <v>238</v>
      </c>
      <c r="F40" s="58"/>
      <c r="G40" s="58"/>
      <c r="H40" s="58"/>
      <c r="I40" s="89">
        <v>26</v>
      </c>
      <c r="J40" s="123">
        <v>100000</v>
      </c>
      <c r="K40" s="121">
        <f>+Table14[[#This Row],[SỐ LƯỢNG ]]*Table14[[#This Row],[ĐƠN GIÁ ]]</f>
        <v>2600000</v>
      </c>
    </row>
    <row r="41" spans="1:11" s="57" customFormat="1">
      <c r="A41" s="110">
        <v>43185</v>
      </c>
      <c r="B41" s="58">
        <v>3795</v>
      </c>
      <c r="C41" s="58" t="s">
        <v>394</v>
      </c>
      <c r="D41" s="58" t="s">
        <v>266</v>
      </c>
      <c r="E41" s="58" t="s">
        <v>238</v>
      </c>
      <c r="F41" s="58"/>
      <c r="G41" s="58"/>
      <c r="H41" s="58"/>
      <c r="I41" s="89">
        <v>14</v>
      </c>
      <c r="J41" s="123">
        <v>180000</v>
      </c>
      <c r="K41" s="121">
        <f>+Table14[[#This Row],[SỐ LƯỢNG ]]*Table14[[#This Row],[ĐƠN GIÁ ]]</f>
        <v>2520000</v>
      </c>
    </row>
    <row r="42" spans="1:11" s="57" customFormat="1">
      <c r="A42" s="110">
        <v>43186</v>
      </c>
      <c r="B42" s="58">
        <v>3795</v>
      </c>
      <c r="C42" s="58" t="s">
        <v>351</v>
      </c>
      <c r="D42" s="58" t="s">
        <v>350</v>
      </c>
      <c r="E42" s="58" t="s">
        <v>238</v>
      </c>
      <c r="F42" s="58"/>
      <c r="G42" s="58"/>
      <c r="H42" s="58"/>
      <c r="I42" s="89">
        <v>8</v>
      </c>
      <c r="J42" s="123">
        <v>220000</v>
      </c>
      <c r="K42" s="121">
        <f>+Table14[[#This Row],[SỐ LƯỢNG ]]*Table14[[#This Row],[ĐƠN GIÁ ]]</f>
        <v>1760000</v>
      </c>
    </row>
    <row r="43" spans="1:11" s="57" customFormat="1">
      <c r="A43" s="110">
        <v>43186</v>
      </c>
      <c r="B43" s="58">
        <v>3795</v>
      </c>
      <c r="C43" s="58" t="s">
        <v>351</v>
      </c>
      <c r="D43" s="58" t="s">
        <v>360</v>
      </c>
      <c r="E43" s="58" t="s">
        <v>238</v>
      </c>
      <c r="F43" s="58"/>
      <c r="G43" s="58"/>
      <c r="H43" s="58"/>
      <c r="I43" s="89">
        <v>1</v>
      </c>
      <c r="J43" s="123">
        <v>230000</v>
      </c>
      <c r="K43" s="121">
        <f>+Table14[[#This Row],[SỐ LƯỢNG ]]*Table14[[#This Row],[ĐƠN GIÁ ]]</f>
        <v>230000</v>
      </c>
    </row>
    <row r="44" spans="1:11" s="57" customFormat="1">
      <c r="A44" s="110">
        <v>43187</v>
      </c>
      <c r="B44" s="58">
        <v>3795</v>
      </c>
      <c r="C44" s="58" t="s">
        <v>351</v>
      </c>
      <c r="D44" s="58" t="s">
        <v>266</v>
      </c>
      <c r="E44" s="58" t="s">
        <v>238</v>
      </c>
      <c r="F44" s="58"/>
      <c r="G44" s="58"/>
      <c r="H44" s="58"/>
      <c r="I44" s="89">
        <v>7</v>
      </c>
      <c r="J44" s="123">
        <v>230000</v>
      </c>
      <c r="K44" s="121">
        <f>+Table14[[#This Row],[SỐ LƯỢNG ]]*Table14[[#This Row],[ĐƠN GIÁ ]]</f>
        <v>1610000</v>
      </c>
    </row>
    <row r="45" spans="1:11" s="57" customFormat="1">
      <c r="A45" s="110">
        <v>43187</v>
      </c>
      <c r="B45" s="58">
        <v>3795</v>
      </c>
      <c r="C45" s="58" t="s">
        <v>351</v>
      </c>
      <c r="D45" s="58" t="s">
        <v>360</v>
      </c>
      <c r="E45" s="58" t="s">
        <v>238</v>
      </c>
      <c r="F45" s="58"/>
      <c r="G45" s="58"/>
      <c r="H45" s="58"/>
      <c r="I45" s="89">
        <v>3</v>
      </c>
      <c r="J45" s="123">
        <v>230000</v>
      </c>
      <c r="K45" s="121">
        <f>+Table14[[#This Row],[SỐ LƯỢNG ]]*Table14[[#This Row],[ĐƠN GIÁ ]]</f>
        <v>690000</v>
      </c>
    </row>
    <row r="46" spans="1:11" s="57" customFormat="1">
      <c r="A46" s="110">
        <v>43187</v>
      </c>
      <c r="B46" s="58">
        <v>3795</v>
      </c>
      <c r="C46" s="58" t="s">
        <v>415</v>
      </c>
      <c r="D46" s="58" t="s">
        <v>232</v>
      </c>
      <c r="E46" s="58" t="s">
        <v>238</v>
      </c>
      <c r="F46" s="58"/>
      <c r="G46" s="58"/>
      <c r="H46" s="58"/>
      <c r="I46" s="89">
        <v>2</v>
      </c>
      <c r="J46" s="123">
        <v>200000</v>
      </c>
      <c r="K46" s="121">
        <f>+Table14[[#This Row],[SỐ LƯỢNG ]]*Table14[[#This Row],[ĐƠN GIÁ ]]</f>
        <v>400000</v>
      </c>
    </row>
    <row r="47" spans="1:11" s="57" customFormat="1">
      <c r="A47" s="110">
        <v>43188</v>
      </c>
      <c r="B47" s="58">
        <v>3795</v>
      </c>
      <c r="C47" s="58" t="s">
        <v>351</v>
      </c>
      <c r="D47" s="58" t="s">
        <v>266</v>
      </c>
      <c r="E47" s="58" t="s">
        <v>238</v>
      </c>
      <c r="F47" s="58"/>
      <c r="G47" s="58"/>
      <c r="H47" s="58"/>
      <c r="I47" s="89">
        <v>5</v>
      </c>
      <c r="J47" s="123">
        <v>230000</v>
      </c>
      <c r="K47" s="121">
        <f>+Table14[[#This Row],[SỐ LƯỢNG ]]*Table14[[#This Row],[ĐƠN GIÁ ]]</f>
        <v>1150000</v>
      </c>
    </row>
    <row r="48" spans="1:11" s="57" customFormat="1">
      <c r="A48" s="110">
        <v>43188</v>
      </c>
      <c r="B48" s="58">
        <v>3795</v>
      </c>
      <c r="C48" s="58" t="s">
        <v>351</v>
      </c>
      <c r="D48" s="58" t="s">
        <v>246</v>
      </c>
      <c r="E48" s="58" t="s">
        <v>238</v>
      </c>
      <c r="F48" s="58"/>
      <c r="G48" s="58"/>
      <c r="H48" s="58"/>
      <c r="I48" s="89">
        <v>1</v>
      </c>
      <c r="J48" s="123">
        <v>220000</v>
      </c>
      <c r="K48" s="121">
        <f>+Table14[[#This Row],[SỐ LƯỢNG ]]*Table14[[#This Row],[ĐƠN GIÁ ]]</f>
        <v>220000</v>
      </c>
    </row>
    <row r="49" spans="1:11">
      <c r="A49" s="306">
        <v>43188</v>
      </c>
      <c r="B49" s="124">
        <v>3795</v>
      </c>
      <c r="C49" s="124" t="s">
        <v>275</v>
      </c>
      <c r="D49" s="124" t="s">
        <v>269</v>
      </c>
      <c r="E49" s="124"/>
      <c r="F49" s="124"/>
      <c r="G49" s="124" t="s">
        <v>500</v>
      </c>
      <c r="H49" s="124"/>
      <c r="I49" s="125">
        <v>20</v>
      </c>
      <c r="J49" s="145">
        <v>100000</v>
      </c>
      <c r="K49" s="121">
        <f>+Table14[[#This Row],[SỐ LƯỢNG ]]*Table14[[#This Row],[ĐƠN GIÁ ]]</f>
        <v>2000000</v>
      </c>
    </row>
    <row r="50" spans="1:11">
      <c r="A50" s="110">
        <v>43189</v>
      </c>
      <c r="B50" s="58">
        <v>3795</v>
      </c>
      <c r="C50" s="58" t="s">
        <v>275</v>
      </c>
      <c r="D50" s="58" t="s">
        <v>269</v>
      </c>
      <c r="E50" s="58" t="s">
        <v>238</v>
      </c>
      <c r="F50" s="58"/>
      <c r="G50" s="58" t="s">
        <v>500</v>
      </c>
      <c r="H50" s="58"/>
      <c r="I50" s="89">
        <v>34</v>
      </c>
      <c r="J50" s="99">
        <v>100000</v>
      </c>
      <c r="K50" s="121">
        <f>+Table14[[#This Row],[SỐ LƯỢNG ]]*Table14[[#This Row],[ĐƠN GIÁ ]]</f>
        <v>3400000</v>
      </c>
    </row>
    <row r="51" spans="1:11">
      <c r="A51" s="110">
        <v>43190</v>
      </c>
      <c r="B51" s="58">
        <v>3795</v>
      </c>
      <c r="C51" s="58" t="s">
        <v>394</v>
      </c>
      <c r="D51" s="58" t="s">
        <v>420</v>
      </c>
      <c r="E51" s="58" t="s">
        <v>238</v>
      </c>
      <c r="F51" s="58"/>
      <c r="G51" s="58"/>
      <c r="H51" s="58"/>
      <c r="I51" s="89">
        <v>5</v>
      </c>
      <c r="J51" s="145">
        <v>300000</v>
      </c>
      <c r="K51" s="121">
        <f>+Table14[[#This Row],[SỐ LƯỢNG ]]*Table14[[#This Row],[ĐƠN GIÁ ]]</f>
        <v>1500000</v>
      </c>
    </row>
    <row r="52" spans="1:11">
      <c r="A52" s="110">
        <v>43190</v>
      </c>
      <c r="B52" s="58">
        <v>3795</v>
      </c>
      <c r="C52" s="58" t="s">
        <v>351</v>
      </c>
      <c r="D52" s="58" t="s">
        <v>499</v>
      </c>
      <c r="E52" s="58" t="s">
        <v>238</v>
      </c>
      <c r="F52" s="58"/>
      <c r="G52" s="58"/>
      <c r="H52" s="58"/>
      <c r="I52" s="89">
        <v>3</v>
      </c>
      <c r="J52" s="145">
        <v>220000</v>
      </c>
      <c r="K52" s="121">
        <f>+Table14[[#This Row],[SỐ LƯỢNG ]]*Table14[[#This Row],[ĐƠN GIÁ ]]</f>
        <v>660000</v>
      </c>
    </row>
    <row r="53" spans="1:11">
      <c r="A53" s="110">
        <v>43190</v>
      </c>
      <c r="B53" s="58">
        <v>3795</v>
      </c>
      <c r="C53" s="58" t="s">
        <v>415</v>
      </c>
      <c r="D53" s="58" t="s">
        <v>470</v>
      </c>
      <c r="E53" s="58"/>
      <c r="F53" s="58"/>
      <c r="G53" s="58"/>
      <c r="H53" s="58"/>
      <c r="I53" s="89">
        <v>2</v>
      </c>
      <c r="J53" s="292">
        <v>100000</v>
      </c>
      <c r="K53" s="121">
        <f>+Table14[[#This Row],[SỐ LƯỢNG ]]*Table14[[#This Row],[ĐƠN GIÁ ]]</f>
        <v>200000</v>
      </c>
    </row>
    <row r="54" spans="1:11">
      <c r="A54" s="110">
        <v>43190</v>
      </c>
      <c r="B54" s="58">
        <v>3795</v>
      </c>
      <c r="C54" s="58" t="s">
        <v>520</v>
      </c>
      <c r="D54" s="58" t="s">
        <v>521</v>
      </c>
      <c r="E54" s="58"/>
      <c r="F54" s="58"/>
      <c r="G54" s="58"/>
      <c r="H54" s="58"/>
      <c r="I54" s="89">
        <v>5</v>
      </c>
      <c r="J54" s="292">
        <v>230000</v>
      </c>
      <c r="K54" s="186">
        <f>+Table14[[#This Row],[SỐ LƯỢNG ]]*Table14[[#This Row],[ĐƠN GIÁ ]]</f>
        <v>1150000</v>
      </c>
    </row>
    <row r="55" spans="1:11">
      <c r="A55" s="77"/>
      <c r="B55" s="78"/>
      <c r="C55" s="78"/>
      <c r="D55" s="78"/>
      <c r="E55" s="78"/>
      <c r="F55" s="78"/>
      <c r="G55" s="78"/>
      <c r="H55" s="78"/>
      <c r="I55">
        <f>SUM(I11:I54)</f>
        <v>435</v>
      </c>
      <c r="J55" s="307"/>
      <c r="K55" s="92">
        <f>SUBTOTAL(109,[[THÀNH TIỀN ]])</f>
        <v>60160000</v>
      </c>
    </row>
  </sheetData>
  <mergeCells count="1">
    <mergeCell ref="A5:K7"/>
  </mergeCells>
  <pageMargins left="0.11811023622047245" right="0.11811023622047245" top="0.15748031496062992" bottom="0.15748031496062992" header="0.31496062992125984" footer="0.31496062992125984"/>
  <pageSetup paperSize="9" orientation="landscape" horizontalDpi="300" verticalDpi="300" r:id="rId1"/>
  <legacy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C000"/>
  </sheetPr>
  <dimension ref="A1:I49"/>
  <sheetViews>
    <sheetView topLeftCell="A37" workbookViewId="0">
      <selection activeCell="E58" sqref="E58"/>
    </sheetView>
  </sheetViews>
  <sheetFormatPr defaultRowHeight="15"/>
  <cols>
    <col min="1" max="1" width="14" customWidth="1"/>
    <col min="2" max="2" width="8.5703125" customWidth="1"/>
    <col min="3" max="3" width="21.28515625" customWidth="1"/>
    <col min="4" max="4" width="21.5703125" customWidth="1"/>
    <col min="5" max="6" width="12" customWidth="1"/>
    <col min="7" max="7" width="17.28515625" customWidth="1"/>
    <col min="8" max="8" width="17.85546875" style="6" customWidth="1"/>
    <col min="9" max="9" width="20.5703125" style="6" customWidth="1"/>
  </cols>
  <sheetData>
    <row r="1" spans="1:9">
      <c r="A1" s="1" t="s">
        <v>0</v>
      </c>
      <c r="B1" s="1"/>
      <c r="C1" s="1"/>
      <c r="D1" s="3"/>
      <c r="E1" s="3"/>
      <c r="F1" s="3"/>
      <c r="G1" s="10"/>
      <c r="H1" s="5"/>
      <c r="I1" s="5"/>
    </row>
    <row r="2" spans="1:9">
      <c r="A2" s="1" t="s">
        <v>1</v>
      </c>
      <c r="B2" s="1"/>
      <c r="C2" s="1"/>
      <c r="D2" s="3"/>
      <c r="E2" s="3"/>
      <c r="F2" s="3"/>
      <c r="G2" s="10"/>
      <c r="H2" s="5"/>
      <c r="I2" s="5"/>
    </row>
    <row r="3" spans="1:9">
      <c r="A3" s="1" t="s">
        <v>2</v>
      </c>
      <c r="B3" s="1"/>
      <c r="C3" s="1"/>
      <c r="D3" s="3"/>
      <c r="E3" s="3"/>
      <c r="F3" s="3"/>
      <c r="G3" s="10"/>
      <c r="H3" s="5"/>
      <c r="I3" s="5"/>
    </row>
    <row r="4" spans="1:9">
      <c r="A4" s="1" t="s">
        <v>3</v>
      </c>
      <c r="B4" s="1"/>
      <c r="C4" s="1"/>
      <c r="D4" s="3"/>
      <c r="E4" s="3"/>
      <c r="F4" s="3"/>
      <c r="G4" s="10"/>
      <c r="H4" s="5"/>
      <c r="I4" s="5"/>
    </row>
    <row r="5" spans="1:9">
      <c r="A5" s="328" t="s">
        <v>221</v>
      </c>
      <c r="B5" s="328"/>
      <c r="C5" s="328"/>
      <c r="D5" s="328"/>
      <c r="E5" s="328"/>
      <c r="F5" s="328"/>
      <c r="G5" s="328"/>
      <c r="H5" s="328"/>
      <c r="I5" s="328"/>
    </row>
    <row r="6" spans="1:9">
      <c r="A6" s="328"/>
      <c r="B6" s="328"/>
      <c r="C6" s="328"/>
      <c r="D6" s="328"/>
      <c r="E6" s="328"/>
      <c r="F6" s="328"/>
      <c r="G6" s="328"/>
      <c r="H6" s="328"/>
      <c r="I6" s="328"/>
    </row>
    <row r="7" spans="1:9">
      <c r="A7" s="328"/>
      <c r="B7" s="328"/>
      <c r="C7" s="328"/>
      <c r="D7" s="328"/>
      <c r="E7" s="328"/>
      <c r="F7" s="328"/>
      <c r="G7" s="328"/>
      <c r="H7" s="328"/>
      <c r="I7" s="328"/>
    </row>
    <row r="8" spans="1:9" ht="18.75">
      <c r="D8" s="12" t="s">
        <v>28</v>
      </c>
    </row>
    <row r="9" spans="1:9" s="26" customFormat="1">
      <c r="A9" s="27" t="s">
        <v>5</v>
      </c>
      <c r="B9" s="28" t="s">
        <v>6</v>
      </c>
      <c r="C9" s="28" t="s">
        <v>7</v>
      </c>
      <c r="D9" s="29" t="s">
        <v>8</v>
      </c>
      <c r="E9" s="28" t="s">
        <v>9</v>
      </c>
      <c r="F9" s="267" t="s">
        <v>508</v>
      </c>
      <c r="G9" s="29" t="s">
        <v>13</v>
      </c>
      <c r="H9" s="29" t="s">
        <v>14</v>
      </c>
      <c r="I9" s="29" t="s">
        <v>15</v>
      </c>
    </row>
    <row r="10" spans="1:9" s="57" customFormat="1">
      <c r="A10" s="110">
        <v>43160</v>
      </c>
      <c r="B10" s="58">
        <v>5136</v>
      </c>
      <c r="C10" s="58" t="s">
        <v>275</v>
      </c>
      <c r="D10" s="58" t="s">
        <v>269</v>
      </c>
      <c r="E10" s="58"/>
      <c r="F10" s="58" t="s">
        <v>502</v>
      </c>
      <c r="G10" s="89">
        <v>15</v>
      </c>
      <c r="H10" s="266">
        <v>250000</v>
      </c>
      <c r="I10" s="266">
        <f>+Table16[[#This Row],[ĐƠN GIÁ ]]*Table16[[#This Row],[SỐ LƯỢNG ]]</f>
        <v>3750000</v>
      </c>
    </row>
    <row r="11" spans="1:9" s="57" customFormat="1">
      <c r="A11" s="110">
        <v>43161</v>
      </c>
      <c r="B11" s="58">
        <v>5136</v>
      </c>
      <c r="C11" s="58" t="s">
        <v>275</v>
      </c>
      <c r="D11" s="58" t="s">
        <v>269</v>
      </c>
      <c r="E11" s="58"/>
      <c r="F11" s="58" t="s">
        <v>503</v>
      </c>
      <c r="G11" s="89">
        <v>21</v>
      </c>
      <c r="H11" s="266">
        <v>190000</v>
      </c>
      <c r="I11" s="266">
        <f>+Table16[[#This Row],[ĐƠN GIÁ ]]*Table16[[#This Row],[SỐ LƯỢNG ]]</f>
        <v>3990000</v>
      </c>
    </row>
    <row r="12" spans="1:9" s="57" customFormat="1">
      <c r="A12" s="110">
        <v>43162</v>
      </c>
      <c r="B12" s="58">
        <v>5136</v>
      </c>
      <c r="C12" s="58" t="s">
        <v>275</v>
      </c>
      <c r="D12" s="58" t="s">
        <v>269</v>
      </c>
      <c r="E12" s="58"/>
      <c r="F12" s="58" t="s">
        <v>503</v>
      </c>
      <c r="G12" s="89">
        <v>23</v>
      </c>
      <c r="H12" s="266">
        <v>190000</v>
      </c>
      <c r="I12" s="266">
        <f>+Table16[[#This Row],[ĐƠN GIÁ ]]*Table16[[#This Row],[SỐ LƯỢNG ]]</f>
        <v>4370000</v>
      </c>
    </row>
    <row r="13" spans="1:9" s="57" customFormat="1">
      <c r="A13" s="110">
        <v>43163</v>
      </c>
      <c r="B13" s="58">
        <v>5136</v>
      </c>
      <c r="C13" s="58" t="s">
        <v>275</v>
      </c>
      <c r="D13" s="58" t="s">
        <v>269</v>
      </c>
      <c r="E13" s="58"/>
      <c r="F13" s="58" t="s">
        <v>504</v>
      </c>
      <c r="G13" s="89">
        <v>24</v>
      </c>
      <c r="H13" s="266">
        <v>150000</v>
      </c>
      <c r="I13" s="266">
        <f>+Table16[[#This Row],[ĐƠN GIÁ ]]*Table16[[#This Row],[SỐ LƯỢNG ]]</f>
        <v>3600000</v>
      </c>
    </row>
    <row r="14" spans="1:9" s="57" customFormat="1">
      <c r="A14" s="110">
        <v>43164</v>
      </c>
      <c r="B14" s="58">
        <v>5136</v>
      </c>
      <c r="C14" s="58" t="s">
        <v>275</v>
      </c>
      <c r="D14" s="58" t="s">
        <v>269</v>
      </c>
      <c r="E14" s="58"/>
      <c r="F14" s="58" t="s">
        <v>500</v>
      </c>
      <c r="G14" s="89">
        <v>26</v>
      </c>
      <c r="H14" s="266">
        <v>100000</v>
      </c>
      <c r="I14" s="266">
        <f>+Table16[[#This Row],[ĐƠN GIÁ ]]*Table16[[#This Row],[SỐ LƯỢNG ]]</f>
        <v>2600000</v>
      </c>
    </row>
    <row r="15" spans="1:9" s="57" customFormat="1">
      <c r="A15" s="110">
        <v>43165</v>
      </c>
      <c r="B15" s="58">
        <v>5136</v>
      </c>
      <c r="C15" s="58" t="s">
        <v>275</v>
      </c>
      <c r="D15" s="58" t="s">
        <v>269</v>
      </c>
      <c r="E15" s="58"/>
      <c r="F15" s="58" t="s">
        <v>500</v>
      </c>
      <c r="G15" s="89">
        <v>11</v>
      </c>
      <c r="H15" s="266">
        <v>100000</v>
      </c>
      <c r="I15" s="266">
        <f>+Table16[[#This Row],[ĐƠN GIÁ ]]*Table16[[#This Row],[SỐ LƯỢNG ]]</f>
        <v>1100000</v>
      </c>
    </row>
    <row r="16" spans="1:9" s="57" customFormat="1">
      <c r="A16" s="110">
        <v>43165</v>
      </c>
      <c r="B16" s="58">
        <v>5136</v>
      </c>
      <c r="C16" s="58" t="s">
        <v>275</v>
      </c>
      <c r="D16" s="58" t="s">
        <v>342</v>
      </c>
      <c r="E16" s="58"/>
      <c r="F16" s="58" t="s">
        <v>500</v>
      </c>
      <c r="G16" s="89">
        <v>6</v>
      </c>
      <c r="H16" s="266">
        <v>100000</v>
      </c>
      <c r="I16" s="266">
        <f>+Table16[[#This Row],[ĐƠN GIÁ ]]*Table16[[#This Row],[SỐ LƯỢNG ]]</f>
        <v>600000</v>
      </c>
    </row>
    <row r="17" spans="1:9" s="57" customFormat="1">
      <c r="A17" s="110">
        <v>43166</v>
      </c>
      <c r="B17" s="58">
        <v>5136</v>
      </c>
      <c r="C17" s="58" t="s">
        <v>275</v>
      </c>
      <c r="D17" s="58" t="s">
        <v>342</v>
      </c>
      <c r="E17" s="58"/>
      <c r="F17" s="58" t="s">
        <v>502</v>
      </c>
      <c r="G17" s="89">
        <v>8</v>
      </c>
      <c r="H17" s="266">
        <v>250000</v>
      </c>
      <c r="I17" s="266">
        <f>+Table16[[#This Row],[ĐƠN GIÁ ]]*Table16[[#This Row],[SỐ LƯỢNG ]]</f>
        <v>2000000</v>
      </c>
    </row>
    <row r="18" spans="1:9" s="57" customFormat="1">
      <c r="A18" s="110">
        <v>43167</v>
      </c>
      <c r="B18" s="58">
        <v>5136</v>
      </c>
      <c r="C18" s="58" t="s">
        <v>367</v>
      </c>
      <c r="D18" s="58" t="s">
        <v>412</v>
      </c>
      <c r="E18" s="58" t="s">
        <v>238</v>
      </c>
      <c r="F18" s="58"/>
      <c r="G18" s="89">
        <v>32</v>
      </c>
      <c r="H18" s="266">
        <v>90000</v>
      </c>
      <c r="I18" s="266">
        <f>+Table16[[#This Row],[ĐƠN GIÁ ]]*Table16[[#This Row],[SỐ LƯỢNG ]]</f>
        <v>2880000</v>
      </c>
    </row>
    <row r="19" spans="1:9" s="57" customFormat="1">
      <c r="A19" s="110">
        <v>43169</v>
      </c>
      <c r="B19" s="58">
        <v>5136</v>
      </c>
      <c r="C19" s="58" t="s">
        <v>275</v>
      </c>
      <c r="D19" s="58" t="s">
        <v>342</v>
      </c>
      <c r="E19" s="58"/>
      <c r="F19" s="58" t="s">
        <v>504</v>
      </c>
      <c r="G19" s="89">
        <v>4</v>
      </c>
      <c r="H19" s="266">
        <v>150000</v>
      </c>
      <c r="I19" s="266">
        <f>+Table16[[#This Row],[ĐƠN GIÁ ]]*Table16[[#This Row],[SỐ LƯỢNG ]]</f>
        <v>600000</v>
      </c>
    </row>
    <row r="20" spans="1:9" s="57" customFormat="1">
      <c r="A20" s="110">
        <v>43170</v>
      </c>
      <c r="B20" s="58">
        <v>5136</v>
      </c>
      <c r="C20" s="58" t="s">
        <v>275</v>
      </c>
      <c r="D20" s="58" t="s">
        <v>342</v>
      </c>
      <c r="E20" s="58"/>
      <c r="F20" s="58" t="s">
        <v>504</v>
      </c>
      <c r="G20" s="89">
        <v>18</v>
      </c>
      <c r="H20" s="266">
        <v>150000</v>
      </c>
      <c r="I20" s="266">
        <f>+Table16[[#This Row],[ĐƠN GIÁ ]]*Table16[[#This Row],[SỐ LƯỢNG ]]</f>
        <v>2700000</v>
      </c>
    </row>
    <row r="21" spans="1:9" s="57" customFormat="1">
      <c r="A21" s="110">
        <v>43172</v>
      </c>
      <c r="B21" s="58">
        <v>5136</v>
      </c>
      <c r="C21" s="58" t="s">
        <v>275</v>
      </c>
      <c r="D21" s="58" t="s">
        <v>342</v>
      </c>
      <c r="E21" s="58"/>
      <c r="F21" s="58" t="s">
        <v>500</v>
      </c>
      <c r="G21" s="89">
        <v>8</v>
      </c>
      <c r="H21" s="266">
        <v>100000</v>
      </c>
      <c r="I21" s="266">
        <f>+Table16[[#This Row],[ĐƠN GIÁ ]]*Table16[[#This Row],[SỐ LƯỢNG ]]</f>
        <v>800000</v>
      </c>
    </row>
    <row r="22" spans="1:9" s="57" customFormat="1">
      <c r="A22" s="110">
        <v>43172</v>
      </c>
      <c r="B22" s="58">
        <v>5136</v>
      </c>
      <c r="C22" s="58" t="s">
        <v>275</v>
      </c>
      <c r="D22" s="58" t="s">
        <v>342</v>
      </c>
      <c r="E22" s="58"/>
      <c r="F22" s="58" t="s">
        <v>501</v>
      </c>
      <c r="G22" s="89">
        <v>1</v>
      </c>
      <c r="H22" s="266">
        <v>250000</v>
      </c>
      <c r="I22" s="266">
        <f>+Table16[[#This Row],[ĐƠN GIÁ ]]*Table16[[#This Row],[SỐ LƯỢNG ]]</f>
        <v>250000</v>
      </c>
    </row>
    <row r="23" spans="1:9" s="57" customFormat="1">
      <c r="A23" s="110">
        <v>43174</v>
      </c>
      <c r="B23" s="58">
        <v>5136</v>
      </c>
      <c r="C23" s="58" t="s">
        <v>258</v>
      </c>
      <c r="D23" s="58" t="s">
        <v>262</v>
      </c>
      <c r="E23" s="58" t="s">
        <v>238</v>
      </c>
      <c r="F23" s="58"/>
      <c r="G23" s="89">
        <v>4</v>
      </c>
      <c r="H23" s="266">
        <v>180000</v>
      </c>
      <c r="I23" s="266">
        <f>+Table16[[#This Row],[ĐƠN GIÁ ]]*Table16[[#This Row],[SỐ LƯỢNG ]]</f>
        <v>720000</v>
      </c>
    </row>
    <row r="24" spans="1:9" s="57" customFormat="1">
      <c r="A24" s="110">
        <v>43174</v>
      </c>
      <c r="B24" s="58">
        <v>5136</v>
      </c>
      <c r="C24" s="58" t="s">
        <v>258</v>
      </c>
      <c r="D24" s="58" t="s">
        <v>259</v>
      </c>
      <c r="E24" s="58" t="s">
        <v>238</v>
      </c>
      <c r="F24" s="58"/>
      <c r="G24" s="89">
        <v>1</v>
      </c>
      <c r="H24" s="266">
        <v>230000</v>
      </c>
      <c r="I24" s="266">
        <f>+Table16[[#This Row],[ĐƠN GIÁ ]]*Table16[[#This Row],[SỐ LƯỢNG ]]</f>
        <v>230000</v>
      </c>
    </row>
    <row r="25" spans="1:9" s="57" customFormat="1">
      <c r="A25" s="110">
        <v>43174</v>
      </c>
      <c r="B25" s="58">
        <v>5136</v>
      </c>
      <c r="C25" s="58" t="s">
        <v>258</v>
      </c>
      <c r="D25" s="58" t="s">
        <v>349</v>
      </c>
      <c r="E25" s="58" t="s">
        <v>238</v>
      </c>
      <c r="F25" s="58"/>
      <c r="G25" s="89">
        <v>3</v>
      </c>
      <c r="H25" s="270"/>
      <c r="I25" s="266">
        <f>+Table16[[#This Row],[ĐƠN GIÁ ]]*Table16[[#This Row],[SỐ LƯỢNG ]]</f>
        <v>0</v>
      </c>
    </row>
    <row r="26" spans="1:9" s="57" customFormat="1">
      <c r="A26" s="110">
        <v>43175</v>
      </c>
      <c r="B26" s="58">
        <v>5136</v>
      </c>
      <c r="C26" s="58" t="s">
        <v>258</v>
      </c>
      <c r="D26" s="58" t="s">
        <v>349</v>
      </c>
      <c r="E26" s="58" t="s">
        <v>238</v>
      </c>
      <c r="F26" s="58"/>
      <c r="G26" s="89">
        <v>1</v>
      </c>
      <c r="H26" s="270"/>
      <c r="I26" s="266">
        <f>+Table16[[#This Row],[ĐƠN GIÁ ]]*Table16[[#This Row],[SỐ LƯỢNG ]]</f>
        <v>0</v>
      </c>
    </row>
    <row r="27" spans="1:9" s="57" customFormat="1">
      <c r="A27" s="110">
        <v>43175</v>
      </c>
      <c r="B27" s="58">
        <v>5136</v>
      </c>
      <c r="C27" s="58" t="s">
        <v>258</v>
      </c>
      <c r="D27" s="58" t="s">
        <v>260</v>
      </c>
      <c r="E27" s="58" t="s">
        <v>238</v>
      </c>
      <c r="F27" s="58"/>
      <c r="G27" s="89">
        <v>7</v>
      </c>
      <c r="H27" s="266">
        <v>230000</v>
      </c>
      <c r="I27" s="266">
        <f>+Table16[[#This Row],[ĐƠN GIÁ ]]*Table16[[#This Row],[SỐ LƯỢNG ]]</f>
        <v>1610000</v>
      </c>
    </row>
    <row r="28" spans="1:9" s="57" customFormat="1">
      <c r="A28" s="110">
        <v>43176</v>
      </c>
      <c r="B28" s="58">
        <v>5136</v>
      </c>
      <c r="C28" s="58" t="s">
        <v>265</v>
      </c>
      <c r="D28" s="58" t="s">
        <v>260</v>
      </c>
      <c r="E28" s="58" t="s">
        <v>238</v>
      </c>
      <c r="F28" s="58"/>
      <c r="G28" s="89">
        <v>7</v>
      </c>
      <c r="H28" s="266">
        <v>180000</v>
      </c>
      <c r="I28" s="266">
        <f>+Table16[[#This Row],[ĐƠN GIÁ ]]*Table16[[#This Row],[SỐ LƯỢNG ]]</f>
        <v>1260000</v>
      </c>
    </row>
    <row r="29" spans="1:9" s="57" customFormat="1">
      <c r="A29" s="110">
        <v>43179</v>
      </c>
      <c r="B29" s="58">
        <v>5136</v>
      </c>
      <c r="C29" s="58" t="s">
        <v>272</v>
      </c>
      <c r="D29" s="58" t="s">
        <v>269</v>
      </c>
      <c r="E29" s="58"/>
      <c r="F29" s="58" t="s">
        <v>500</v>
      </c>
      <c r="G29" s="89">
        <v>13</v>
      </c>
      <c r="H29" s="266">
        <v>100000</v>
      </c>
      <c r="I29" s="266">
        <f>+Table16[[#This Row],[ĐƠN GIÁ ]]*Table16[[#This Row],[SỐ LƯỢNG ]]</f>
        <v>1300000</v>
      </c>
    </row>
    <row r="30" spans="1:9" s="57" customFormat="1">
      <c r="A30" s="110">
        <v>43179</v>
      </c>
      <c r="B30" s="58">
        <v>5136</v>
      </c>
      <c r="C30" s="58" t="s">
        <v>272</v>
      </c>
      <c r="D30" s="58" t="s">
        <v>269</v>
      </c>
      <c r="E30" s="58"/>
      <c r="F30" s="58" t="s">
        <v>507</v>
      </c>
      <c r="G30" s="89">
        <v>7</v>
      </c>
      <c r="H30" s="266">
        <v>150000</v>
      </c>
      <c r="I30" s="266">
        <f>+Table16[[#This Row],[ĐƠN GIÁ ]]*Table16[[#This Row],[SỐ LƯỢNG ]]</f>
        <v>1050000</v>
      </c>
    </row>
    <row r="31" spans="1:9" s="57" customFormat="1">
      <c r="A31" s="110">
        <v>43182</v>
      </c>
      <c r="B31" s="58">
        <v>5136</v>
      </c>
      <c r="C31" s="58" t="s">
        <v>394</v>
      </c>
      <c r="D31" s="58" t="s">
        <v>391</v>
      </c>
      <c r="E31" s="58" t="s">
        <v>238</v>
      </c>
      <c r="F31" s="58"/>
      <c r="G31" s="89">
        <v>10</v>
      </c>
      <c r="H31" s="266">
        <v>100000</v>
      </c>
      <c r="I31" s="266">
        <f>+Table16[[#This Row],[ĐƠN GIÁ ]]*Table16[[#This Row],[SỐ LƯỢNG ]]</f>
        <v>1000000</v>
      </c>
    </row>
    <row r="32" spans="1:9" s="57" customFormat="1">
      <c r="A32" s="110">
        <v>43183</v>
      </c>
      <c r="B32" s="58">
        <v>5136</v>
      </c>
      <c r="C32" s="58" t="s">
        <v>394</v>
      </c>
      <c r="D32" s="58" t="s">
        <v>391</v>
      </c>
      <c r="E32" s="58" t="s">
        <v>238</v>
      </c>
      <c r="F32" s="58"/>
      <c r="G32" s="89">
        <v>19</v>
      </c>
      <c r="H32" s="266">
        <v>100000</v>
      </c>
      <c r="I32" s="266">
        <f>+Table16[[#This Row],[ĐƠN GIÁ ]]*Table16[[#This Row],[SỐ LƯỢNG ]]</f>
        <v>1900000</v>
      </c>
    </row>
    <row r="33" spans="1:9" s="57" customFormat="1">
      <c r="A33" s="110">
        <v>43183</v>
      </c>
      <c r="B33" s="58">
        <v>5136</v>
      </c>
      <c r="C33" s="58" t="s">
        <v>394</v>
      </c>
      <c r="D33" s="58" t="s">
        <v>232</v>
      </c>
      <c r="E33" s="58" t="s">
        <v>238</v>
      </c>
      <c r="F33" s="58"/>
      <c r="G33" s="89">
        <v>1</v>
      </c>
      <c r="H33" s="270"/>
      <c r="I33" s="266">
        <f>+Table16[[#This Row],[ĐƠN GIÁ ]]*Table16[[#This Row],[SỐ LƯỢNG ]]</f>
        <v>0</v>
      </c>
    </row>
    <row r="34" spans="1:9" s="57" customFormat="1">
      <c r="A34" s="110">
        <v>43184</v>
      </c>
      <c r="B34" s="58">
        <v>5136</v>
      </c>
      <c r="C34" s="58" t="s">
        <v>394</v>
      </c>
      <c r="D34" s="58" t="s">
        <v>391</v>
      </c>
      <c r="E34" s="58" t="s">
        <v>238</v>
      </c>
      <c r="F34" s="58"/>
      <c r="G34" s="89">
        <v>25</v>
      </c>
      <c r="H34" s="266">
        <v>100000</v>
      </c>
      <c r="I34" s="266">
        <f>+Table16[[#This Row],[ĐƠN GIÁ ]]*Table16[[#This Row],[SỐ LƯỢNG ]]</f>
        <v>2500000</v>
      </c>
    </row>
    <row r="35" spans="1:9" s="57" customFormat="1">
      <c r="A35" s="110">
        <v>43184</v>
      </c>
      <c r="B35" s="58">
        <v>5136</v>
      </c>
      <c r="C35" s="58" t="s">
        <v>394</v>
      </c>
      <c r="D35" s="58" t="s">
        <v>416</v>
      </c>
      <c r="E35" s="58" t="s">
        <v>238</v>
      </c>
      <c r="F35" s="58"/>
      <c r="G35" s="89">
        <v>1</v>
      </c>
      <c r="H35" s="270"/>
      <c r="I35" s="266">
        <f>+Table16[[#This Row],[ĐƠN GIÁ ]]*Table16[[#This Row],[SỐ LƯỢNG ]]</f>
        <v>0</v>
      </c>
    </row>
    <row r="36" spans="1:9" s="57" customFormat="1">
      <c r="A36" s="110">
        <v>43185</v>
      </c>
      <c r="B36" s="58">
        <v>5136</v>
      </c>
      <c r="C36" s="58" t="s">
        <v>394</v>
      </c>
      <c r="D36" s="58" t="s">
        <v>266</v>
      </c>
      <c r="E36" s="58" t="s">
        <v>238</v>
      </c>
      <c r="F36" s="58"/>
      <c r="G36" s="89">
        <v>9</v>
      </c>
      <c r="H36" s="266">
        <v>180000</v>
      </c>
      <c r="I36" s="266">
        <f>+Table16[[#This Row],[ĐƠN GIÁ ]]*Table16[[#This Row],[SỐ LƯỢNG ]]</f>
        <v>1620000</v>
      </c>
    </row>
    <row r="37" spans="1:9" s="57" customFormat="1">
      <c r="A37" s="110">
        <v>43186</v>
      </c>
      <c r="B37" s="58">
        <v>5136</v>
      </c>
      <c r="C37" s="58" t="s">
        <v>417</v>
      </c>
      <c r="D37" s="58" t="s">
        <v>360</v>
      </c>
      <c r="E37" s="58" t="s">
        <v>238</v>
      </c>
      <c r="F37" s="58"/>
      <c r="G37" s="89">
        <v>3</v>
      </c>
      <c r="H37" s="266">
        <v>230000</v>
      </c>
      <c r="I37" s="266">
        <f>+Table16[[#This Row],[ĐƠN GIÁ ]]*Table16[[#This Row],[SỐ LƯỢNG ]]</f>
        <v>690000</v>
      </c>
    </row>
    <row r="38" spans="1:9" s="57" customFormat="1">
      <c r="A38" s="110">
        <v>43186</v>
      </c>
      <c r="B38" s="58">
        <v>5136</v>
      </c>
      <c r="C38" s="58" t="s">
        <v>417</v>
      </c>
      <c r="D38" s="58" t="s">
        <v>350</v>
      </c>
      <c r="E38" s="58" t="s">
        <v>238</v>
      </c>
      <c r="F38" s="58"/>
      <c r="G38" s="89">
        <v>6</v>
      </c>
      <c r="H38" s="266">
        <v>220000</v>
      </c>
      <c r="I38" s="266">
        <f>+Table16[[#This Row],[ĐƠN GIÁ ]]*Table16[[#This Row],[SỐ LƯỢNG ]]</f>
        <v>1320000</v>
      </c>
    </row>
    <row r="39" spans="1:9" s="57" customFormat="1">
      <c r="A39" s="110">
        <v>43187</v>
      </c>
      <c r="B39" s="58">
        <v>5136</v>
      </c>
      <c r="C39" s="58" t="s">
        <v>417</v>
      </c>
      <c r="D39" s="58" t="s">
        <v>266</v>
      </c>
      <c r="E39" s="58" t="s">
        <v>238</v>
      </c>
      <c r="F39" s="58"/>
      <c r="G39" s="89">
        <v>9</v>
      </c>
      <c r="H39" s="266">
        <v>230000</v>
      </c>
      <c r="I39" s="266">
        <f>+Table16[[#This Row],[ĐƠN GIÁ ]]*Table16[[#This Row],[SỐ LƯỢNG ]]</f>
        <v>2070000</v>
      </c>
    </row>
    <row r="40" spans="1:9" s="57" customFormat="1">
      <c r="A40" s="110">
        <v>43187</v>
      </c>
      <c r="B40" s="58">
        <v>5136</v>
      </c>
      <c r="C40" s="58" t="s">
        <v>417</v>
      </c>
      <c r="D40" s="58" t="s">
        <v>360</v>
      </c>
      <c r="E40" s="58" t="s">
        <v>238</v>
      </c>
      <c r="F40" s="58"/>
      <c r="G40" s="89">
        <v>3</v>
      </c>
      <c r="H40" s="266">
        <v>230000</v>
      </c>
      <c r="I40" s="266">
        <f>+Table16[[#This Row],[ĐƠN GIÁ ]]*Table16[[#This Row],[SỐ LƯỢNG ]]</f>
        <v>690000</v>
      </c>
    </row>
    <row r="41" spans="1:9" s="57" customFormat="1">
      <c r="A41" s="110">
        <v>43187</v>
      </c>
      <c r="B41" s="58">
        <v>5136</v>
      </c>
      <c r="C41" s="58" t="s">
        <v>415</v>
      </c>
      <c r="D41" s="58" t="s">
        <v>232</v>
      </c>
      <c r="E41" s="58" t="s">
        <v>238</v>
      </c>
      <c r="F41" s="58"/>
      <c r="G41" s="89">
        <v>1</v>
      </c>
      <c r="H41" s="280">
        <v>200000</v>
      </c>
      <c r="I41" s="266">
        <f>+Table16[[#This Row],[ĐƠN GIÁ ]]*Table16[[#This Row],[SỐ LƯỢNG ]]</f>
        <v>200000</v>
      </c>
    </row>
    <row r="42" spans="1:9" s="57" customFormat="1">
      <c r="A42" s="110">
        <v>43188</v>
      </c>
      <c r="B42" s="58">
        <v>5136</v>
      </c>
      <c r="C42" s="58" t="s">
        <v>417</v>
      </c>
      <c r="D42" s="58" t="s">
        <v>266</v>
      </c>
      <c r="E42" s="58" t="s">
        <v>238</v>
      </c>
      <c r="F42" s="58"/>
      <c r="G42" s="89">
        <v>5</v>
      </c>
      <c r="H42" s="266">
        <v>230000</v>
      </c>
      <c r="I42" s="266">
        <f>+Table16[[#This Row],[ĐƠN GIÁ ]]*Table16[[#This Row],[SỐ LƯỢNG ]]</f>
        <v>1150000</v>
      </c>
    </row>
    <row r="43" spans="1:9" s="57" customFormat="1">
      <c r="A43" s="110">
        <v>43188</v>
      </c>
      <c r="B43" s="58">
        <v>5136</v>
      </c>
      <c r="C43" s="58" t="s">
        <v>417</v>
      </c>
      <c r="D43" s="58" t="s">
        <v>246</v>
      </c>
      <c r="E43" s="58" t="s">
        <v>238</v>
      </c>
      <c r="F43" s="58"/>
      <c r="G43" s="89">
        <v>1</v>
      </c>
      <c r="H43" s="266">
        <v>220000</v>
      </c>
      <c r="I43" s="266">
        <f>+Table16[[#This Row],[ĐƠN GIÁ ]]*Table16[[#This Row],[SỐ LƯỢNG ]]</f>
        <v>220000</v>
      </c>
    </row>
    <row r="44" spans="1:9" s="57" customFormat="1">
      <c r="A44" s="110">
        <v>43188</v>
      </c>
      <c r="B44" s="58">
        <v>5136</v>
      </c>
      <c r="C44" s="58" t="s">
        <v>275</v>
      </c>
      <c r="D44" s="58" t="s">
        <v>269</v>
      </c>
      <c r="E44" s="58" t="s">
        <v>238</v>
      </c>
      <c r="F44" s="58" t="s">
        <v>500</v>
      </c>
      <c r="G44" s="89">
        <v>19</v>
      </c>
      <c r="H44" s="266">
        <v>100000</v>
      </c>
      <c r="I44" s="266">
        <f>+Table16[[#This Row],[ĐƠN GIÁ ]]*Table16[[#This Row],[SỐ LƯỢNG ]]</f>
        <v>1900000</v>
      </c>
    </row>
    <row r="45" spans="1:9" s="57" customFormat="1">
      <c r="A45" s="110">
        <v>43189</v>
      </c>
      <c r="B45" s="58">
        <v>5136</v>
      </c>
      <c r="C45" s="58" t="s">
        <v>275</v>
      </c>
      <c r="D45" s="58" t="s">
        <v>269</v>
      </c>
      <c r="E45" s="58" t="s">
        <v>238</v>
      </c>
      <c r="F45" s="58" t="s">
        <v>500</v>
      </c>
      <c r="G45" s="89">
        <v>33</v>
      </c>
      <c r="H45" s="266">
        <v>100000</v>
      </c>
      <c r="I45" s="266">
        <f>+Table16[[#This Row],[ĐƠN GIÁ ]]*Table16[[#This Row],[SỐ LƯỢNG ]]</f>
        <v>3300000</v>
      </c>
    </row>
    <row r="46" spans="1:9" s="57" customFormat="1">
      <c r="A46" s="110">
        <v>43190</v>
      </c>
      <c r="B46" s="58">
        <v>5136</v>
      </c>
      <c r="C46" s="58" t="s">
        <v>394</v>
      </c>
      <c r="D46" s="58" t="s">
        <v>420</v>
      </c>
      <c r="E46" s="58" t="s">
        <v>238</v>
      </c>
      <c r="F46" s="58"/>
      <c r="G46" s="89">
        <v>4</v>
      </c>
      <c r="H46" s="266">
        <v>300000</v>
      </c>
      <c r="I46" s="266">
        <f>+Table16[[#This Row],[ĐƠN GIÁ ]]*Table16[[#This Row],[SỐ LƯỢNG ]]</f>
        <v>1200000</v>
      </c>
    </row>
    <row r="47" spans="1:9" s="57" customFormat="1">
      <c r="A47" s="110">
        <v>43190</v>
      </c>
      <c r="B47" s="58">
        <v>5136</v>
      </c>
      <c r="C47" s="58" t="s">
        <v>351</v>
      </c>
      <c r="D47" s="58" t="s">
        <v>499</v>
      </c>
      <c r="E47" s="58" t="s">
        <v>238</v>
      </c>
      <c r="F47" s="58"/>
      <c r="G47" s="89">
        <v>4</v>
      </c>
      <c r="H47" s="266">
        <v>220000</v>
      </c>
      <c r="I47" s="266">
        <f>+Table16[[#This Row],[ĐƠN GIÁ ]]*Table16[[#This Row],[SỐ LƯỢNG ]]</f>
        <v>880000</v>
      </c>
    </row>
    <row r="48" spans="1:9" s="57" customFormat="1">
      <c r="A48" s="110">
        <v>43190</v>
      </c>
      <c r="B48" s="58">
        <v>5136</v>
      </c>
      <c r="C48" s="58" t="s">
        <v>415</v>
      </c>
      <c r="D48" s="58" t="s">
        <v>232</v>
      </c>
      <c r="E48" s="58" t="s">
        <v>238</v>
      </c>
      <c r="F48" s="58"/>
      <c r="G48" s="89">
        <v>1</v>
      </c>
      <c r="H48" s="266">
        <v>200000</v>
      </c>
      <c r="I48" s="266">
        <f>+Table16[[#This Row],[ĐƠN GIÁ ]]*Table16[[#This Row],[SỐ LƯỢNG ]]</f>
        <v>200000</v>
      </c>
    </row>
    <row r="49" spans="1:9" s="26" customFormat="1">
      <c r="A49" s="114"/>
      <c r="B49" s="115"/>
      <c r="C49" s="115"/>
      <c r="D49" s="115"/>
      <c r="E49" s="202"/>
      <c r="F49" s="269"/>
      <c r="G49" s="153"/>
      <c r="H49" s="251"/>
      <c r="I49" s="155">
        <f>SUBTOTAL(109,[[THÀNH TIỀN ]])</f>
        <v>56250000</v>
      </c>
    </row>
  </sheetData>
  <mergeCells count="1">
    <mergeCell ref="A5:I7"/>
  </mergeCells>
  <pageMargins left="0.7" right="0.7" top="0.75" bottom="0.75" header="0.3" footer="0.3"/>
  <pageSetup paperSize="9" orientation="landscape" horizontalDpi="300" verticalDpi="300" r:id="rId1"/>
  <legacy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C000"/>
  </sheetPr>
  <dimension ref="A1:I63"/>
  <sheetViews>
    <sheetView topLeftCell="A52" workbookViewId="0">
      <selection activeCell="I64" sqref="I64"/>
    </sheetView>
  </sheetViews>
  <sheetFormatPr defaultRowHeight="15"/>
  <cols>
    <col min="1" max="1" width="10.5703125" customWidth="1"/>
    <col min="2" max="2" width="8.5703125" customWidth="1"/>
    <col min="3" max="3" width="17" customWidth="1"/>
    <col min="4" max="4" width="30.42578125" customWidth="1"/>
    <col min="7" max="7" width="15" customWidth="1"/>
    <col min="8" max="8" width="12.5703125" style="6" customWidth="1"/>
    <col min="9" max="9" width="19.85546875" style="6" customWidth="1"/>
  </cols>
  <sheetData>
    <row r="1" spans="1:9">
      <c r="A1" s="1" t="s">
        <v>0</v>
      </c>
      <c r="B1" s="1"/>
      <c r="C1" s="1"/>
      <c r="D1" s="3"/>
      <c r="E1" s="3"/>
      <c r="F1" s="4"/>
      <c r="G1" s="10"/>
      <c r="H1" s="5"/>
      <c r="I1" s="5"/>
    </row>
    <row r="2" spans="1:9">
      <c r="A2" s="1" t="s">
        <v>1</v>
      </c>
      <c r="B2" s="1"/>
      <c r="C2" s="1"/>
      <c r="D2" s="3"/>
      <c r="E2" s="3"/>
      <c r="F2" s="4"/>
      <c r="G2" s="10"/>
      <c r="H2" s="5"/>
      <c r="I2" s="5"/>
    </row>
    <row r="3" spans="1:9">
      <c r="A3" s="1" t="s">
        <v>2</v>
      </c>
      <c r="B3" s="1"/>
      <c r="C3" s="1"/>
      <c r="D3" s="3"/>
      <c r="E3" s="3"/>
      <c r="F3" s="4"/>
      <c r="G3" s="10"/>
      <c r="H3" s="5"/>
      <c r="I3" s="5"/>
    </row>
    <row r="4" spans="1:9">
      <c r="A4" s="1" t="s">
        <v>3</v>
      </c>
      <c r="B4" s="1"/>
      <c r="C4" s="1"/>
      <c r="D4" s="3"/>
      <c r="E4" s="3"/>
      <c r="F4" s="4"/>
      <c r="G4" s="10"/>
      <c r="H4" s="5"/>
      <c r="I4" s="5"/>
    </row>
    <row r="5" spans="1:9">
      <c r="A5" s="328" t="s">
        <v>221</v>
      </c>
      <c r="B5" s="328"/>
      <c r="C5" s="328"/>
      <c r="D5" s="328"/>
      <c r="E5" s="328"/>
      <c r="F5" s="328"/>
      <c r="G5" s="328"/>
      <c r="H5" s="328"/>
      <c r="I5" s="328"/>
    </row>
    <row r="6" spans="1:9">
      <c r="A6" s="328"/>
      <c r="B6" s="328"/>
      <c r="C6" s="328"/>
      <c r="D6" s="328"/>
      <c r="E6" s="328"/>
      <c r="F6" s="328"/>
      <c r="G6" s="328"/>
      <c r="H6" s="328"/>
      <c r="I6" s="328"/>
    </row>
    <row r="7" spans="1:9">
      <c r="A7" s="328"/>
      <c r="B7" s="328"/>
      <c r="C7" s="328"/>
      <c r="D7" s="328"/>
      <c r="E7" s="328"/>
      <c r="F7" s="328"/>
      <c r="G7" s="328"/>
      <c r="H7" s="328"/>
      <c r="I7" s="328"/>
    </row>
    <row r="8" spans="1:9" ht="18.75">
      <c r="D8" s="12" t="s">
        <v>19</v>
      </c>
    </row>
    <row r="10" spans="1:9" s="26" customFormat="1">
      <c r="A10" s="27" t="s">
        <v>5</v>
      </c>
      <c r="B10" s="28" t="s">
        <v>6</v>
      </c>
      <c r="C10" s="28" t="s">
        <v>7</v>
      </c>
      <c r="D10" s="29" t="s">
        <v>8</v>
      </c>
      <c r="E10" s="28" t="s">
        <v>9</v>
      </c>
      <c r="F10" s="30" t="s">
        <v>12</v>
      </c>
      <c r="G10" s="29" t="s">
        <v>13</v>
      </c>
      <c r="H10" s="29" t="s">
        <v>14</v>
      </c>
      <c r="I10" s="31" t="s">
        <v>15</v>
      </c>
    </row>
    <row r="11" spans="1:9" s="44" customFormat="1">
      <c r="A11" s="107">
        <v>43161</v>
      </c>
      <c r="B11" s="63" t="s">
        <v>340</v>
      </c>
      <c r="C11" s="63" t="s">
        <v>361</v>
      </c>
      <c r="D11" s="63" t="s">
        <v>267</v>
      </c>
      <c r="E11" s="63" t="s">
        <v>238</v>
      </c>
      <c r="F11" s="106"/>
      <c r="G11" s="65">
        <v>34</v>
      </c>
      <c r="H11" s="64">
        <v>85000</v>
      </c>
      <c r="I11" s="60">
        <f>Table8[[#This Row],[ĐƠN GIÁ ]]*Table8[[#This Row],[SỐ LƯỢNG ]]</f>
        <v>2890000</v>
      </c>
    </row>
    <row r="12" spans="1:9" s="44" customFormat="1">
      <c r="A12" s="107">
        <v>43162</v>
      </c>
      <c r="B12" s="63" t="s">
        <v>340</v>
      </c>
      <c r="C12" s="63" t="s">
        <v>361</v>
      </c>
      <c r="D12" s="63" t="s">
        <v>267</v>
      </c>
      <c r="E12" s="63" t="s">
        <v>238</v>
      </c>
      <c r="F12" s="106"/>
      <c r="G12" s="65">
        <v>42</v>
      </c>
      <c r="H12" s="64">
        <v>85000</v>
      </c>
      <c r="I12" s="60">
        <f>Table8[[#This Row],[ĐƠN GIÁ ]]*Table8[[#This Row],[SỐ LƯỢNG ]]</f>
        <v>3570000</v>
      </c>
    </row>
    <row r="13" spans="1:9" s="44" customFormat="1">
      <c r="A13" s="107">
        <v>43163</v>
      </c>
      <c r="B13" s="63" t="s">
        <v>340</v>
      </c>
      <c r="C13" s="63" t="s">
        <v>361</v>
      </c>
      <c r="D13" s="63" t="s">
        <v>267</v>
      </c>
      <c r="E13" s="63" t="s">
        <v>238</v>
      </c>
      <c r="F13" s="106"/>
      <c r="G13" s="65">
        <v>41</v>
      </c>
      <c r="H13" s="64">
        <v>85000</v>
      </c>
      <c r="I13" s="60">
        <f>Table8[[#This Row],[ĐƠN GIÁ ]]*Table8[[#This Row],[SỐ LƯỢNG ]]</f>
        <v>3485000</v>
      </c>
    </row>
    <row r="14" spans="1:9" s="44" customFormat="1">
      <c r="A14" s="107">
        <v>43164</v>
      </c>
      <c r="B14" s="63" t="s">
        <v>340</v>
      </c>
      <c r="C14" s="63" t="s">
        <v>361</v>
      </c>
      <c r="D14" s="63" t="s">
        <v>267</v>
      </c>
      <c r="E14" s="63" t="s">
        <v>238</v>
      </c>
      <c r="F14" s="106"/>
      <c r="G14" s="65">
        <v>39</v>
      </c>
      <c r="H14" s="64">
        <v>85000</v>
      </c>
      <c r="I14" s="60">
        <f>Table8[[#This Row],[ĐƠN GIÁ ]]*Table8[[#This Row],[SỐ LƯỢNG ]]</f>
        <v>3315000</v>
      </c>
    </row>
    <row r="15" spans="1:9" s="44" customFormat="1">
      <c r="A15" s="107">
        <v>43165</v>
      </c>
      <c r="B15" s="63" t="s">
        <v>340</v>
      </c>
      <c r="C15" s="63" t="s">
        <v>361</v>
      </c>
      <c r="D15" s="63" t="s">
        <v>267</v>
      </c>
      <c r="E15" s="63" t="s">
        <v>238</v>
      </c>
      <c r="F15" s="106"/>
      <c r="G15" s="65">
        <v>32</v>
      </c>
      <c r="H15" s="64">
        <v>85000</v>
      </c>
      <c r="I15" s="60">
        <f>Table8[[#This Row],[ĐƠN GIÁ ]]*Table8[[#This Row],[SỐ LƯỢNG ]]</f>
        <v>2720000</v>
      </c>
    </row>
    <row r="16" spans="1:9" s="44" customFormat="1">
      <c r="A16" s="107">
        <v>43166</v>
      </c>
      <c r="B16" s="63" t="s">
        <v>340</v>
      </c>
      <c r="C16" s="63" t="s">
        <v>361</v>
      </c>
      <c r="D16" s="63" t="s">
        <v>267</v>
      </c>
      <c r="E16" s="63" t="s">
        <v>238</v>
      </c>
      <c r="F16" s="106"/>
      <c r="G16" s="65">
        <v>4</v>
      </c>
      <c r="H16" s="64">
        <v>85000</v>
      </c>
      <c r="I16" s="60">
        <f>Table8[[#This Row],[ĐƠN GIÁ ]]*Table8[[#This Row],[SỐ LƯỢNG ]]</f>
        <v>340000</v>
      </c>
    </row>
    <row r="17" spans="1:9" s="44" customFormat="1">
      <c r="A17" s="107">
        <v>43166</v>
      </c>
      <c r="B17" s="63" t="s">
        <v>340</v>
      </c>
      <c r="C17" s="63" t="s">
        <v>275</v>
      </c>
      <c r="D17" s="63" t="s">
        <v>342</v>
      </c>
      <c r="E17" s="63"/>
      <c r="F17" s="106" t="s">
        <v>503</v>
      </c>
      <c r="G17" s="65">
        <v>8</v>
      </c>
      <c r="H17" s="64">
        <v>190000</v>
      </c>
      <c r="I17" s="60">
        <f>Table8[[#This Row],[ĐƠN GIÁ ]]*Table8[[#This Row],[SỐ LƯỢNG ]]</f>
        <v>1520000</v>
      </c>
    </row>
    <row r="18" spans="1:9" s="44" customFormat="1">
      <c r="A18" s="107">
        <v>43167</v>
      </c>
      <c r="B18" s="63" t="s">
        <v>340</v>
      </c>
      <c r="C18" s="63" t="s">
        <v>343</v>
      </c>
      <c r="D18" s="63" t="s">
        <v>264</v>
      </c>
      <c r="E18" s="63" t="s">
        <v>238</v>
      </c>
      <c r="F18" s="106"/>
      <c r="G18" s="65">
        <v>1</v>
      </c>
      <c r="H18" s="64">
        <v>200000</v>
      </c>
      <c r="I18" s="60">
        <f>Table8[[#This Row],[ĐƠN GIÁ ]]*Table8[[#This Row],[SỐ LƯỢNG ]]</f>
        <v>200000</v>
      </c>
    </row>
    <row r="19" spans="1:9" s="44" customFormat="1">
      <c r="A19" s="107">
        <v>43167</v>
      </c>
      <c r="B19" s="63" t="s">
        <v>340</v>
      </c>
      <c r="C19" s="63" t="s">
        <v>343</v>
      </c>
      <c r="D19" s="63" t="s">
        <v>344</v>
      </c>
      <c r="E19" s="63" t="s">
        <v>238</v>
      </c>
      <c r="F19" s="106"/>
      <c r="G19" s="65">
        <v>2</v>
      </c>
      <c r="H19" s="64">
        <v>200000</v>
      </c>
      <c r="I19" s="60">
        <f>Table8[[#This Row],[ĐƠN GIÁ ]]*Table8[[#This Row],[SỐ LƯỢNG ]]</f>
        <v>400000</v>
      </c>
    </row>
    <row r="20" spans="1:9" s="44" customFormat="1">
      <c r="A20" s="107">
        <v>43167</v>
      </c>
      <c r="B20" s="63" t="s">
        <v>340</v>
      </c>
      <c r="C20" s="63" t="s">
        <v>343</v>
      </c>
      <c r="D20" s="63" t="s">
        <v>237</v>
      </c>
      <c r="E20" s="63" t="s">
        <v>238</v>
      </c>
      <c r="F20" s="106"/>
      <c r="G20" s="65">
        <v>5</v>
      </c>
      <c r="H20" s="64">
        <v>230000</v>
      </c>
      <c r="I20" s="60">
        <f>Table8[[#This Row],[ĐƠN GIÁ ]]*Table8[[#This Row],[SỐ LƯỢNG ]]</f>
        <v>1150000</v>
      </c>
    </row>
    <row r="21" spans="1:9" s="44" customFormat="1">
      <c r="A21" s="108">
        <v>43167</v>
      </c>
      <c r="B21" s="43" t="s">
        <v>340</v>
      </c>
      <c r="C21" s="43" t="s">
        <v>343</v>
      </c>
      <c r="D21" s="43" t="s">
        <v>345</v>
      </c>
      <c r="E21" s="43"/>
      <c r="F21" s="106"/>
      <c r="G21" s="53">
        <v>2</v>
      </c>
      <c r="H21" s="279"/>
      <c r="I21" s="60">
        <f>Table8[[#This Row],[ĐƠN GIÁ ]]*Table8[[#This Row],[SỐ LƯỢNG ]]</f>
        <v>0</v>
      </c>
    </row>
    <row r="22" spans="1:9" s="44" customFormat="1">
      <c r="A22" s="107">
        <v>43168</v>
      </c>
      <c r="B22" s="63" t="s">
        <v>340</v>
      </c>
      <c r="C22" s="63" t="s">
        <v>361</v>
      </c>
      <c r="D22" s="63" t="s">
        <v>267</v>
      </c>
      <c r="E22" s="63" t="s">
        <v>238</v>
      </c>
      <c r="F22" s="106"/>
      <c r="G22" s="65">
        <v>36</v>
      </c>
      <c r="H22" s="64">
        <v>85000</v>
      </c>
      <c r="I22" s="60">
        <f>Table8[[#This Row],[ĐƠN GIÁ ]]*Table8[[#This Row],[SỐ LƯỢNG ]]</f>
        <v>3060000</v>
      </c>
    </row>
    <row r="23" spans="1:9" s="44" customFormat="1">
      <c r="A23" s="107">
        <v>43169</v>
      </c>
      <c r="B23" s="63" t="s">
        <v>340</v>
      </c>
      <c r="C23" s="63" t="s">
        <v>361</v>
      </c>
      <c r="D23" s="63" t="s">
        <v>267</v>
      </c>
      <c r="E23" s="63" t="s">
        <v>238</v>
      </c>
      <c r="F23" s="106"/>
      <c r="G23" s="65">
        <v>15</v>
      </c>
      <c r="H23" s="64">
        <v>85000</v>
      </c>
      <c r="I23" s="60">
        <f>Table8[[#This Row],[ĐƠN GIÁ ]]*Table8[[#This Row],[SỐ LƯỢNG ]]</f>
        <v>1275000</v>
      </c>
    </row>
    <row r="24" spans="1:9" s="44" customFormat="1">
      <c r="A24" s="107">
        <v>43169</v>
      </c>
      <c r="B24" s="63" t="s">
        <v>340</v>
      </c>
      <c r="C24" s="63" t="s">
        <v>361</v>
      </c>
      <c r="D24" s="63" t="s">
        <v>346</v>
      </c>
      <c r="E24" s="63" t="s">
        <v>238</v>
      </c>
      <c r="F24" s="106"/>
      <c r="G24" s="65">
        <v>25</v>
      </c>
      <c r="H24" s="64">
        <v>80000</v>
      </c>
      <c r="I24" s="60">
        <f>Table8[[#This Row],[ĐƠN GIÁ ]]*Table8[[#This Row],[SỐ LƯỢNG ]]</f>
        <v>2000000</v>
      </c>
    </row>
    <row r="25" spans="1:9" s="44" customFormat="1">
      <c r="A25" s="107">
        <v>43170</v>
      </c>
      <c r="B25" s="63" t="s">
        <v>340</v>
      </c>
      <c r="C25" s="63" t="s">
        <v>361</v>
      </c>
      <c r="D25" s="63" t="s">
        <v>346</v>
      </c>
      <c r="E25" s="63" t="s">
        <v>238</v>
      </c>
      <c r="F25" s="106"/>
      <c r="G25" s="65">
        <v>16</v>
      </c>
      <c r="H25" s="64">
        <v>80000</v>
      </c>
      <c r="I25" s="60">
        <f>Table8[[#This Row],[ĐƠN GIÁ ]]*Table8[[#This Row],[SỐ LƯỢNG ]]</f>
        <v>1280000</v>
      </c>
    </row>
    <row r="26" spans="1:9" s="44" customFormat="1">
      <c r="A26" s="107">
        <v>43171</v>
      </c>
      <c r="B26" s="63" t="s">
        <v>340</v>
      </c>
      <c r="C26" s="63" t="s">
        <v>243</v>
      </c>
      <c r="D26" s="63" t="s">
        <v>246</v>
      </c>
      <c r="E26" s="63" t="s">
        <v>238</v>
      </c>
      <c r="F26" s="106"/>
      <c r="G26" s="65">
        <v>10</v>
      </c>
      <c r="H26" s="64">
        <v>180000</v>
      </c>
      <c r="I26" s="60">
        <f>Table8[[#This Row],[ĐƠN GIÁ ]]*Table8[[#This Row],[SỐ LƯỢNG ]]</f>
        <v>1800000</v>
      </c>
    </row>
    <row r="27" spans="1:9" s="44" customFormat="1">
      <c r="A27" s="107">
        <v>43171</v>
      </c>
      <c r="B27" s="63" t="s">
        <v>340</v>
      </c>
      <c r="C27" s="63" t="s">
        <v>258</v>
      </c>
      <c r="D27" s="63" t="s">
        <v>259</v>
      </c>
      <c r="E27" s="63" t="s">
        <v>238</v>
      </c>
      <c r="F27" s="106"/>
      <c r="G27" s="65">
        <v>7</v>
      </c>
      <c r="H27" s="64">
        <v>230000</v>
      </c>
      <c r="I27" s="60">
        <f>Table8[[#This Row],[ĐƠN GIÁ ]]*Table8[[#This Row],[SỐ LƯỢNG ]]</f>
        <v>1610000</v>
      </c>
    </row>
    <row r="28" spans="1:9" s="44" customFormat="1">
      <c r="A28" s="108">
        <v>43171</v>
      </c>
      <c r="B28" s="43" t="s">
        <v>340</v>
      </c>
      <c r="C28" s="120" t="s">
        <v>258</v>
      </c>
      <c r="D28" s="43" t="s">
        <v>347</v>
      </c>
      <c r="E28" s="43" t="s">
        <v>238</v>
      </c>
      <c r="F28" s="106"/>
      <c r="G28" s="53">
        <v>1</v>
      </c>
      <c r="H28" s="279">
        <v>230000</v>
      </c>
      <c r="I28" s="60">
        <f>Table8[[#This Row],[ĐƠN GIÁ ]]*Table8[[#This Row],[SỐ LƯỢNG ]]</f>
        <v>230000</v>
      </c>
    </row>
    <row r="29" spans="1:9" s="44" customFormat="1">
      <c r="A29" s="108">
        <v>43172</v>
      </c>
      <c r="B29" s="43" t="s">
        <v>340</v>
      </c>
      <c r="C29" s="120" t="s">
        <v>252</v>
      </c>
      <c r="D29" s="43" t="s">
        <v>242</v>
      </c>
      <c r="E29" s="43" t="s">
        <v>238</v>
      </c>
      <c r="F29" s="106"/>
      <c r="G29" s="53">
        <v>30</v>
      </c>
      <c r="H29" s="45">
        <v>80000</v>
      </c>
      <c r="I29" s="60">
        <f>Table8[[#This Row],[ĐƠN GIÁ ]]*Table8[[#This Row],[SỐ LƯỢNG ]]</f>
        <v>2400000</v>
      </c>
    </row>
    <row r="30" spans="1:9" s="44" customFormat="1">
      <c r="A30" s="107">
        <v>43172</v>
      </c>
      <c r="B30" s="63" t="s">
        <v>340</v>
      </c>
      <c r="C30" s="63" t="s">
        <v>265</v>
      </c>
      <c r="D30" s="63" t="s">
        <v>260</v>
      </c>
      <c r="E30" s="63" t="s">
        <v>238</v>
      </c>
      <c r="F30" s="106"/>
      <c r="G30" s="65">
        <v>5</v>
      </c>
      <c r="H30" s="64">
        <v>180000</v>
      </c>
      <c r="I30" s="60">
        <f>Table8[[#This Row],[ĐƠN GIÁ ]]*Table8[[#This Row],[SỐ LƯỢNG ]]</f>
        <v>900000</v>
      </c>
    </row>
    <row r="31" spans="1:9" s="44" customFormat="1">
      <c r="A31" s="108">
        <v>43173</v>
      </c>
      <c r="B31" s="43" t="s">
        <v>340</v>
      </c>
      <c r="C31" s="43" t="s">
        <v>252</v>
      </c>
      <c r="D31" s="43" t="s">
        <v>242</v>
      </c>
      <c r="E31" s="43" t="s">
        <v>238</v>
      </c>
      <c r="F31" s="106"/>
      <c r="G31" s="53">
        <v>2</v>
      </c>
      <c r="H31" s="45">
        <v>80000</v>
      </c>
      <c r="I31" s="60">
        <f>Table8[[#This Row],[ĐƠN GIÁ ]]*Table8[[#This Row],[SỐ LƯỢNG ]]</f>
        <v>160000</v>
      </c>
    </row>
    <row r="32" spans="1:9" s="44" customFormat="1">
      <c r="A32" s="108">
        <v>43173</v>
      </c>
      <c r="B32" s="43" t="s">
        <v>340</v>
      </c>
      <c r="C32" s="43" t="s">
        <v>252</v>
      </c>
      <c r="D32" s="43" t="s">
        <v>242</v>
      </c>
      <c r="E32" s="43" t="s">
        <v>238</v>
      </c>
      <c r="F32" s="106"/>
      <c r="G32" s="53">
        <v>9</v>
      </c>
      <c r="H32" s="45">
        <v>80000</v>
      </c>
      <c r="I32" s="60">
        <f>Table8[[#This Row],[ĐƠN GIÁ ]]*Table8[[#This Row],[SỐ LƯỢNG ]]</f>
        <v>720000</v>
      </c>
    </row>
    <row r="33" spans="1:9" s="44" customFormat="1">
      <c r="A33" s="107">
        <v>43173</v>
      </c>
      <c r="B33" s="63" t="s">
        <v>340</v>
      </c>
      <c r="C33" s="63" t="s">
        <v>343</v>
      </c>
      <c r="D33" s="63" t="s">
        <v>264</v>
      </c>
      <c r="E33" s="63" t="s">
        <v>238</v>
      </c>
      <c r="F33" s="106"/>
      <c r="G33" s="65">
        <v>1</v>
      </c>
      <c r="H33" s="64">
        <v>200000</v>
      </c>
      <c r="I33" s="60">
        <f>Table8[[#This Row],[ĐƠN GIÁ ]]*Table8[[#This Row],[SỐ LƯỢNG ]]</f>
        <v>200000</v>
      </c>
    </row>
    <row r="34" spans="1:9" s="44" customFormat="1">
      <c r="A34" s="107">
        <v>43173</v>
      </c>
      <c r="B34" s="63" t="s">
        <v>340</v>
      </c>
      <c r="C34" s="63" t="s">
        <v>265</v>
      </c>
      <c r="D34" s="63" t="s">
        <v>264</v>
      </c>
      <c r="E34" s="63" t="s">
        <v>238</v>
      </c>
      <c r="F34" s="106"/>
      <c r="G34" s="65">
        <v>3</v>
      </c>
      <c r="H34" s="64">
        <v>230000</v>
      </c>
      <c r="I34" s="60">
        <f>Table8[[#This Row],[ĐƠN GIÁ ]]*Table8[[#This Row],[SỐ LƯỢNG ]]</f>
        <v>690000</v>
      </c>
    </row>
    <row r="35" spans="1:9" s="44" customFormat="1">
      <c r="A35" s="108">
        <v>43174</v>
      </c>
      <c r="B35" s="43" t="s">
        <v>340</v>
      </c>
      <c r="C35" s="43" t="s">
        <v>348</v>
      </c>
      <c r="D35" s="43" t="s">
        <v>349</v>
      </c>
      <c r="E35" s="43" t="s">
        <v>238</v>
      </c>
      <c r="F35" s="106"/>
      <c r="G35" s="53">
        <v>18</v>
      </c>
      <c r="H35" s="45">
        <v>190000</v>
      </c>
      <c r="I35" s="60">
        <f>Table8[[#This Row],[ĐƠN GIÁ ]]*Table8[[#This Row],[SỐ LƯỢNG ]]</f>
        <v>3420000</v>
      </c>
    </row>
    <row r="36" spans="1:9" s="44" customFormat="1">
      <c r="A36" s="107">
        <v>43175</v>
      </c>
      <c r="B36" s="63" t="s">
        <v>340</v>
      </c>
      <c r="C36" s="63" t="s">
        <v>348</v>
      </c>
      <c r="D36" s="63" t="s">
        <v>260</v>
      </c>
      <c r="E36" s="63" t="s">
        <v>238</v>
      </c>
      <c r="F36" s="106"/>
      <c r="G36" s="65">
        <v>15</v>
      </c>
      <c r="H36" s="64">
        <v>190000</v>
      </c>
      <c r="I36" s="60">
        <f>Table8[[#This Row],[ĐƠN GIÁ ]]*Table8[[#This Row],[SỐ LƯỢNG ]]</f>
        <v>2850000</v>
      </c>
    </row>
    <row r="37" spans="1:9" s="44" customFormat="1">
      <c r="A37" s="107">
        <v>43176</v>
      </c>
      <c r="B37" s="63" t="s">
        <v>340</v>
      </c>
      <c r="C37" s="63" t="s">
        <v>348</v>
      </c>
      <c r="D37" s="63" t="s">
        <v>260</v>
      </c>
      <c r="E37" s="63" t="s">
        <v>238</v>
      </c>
      <c r="F37" s="106"/>
      <c r="G37" s="65">
        <v>19</v>
      </c>
      <c r="H37" s="64">
        <v>190000</v>
      </c>
      <c r="I37" s="60">
        <f>Table8[[#This Row],[ĐƠN GIÁ ]]*Table8[[#This Row],[SỐ LƯỢNG ]]</f>
        <v>3610000</v>
      </c>
    </row>
    <row r="38" spans="1:9" s="44" customFormat="1">
      <c r="A38" s="107">
        <v>43176</v>
      </c>
      <c r="B38" s="63" t="s">
        <v>340</v>
      </c>
      <c r="C38" s="63" t="s">
        <v>236</v>
      </c>
      <c r="D38" s="63" t="s">
        <v>350</v>
      </c>
      <c r="E38" s="63" t="s">
        <v>238</v>
      </c>
      <c r="F38" s="106"/>
      <c r="G38" s="65">
        <v>2</v>
      </c>
      <c r="H38" s="64">
        <v>190000</v>
      </c>
      <c r="I38" s="60">
        <f>Table8[[#This Row],[ĐƠN GIÁ ]]*Table8[[#This Row],[SỐ LƯỢNG ]]</f>
        <v>380000</v>
      </c>
    </row>
    <row r="39" spans="1:9" s="44" customFormat="1">
      <c r="A39" s="107">
        <v>43177</v>
      </c>
      <c r="B39" s="63" t="s">
        <v>340</v>
      </c>
      <c r="C39" s="63" t="s">
        <v>362</v>
      </c>
      <c r="D39" s="63" t="s">
        <v>266</v>
      </c>
      <c r="E39" s="63" t="s">
        <v>238</v>
      </c>
      <c r="F39" s="106"/>
      <c r="G39" s="65">
        <v>5</v>
      </c>
      <c r="H39" s="64">
        <v>230000</v>
      </c>
      <c r="I39" s="60">
        <f>Table8[[#This Row],[ĐƠN GIÁ ]]*Table8[[#This Row],[SỐ LƯỢNG ]]</f>
        <v>1150000</v>
      </c>
    </row>
    <row r="40" spans="1:9" s="44" customFormat="1">
      <c r="A40" s="107">
        <v>43177</v>
      </c>
      <c r="B40" s="63" t="s">
        <v>340</v>
      </c>
      <c r="C40" s="63" t="s">
        <v>363</v>
      </c>
      <c r="D40" s="63" t="s">
        <v>266</v>
      </c>
      <c r="E40" s="63" t="s">
        <v>238</v>
      </c>
      <c r="F40" s="106"/>
      <c r="G40" s="65">
        <v>17</v>
      </c>
      <c r="H40" s="64">
        <v>180000</v>
      </c>
      <c r="I40" s="60">
        <f>Table8[[#This Row],[ĐƠN GIÁ ]]*Table8[[#This Row],[SỐ LƯỢNG ]]</f>
        <v>3060000</v>
      </c>
    </row>
    <row r="41" spans="1:9" s="44" customFormat="1">
      <c r="A41" s="107">
        <v>43178</v>
      </c>
      <c r="B41" s="63" t="s">
        <v>340</v>
      </c>
      <c r="C41" s="63" t="s">
        <v>363</v>
      </c>
      <c r="D41" s="63" t="s">
        <v>266</v>
      </c>
      <c r="E41" s="63" t="s">
        <v>238</v>
      </c>
      <c r="F41" s="106"/>
      <c r="G41" s="65">
        <v>12</v>
      </c>
      <c r="H41" s="64">
        <v>180000</v>
      </c>
      <c r="I41" s="60">
        <f>Table8[[#This Row],[ĐƠN GIÁ ]]*Table8[[#This Row],[SỐ LƯỢNG ]]</f>
        <v>2160000</v>
      </c>
    </row>
    <row r="42" spans="1:9" s="44" customFormat="1">
      <c r="A42" s="108">
        <v>43178</v>
      </c>
      <c r="B42" s="43" t="s">
        <v>340</v>
      </c>
      <c r="C42" s="43" t="s">
        <v>343</v>
      </c>
      <c r="D42" s="43" t="s">
        <v>352</v>
      </c>
      <c r="E42" s="43" t="s">
        <v>238</v>
      </c>
      <c r="F42" s="106"/>
      <c r="G42" s="53">
        <v>3</v>
      </c>
      <c r="H42" s="45">
        <v>200000</v>
      </c>
      <c r="I42" s="60">
        <f>Table8[[#This Row],[ĐƠN GIÁ ]]*Table8[[#This Row],[SỐ LƯỢNG ]]</f>
        <v>600000</v>
      </c>
    </row>
    <row r="43" spans="1:9" s="44" customFormat="1">
      <c r="A43" s="107">
        <v>43179</v>
      </c>
      <c r="B43" s="63" t="s">
        <v>340</v>
      </c>
      <c r="C43" s="126" t="s">
        <v>353</v>
      </c>
      <c r="D43" s="63" t="s">
        <v>266</v>
      </c>
      <c r="E43" s="63" t="s">
        <v>238</v>
      </c>
      <c r="F43" s="106"/>
      <c r="G43" s="65">
        <v>5</v>
      </c>
      <c r="H43" s="64">
        <v>230000</v>
      </c>
      <c r="I43" s="60">
        <f>Table8[[#This Row],[ĐƠN GIÁ ]]*Table8[[#This Row],[SỐ LƯỢNG ]]</f>
        <v>1150000</v>
      </c>
    </row>
    <row r="44" spans="1:9" s="44" customFormat="1">
      <c r="A44" s="107">
        <v>43179</v>
      </c>
      <c r="B44" s="63" t="s">
        <v>340</v>
      </c>
      <c r="C44" s="126" t="s">
        <v>353</v>
      </c>
      <c r="D44" s="63" t="s">
        <v>350</v>
      </c>
      <c r="E44" s="63" t="s">
        <v>238</v>
      </c>
      <c r="F44" s="106"/>
      <c r="G44" s="65">
        <v>3</v>
      </c>
      <c r="H44" s="64">
        <v>230000</v>
      </c>
      <c r="I44" s="60">
        <f>Table8[[#This Row],[ĐƠN GIÁ ]]*Table8[[#This Row],[SỐ LƯỢNG ]]</f>
        <v>690000</v>
      </c>
    </row>
    <row r="45" spans="1:9" s="44" customFormat="1">
      <c r="A45" s="108">
        <v>43179</v>
      </c>
      <c r="B45" s="43" t="s">
        <v>340</v>
      </c>
      <c r="C45" s="43" t="s">
        <v>364</v>
      </c>
      <c r="D45" s="43" t="s">
        <v>354</v>
      </c>
      <c r="E45" s="43" t="s">
        <v>238</v>
      </c>
      <c r="F45" s="106"/>
      <c r="G45" s="53">
        <v>8</v>
      </c>
      <c r="H45" s="279"/>
      <c r="I45" s="60">
        <f>Table8[[#This Row],[ĐƠN GIÁ ]]*Table8[[#This Row],[SỐ LƯỢNG ]]</f>
        <v>0</v>
      </c>
    </row>
    <row r="46" spans="1:9" s="44" customFormat="1">
      <c r="A46" s="107">
        <v>43182</v>
      </c>
      <c r="B46" s="63" t="s">
        <v>340</v>
      </c>
      <c r="C46" s="63" t="s">
        <v>365</v>
      </c>
      <c r="D46" s="63" t="s">
        <v>260</v>
      </c>
      <c r="E46" s="63" t="s">
        <v>238</v>
      </c>
      <c r="F46" s="106"/>
      <c r="G46" s="65">
        <v>10</v>
      </c>
      <c r="H46" s="64">
        <v>230000</v>
      </c>
      <c r="I46" s="60">
        <f>Table8[[#This Row],[ĐƠN GIÁ ]]*Table8[[#This Row],[SỐ LƯỢNG ]]</f>
        <v>2300000</v>
      </c>
    </row>
    <row r="47" spans="1:9" s="44" customFormat="1">
      <c r="A47" s="108">
        <v>43183</v>
      </c>
      <c r="B47" s="43" t="s">
        <v>340</v>
      </c>
      <c r="C47" s="63" t="s">
        <v>365</v>
      </c>
      <c r="D47" s="43" t="s">
        <v>355</v>
      </c>
      <c r="E47" s="43" t="s">
        <v>238</v>
      </c>
      <c r="F47" s="106"/>
      <c r="G47" s="53">
        <v>9</v>
      </c>
      <c r="H47" s="45">
        <v>230000</v>
      </c>
      <c r="I47" s="60">
        <f>Table8[[#This Row],[ĐƠN GIÁ ]]*Table8[[#This Row],[SỐ LƯỢNG ]]</f>
        <v>2070000</v>
      </c>
    </row>
    <row r="48" spans="1:9" s="44" customFormat="1">
      <c r="A48" s="108">
        <v>43183</v>
      </c>
      <c r="B48" s="43" t="s">
        <v>340</v>
      </c>
      <c r="C48" s="43" t="s">
        <v>343</v>
      </c>
      <c r="D48" s="43" t="s">
        <v>356</v>
      </c>
      <c r="E48" s="43" t="s">
        <v>238</v>
      </c>
      <c r="F48" s="106"/>
      <c r="G48" s="53">
        <v>2</v>
      </c>
      <c r="H48" s="45">
        <v>200000</v>
      </c>
      <c r="I48" s="60">
        <f>Table8[[#This Row],[ĐƠN GIÁ ]]*Table8[[#This Row],[SỐ LƯỢNG ]]</f>
        <v>400000</v>
      </c>
    </row>
    <row r="49" spans="1:9" s="44" customFormat="1">
      <c r="A49" s="108">
        <v>43184</v>
      </c>
      <c r="B49" s="43" t="s">
        <v>340</v>
      </c>
      <c r="C49" s="43" t="s">
        <v>343</v>
      </c>
      <c r="D49" s="43" t="s">
        <v>279</v>
      </c>
      <c r="E49" s="43" t="s">
        <v>238</v>
      </c>
      <c r="F49" s="106"/>
      <c r="G49" s="53">
        <v>1</v>
      </c>
      <c r="H49" s="45">
        <v>230000</v>
      </c>
      <c r="I49" s="60">
        <f>Table8[[#This Row],[ĐƠN GIÁ ]]*Table8[[#This Row],[SỐ LƯỢNG ]]</f>
        <v>230000</v>
      </c>
    </row>
    <row r="50" spans="1:9" s="44" customFormat="1">
      <c r="A50" s="108">
        <v>43184</v>
      </c>
      <c r="B50" s="43" t="s">
        <v>340</v>
      </c>
      <c r="C50" s="43" t="s">
        <v>365</v>
      </c>
      <c r="D50" s="43" t="s">
        <v>355</v>
      </c>
      <c r="E50" s="43" t="s">
        <v>238</v>
      </c>
      <c r="F50" s="106"/>
      <c r="G50" s="53">
        <v>4</v>
      </c>
      <c r="H50" s="45">
        <v>230000</v>
      </c>
      <c r="I50" s="60">
        <f>Table8[[#This Row],[ĐƠN GIÁ ]]*Table8[[#This Row],[SỐ LƯỢNG ]]</f>
        <v>920000</v>
      </c>
    </row>
    <row r="51" spans="1:9" s="44" customFormat="1">
      <c r="A51" s="107">
        <v>43184</v>
      </c>
      <c r="B51" s="63" t="s">
        <v>340</v>
      </c>
      <c r="C51" s="43" t="s">
        <v>365</v>
      </c>
      <c r="D51" s="63" t="s">
        <v>266</v>
      </c>
      <c r="E51" s="63" t="s">
        <v>238</v>
      </c>
      <c r="F51" s="106"/>
      <c r="G51" s="65">
        <v>4</v>
      </c>
      <c r="H51" s="64">
        <v>230000</v>
      </c>
      <c r="I51" s="60">
        <f>Table8[[#This Row],[ĐƠN GIÁ ]]*Table8[[#This Row],[SỐ LƯỢNG ]]</f>
        <v>920000</v>
      </c>
    </row>
    <row r="52" spans="1:9" s="44" customFormat="1">
      <c r="A52" s="107">
        <v>43184</v>
      </c>
      <c r="B52" s="63" t="s">
        <v>340</v>
      </c>
      <c r="C52" s="63" t="s">
        <v>265</v>
      </c>
      <c r="D52" s="63" t="s">
        <v>266</v>
      </c>
      <c r="E52" s="63" t="s">
        <v>238</v>
      </c>
      <c r="F52" s="106"/>
      <c r="G52" s="65">
        <v>3</v>
      </c>
      <c r="H52" s="64">
        <v>180000</v>
      </c>
      <c r="I52" s="60">
        <f>Table8[[#This Row],[ĐƠN GIÁ ]]*Table8[[#This Row],[SỐ LƯỢNG ]]</f>
        <v>540000</v>
      </c>
    </row>
    <row r="53" spans="1:9" s="44" customFormat="1">
      <c r="A53" s="108">
        <v>43185</v>
      </c>
      <c r="B53" s="43" t="s">
        <v>340</v>
      </c>
      <c r="C53" s="43" t="s">
        <v>357</v>
      </c>
      <c r="D53" s="43" t="s">
        <v>358</v>
      </c>
      <c r="E53" s="43" t="s">
        <v>238</v>
      </c>
      <c r="F53" s="106"/>
      <c r="G53" s="53">
        <v>3</v>
      </c>
      <c r="H53" s="45">
        <v>200000</v>
      </c>
      <c r="I53" s="60">
        <f>Table8[[#This Row],[ĐƠN GIÁ ]]*Table8[[#This Row],[SỐ LƯỢNG ]]</f>
        <v>600000</v>
      </c>
    </row>
    <row r="54" spans="1:9" s="44" customFormat="1">
      <c r="A54" s="107">
        <v>43185</v>
      </c>
      <c r="B54" s="63" t="s">
        <v>340</v>
      </c>
      <c r="C54" s="63" t="s">
        <v>357</v>
      </c>
      <c r="D54" s="63" t="s">
        <v>266</v>
      </c>
      <c r="E54" s="63" t="s">
        <v>238</v>
      </c>
      <c r="F54" s="106"/>
      <c r="G54" s="65">
        <v>9</v>
      </c>
      <c r="H54" s="64">
        <v>200000</v>
      </c>
      <c r="I54" s="60">
        <f>Table8[[#This Row],[ĐƠN GIÁ ]]*Table8[[#This Row],[SỐ LƯỢNG ]]</f>
        <v>1800000</v>
      </c>
    </row>
    <row r="55" spans="1:9" s="44" customFormat="1">
      <c r="A55" s="108">
        <v>43185</v>
      </c>
      <c r="B55" s="43" t="s">
        <v>340</v>
      </c>
      <c r="C55" s="43" t="s">
        <v>343</v>
      </c>
      <c r="D55" s="43" t="s">
        <v>359</v>
      </c>
      <c r="E55" s="43" t="s">
        <v>238</v>
      </c>
      <c r="F55" s="106"/>
      <c r="G55" s="53">
        <v>5</v>
      </c>
      <c r="H55" s="45">
        <v>250000</v>
      </c>
      <c r="I55" s="60">
        <f>Table8[[#This Row],[ĐƠN GIÁ ]]*Table8[[#This Row],[SỐ LƯỢNG ]]</f>
        <v>1250000</v>
      </c>
    </row>
    <row r="56" spans="1:9" s="44" customFormat="1">
      <c r="A56" s="108">
        <v>43186</v>
      </c>
      <c r="B56" s="43" t="s">
        <v>340</v>
      </c>
      <c r="C56" s="43" t="s">
        <v>365</v>
      </c>
      <c r="D56" s="43" t="s">
        <v>360</v>
      </c>
      <c r="E56" s="43" t="s">
        <v>238</v>
      </c>
      <c r="F56" s="106"/>
      <c r="G56" s="53">
        <v>2</v>
      </c>
      <c r="H56" s="45">
        <v>230000</v>
      </c>
      <c r="I56" s="60">
        <f>Table8[[#This Row],[ĐƠN GIÁ ]]*Table8[[#This Row],[SỐ LƯỢNG ]]</f>
        <v>460000</v>
      </c>
    </row>
    <row r="57" spans="1:9" s="44" customFormat="1">
      <c r="A57" s="108">
        <v>43186</v>
      </c>
      <c r="B57" s="43" t="s">
        <v>340</v>
      </c>
      <c r="C57" s="43" t="s">
        <v>365</v>
      </c>
      <c r="D57" s="43" t="s">
        <v>350</v>
      </c>
      <c r="E57" s="43" t="s">
        <v>238</v>
      </c>
      <c r="F57" s="106"/>
      <c r="G57" s="53">
        <v>6</v>
      </c>
      <c r="H57" s="45">
        <v>220000</v>
      </c>
      <c r="I57" s="60">
        <f>Table8[[#This Row],[ĐƠN GIÁ ]]*Table8[[#This Row],[SỐ LƯỢNG ]]</f>
        <v>1320000</v>
      </c>
    </row>
    <row r="58" spans="1:9" s="44" customFormat="1">
      <c r="A58" s="108">
        <v>43187</v>
      </c>
      <c r="B58" s="43" t="s">
        <v>340</v>
      </c>
      <c r="C58" s="43" t="s">
        <v>361</v>
      </c>
      <c r="D58" s="43" t="s">
        <v>267</v>
      </c>
      <c r="E58" s="43" t="s">
        <v>238</v>
      </c>
      <c r="F58" s="106"/>
      <c r="G58" s="53">
        <v>15</v>
      </c>
      <c r="H58" s="64">
        <v>85000</v>
      </c>
      <c r="I58" s="60">
        <f>Table8[[#This Row],[ĐƠN GIÁ ]]*Table8[[#This Row],[SỐ LƯỢNG ]]</f>
        <v>1275000</v>
      </c>
    </row>
    <row r="59" spans="1:9" s="44" customFormat="1">
      <c r="A59" s="107">
        <v>43187</v>
      </c>
      <c r="B59" s="63" t="s">
        <v>340</v>
      </c>
      <c r="C59" s="63" t="s">
        <v>365</v>
      </c>
      <c r="D59" s="63" t="s">
        <v>266</v>
      </c>
      <c r="E59" s="63" t="s">
        <v>238</v>
      </c>
      <c r="F59" s="106"/>
      <c r="G59" s="65">
        <v>1</v>
      </c>
      <c r="H59" s="64">
        <v>230000</v>
      </c>
      <c r="I59" s="60">
        <f>Table8[[#This Row],[ĐƠN GIÁ ]]*Table8[[#This Row],[SỐ LƯỢNG ]]</f>
        <v>230000</v>
      </c>
    </row>
    <row r="60" spans="1:9" s="44" customFormat="1">
      <c r="A60" s="108">
        <v>43188</v>
      </c>
      <c r="B60" s="43" t="s">
        <v>340</v>
      </c>
      <c r="C60" s="43" t="s">
        <v>361</v>
      </c>
      <c r="D60" s="43" t="s">
        <v>267</v>
      </c>
      <c r="E60" s="43" t="s">
        <v>238</v>
      </c>
      <c r="F60" s="106"/>
      <c r="G60" s="53">
        <v>37</v>
      </c>
      <c r="H60" s="64">
        <v>85000</v>
      </c>
      <c r="I60" s="60">
        <f>Table8[[#This Row],[ĐƠN GIÁ ]]*Table8[[#This Row],[SỐ LƯỢNG ]]</f>
        <v>3145000</v>
      </c>
    </row>
    <row r="61" spans="1:9" s="44" customFormat="1">
      <c r="A61" s="109">
        <v>43189</v>
      </c>
      <c r="B61" s="100" t="s">
        <v>340</v>
      </c>
      <c r="C61" s="100" t="s">
        <v>361</v>
      </c>
      <c r="D61" s="100" t="s">
        <v>267</v>
      </c>
      <c r="E61" s="100" t="s">
        <v>238</v>
      </c>
      <c r="F61" s="127"/>
      <c r="G61" s="101">
        <v>35</v>
      </c>
      <c r="H61" s="64">
        <v>85000</v>
      </c>
      <c r="I61" s="102">
        <f>Table8[[#This Row],[ĐƠN GIÁ ]]*Table8[[#This Row],[SỐ LƯỢNG ]]</f>
        <v>2975000</v>
      </c>
    </row>
    <row r="62" spans="1:9" s="44" customFormat="1">
      <c r="A62" s="109">
        <v>43190</v>
      </c>
      <c r="B62" s="100" t="s">
        <v>340</v>
      </c>
      <c r="C62" s="100" t="s">
        <v>361</v>
      </c>
      <c r="D62" s="100" t="s">
        <v>267</v>
      </c>
      <c r="E62" s="100" t="s">
        <v>238</v>
      </c>
      <c r="F62" s="127"/>
      <c r="G62" s="128">
        <v>36</v>
      </c>
      <c r="H62" s="64">
        <v>85000</v>
      </c>
      <c r="I62" s="102">
        <f>Table8[[#This Row],[ĐƠN GIÁ ]]*Table8[[#This Row],[SỐ LƯỢNG ]]</f>
        <v>3060000</v>
      </c>
    </row>
    <row r="63" spans="1:9">
      <c r="A63" s="77"/>
      <c r="B63" s="78"/>
      <c r="C63" s="78"/>
      <c r="D63" s="78"/>
      <c r="E63" s="78"/>
      <c r="F63" s="20"/>
      <c r="G63" s="90">
        <f>SUM(G11:G62)</f>
        <v>659</v>
      </c>
      <c r="H63" s="91"/>
      <c r="I63" s="92">
        <f>SUBTOTAL(109,[[THÀNH TIỀN ]])</f>
        <v>78480000</v>
      </c>
    </row>
  </sheetData>
  <mergeCells count="1">
    <mergeCell ref="A5:I7"/>
  </mergeCells>
  <pageMargins left="0.7" right="0.7" top="0.75" bottom="0.75" header="0.3" footer="0.3"/>
  <pageSetup paperSize="9" orientation="landscape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6373</vt:lpstr>
      <vt:lpstr>68553.</vt:lpstr>
      <vt:lpstr>7477</vt:lpstr>
      <vt:lpstr>2229</vt:lpstr>
      <vt:lpstr>8339</vt:lpstr>
      <vt:lpstr>3099</vt:lpstr>
      <vt:lpstr>3795</vt:lpstr>
      <vt:lpstr>5136</vt:lpstr>
      <vt:lpstr>1171.</vt:lpstr>
      <vt:lpstr>9918</vt:lpstr>
      <vt:lpstr>10096</vt:lpstr>
      <vt:lpstr>25907</vt:lpstr>
      <vt:lpstr>2890</vt:lpstr>
      <vt:lpstr>16586</vt:lpstr>
      <vt:lpstr>70297</vt:lpstr>
      <vt:lpstr>30868</vt:lpstr>
      <vt:lpstr>93025</vt:lpstr>
      <vt:lpstr>SỮA CHỮA</vt:lpstr>
      <vt:lpstr>DOANH THU T3 (2)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</dc:creator>
  <cp:lastModifiedBy>Le Tien Duat</cp:lastModifiedBy>
  <cp:lastPrinted>2018-04-16T08:26:23Z</cp:lastPrinted>
  <dcterms:created xsi:type="dcterms:W3CDTF">2018-02-11T08:44:14Z</dcterms:created>
  <dcterms:modified xsi:type="dcterms:W3CDTF">2018-04-16T08:26:41Z</dcterms:modified>
</cp:coreProperties>
</file>