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Banking\Research\HPG\"/>
    </mc:Choice>
  </mc:AlternateContent>
  <xr:revisionPtr revIDLastSave="0" documentId="13_ncr:1_{789EC154-0218-4E46-B8E8-FC0A8994DB7E}" xr6:coauthVersionLast="47" xr6:coauthVersionMax="47" xr10:uidLastSave="{00000000-0000-0000-0000-000000000000}"/>
  <bookViews>
    <workbookView xWindow="-98" yWindow="-98" windowWidth="21795" windowHeight="13695" activeTab="7" xr2:uid="{00000000-000D-0000-FFFF-FFFF00000000}"/>
  </bookViews>
  <sheets>
    <sheet name="Draft" sheetId="2" r:id="rId1"/>
    <sheet name="Sample" sheetId="3" r:id="rId2"/>
    <sheet name="HPG" sheetId="1" r:id="rId3"/>
    <sheet name="Định mức" sheetId="5" r:id="rId4"/>
    <sheet name="Dự toán Tiêu thụ, sản xuất" sheetId="6" r:id="rId5"/>
    <sheet name="Kế hoạch đầu tư" sheetId="8" r:id="rId6"/>
    <sheet name="Dự toán TSCĐ" sheetId="9" r:id="rId7"/>
    <sheet name="Debt" sheetId="13" r:id="rId8"/>
    <sheet name="Cân đối vốn" sheetId="15" r:id="rId9"/>
    <sheet name="WC" sheetId="14" r:id="rId10"/>
    <sheet name="BS" sheetId="11" r:id="rId11"/>
    <sheet name="IS" sheetId="12" r:id="rId12"/>
  </sheets>
  <definedNames>
    <definedName name="_xlnm._FilterDatabase" localSheetId="10" hidden="1">BS!$A$2:$A$104</definedName>
    <definedName name="_xlnm._FilterDatabase" localSheetId="0" hidden="1">Draft!$B$10:$G$27</definedName>
    <definedName name="_xlnm._FilterDatabase" localSheetId="11" hidden="1">IS!$A$2:$F$22</definedName>
    <definedName name="solver_adj" localSheetId="0" hidden="1">Draft!$E$46</definedName>
    <definedName name="solver_cvg" localSheetId="0" hidden="1">"""""""0,0001"""""""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"""""""0,075"""""""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Draft!$C$51</definedName>
    <definedName name="solver_pre" localSheetId="0" hidden="1">"""""""0,000001"""""""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E8" i="15" l="1"/>
  <c r="E13" i="15"/>
  <c r="C11" i="15"/>
  <c r="B11" i="15"/>
  <c r="D12" i="15"/>
  <c r="D13" i="15"/>
  <c r="B8" i="15"/>
  <c r="C8" i="15"/>
  <c r="D8" i="15"/>
  <c r="B7" i="15"/>
  <c r="C7" i="15"/>
  <c r="D7" i="15"/>
  <c r="B5" i="15"/>
  <c r="C5" i="15"/>
  <c r="D5" i="15"/>
  <c r="B2" i="15"/>
  <c r="C2" i="15"/>
  <c r="D2" i="15"/>
  <c r="B3" i="15"/>
  <c r="C3" i="15"/>
  <c r="D3" i="15"/>
  <c r="G49" i="11"/>
  <c r="G45" i="11"/>
  <c r="G25" i="11"/>
  <c r="G24" i="11"/>
  <c r="G37" i="11"/>
  <c r="G36" i="11"/>
  <c r="G35" i="11" s="1"/>
  <c r="G34" i="11"/>
  <c r="G33" i="11"/>
  <c r="G32" i="11"/>
  <c r="G30" i="11"/>
  <c r="G29" i="11"/>
  <c r="G20" i="11"/>
  <c r="G19" i="11"/>
  <c r="G100" i="11"/>
  <c r="G22" i="12"/>
  <c r="G15" i="12"/>
  <c r="G14" i="12"/>
  <c r="G16" i="12" s="1"/>
  <c r="G8" i="12"/>
  <c r="G9" i="12" s="1"/>
  <c r="G7" i="12"/>
  <c r="G93" i="11"/>
  <c r="G87" i="11"/>
  <c r="G85" i="11"/>
  <c r="G84" i="11"/>
  <c r="G76" i="11"/>
  <c r="G80" i="11"/>
  <c r="G79" i="11"/>
  <c r="G75" i="11"/>
  <c r="G74" i="11"/>
  <c r="G71" i="11"/>
  <c r="G19" i="12"/>
  <c r="D11" i="15" l="1"/>
  <c r="C4" i="15"/>
  <c r="C6" i="15" s="1"/>
  <c r="C9" i="15" s="1"/>
  <c r="B4" i="15"/>
  <c r="B6" i="15" s="1"/>
  <c r="B9" i="15" s="1"/>
  <c r="D4" i="15"/>
  <c r="D6" i="15" s="1"/>
  <c r="D9" i="15" s="1"/>
  <c r="G23" i="11"/>
  <c r="G14" i="11"/>
  <c r="G44" i="11"/>
  <c r="G68" i="11"/>
  <c r="G31" i="11"/>
  <c r="D2" i="13"/>
  <c r="C3" i="13"/>
  <c r="B3" i="13"/>
  <c r="B2" i="13" s="1"/>
  <c r="G32" i="14"/>
  <c r="G55" i="11" s="1"/>
  <c r="G30" i="14"/>
  <c r="G54" i="11" s="1"/>
  <c r="G20" i="14"/>
  <c r="G10" i="14"/>
  <c r="G5" i="12"/>
  <c r="G22" i="14" s="1"/>
  <c r="G10" i="11" s="1"/>
  <c r="G6" i="14"/>
  <c r="G3" i="14" s="1"/>
  <c r="G4" i="11" s="1"/>
  <c r="S49" i="6"/>
  <c r="S50" i="6"/>
  <c r="R50" i="6"/>
  <c r="R49" i="6"/>
  <c r="B50" i="6"/>
  <c r="B49" i="6"/>
  <c r="B48" i="6"/>
  <c r="B47" i="6"/>
  <c r="B46" i="6"/>
  <c r="C52" i="5"/>
  <c r="C53" i="5"/>
  <c r="C51" i="5"/>
  <c r="E46" i="5"/>
  <c r="E47" i="5"/>
  <c r="E45" i="5"/>
  <c r="R42" i="6"/>
  <c r="R41" i="6"/>
  <c r="R40" i="6"/>
  <c r="T40" i="6" s="1"/>
  <c r="T41" i="6"/>
  <c r="T42" i="6"/>
  <c r="E70" i="2"/>
  <c r="F24" i="2"/>
  <c r="B24" i="2"/>
  <c r="D24" i="2"/>
  <c r="E24" i="2"/>
  <c r="C24" i="2"/>
  <c r="C25" i="5"/>
  <c r="C18" i="5"/>
  <c r="AA33" i="6"/>
  <c r="C28" i="5" s="1"/>
  <c r="D28" i="5" s="1"/>
  <c r="AA32" i="6"/>
  <c r="C27" i="5" s="1"/>
  <c r="D27" i="5" s="1"/>
  <c r="R17" i="6"/>
  <c r="R12" i="6"/>
  <c r="R7" i="6"/>
  <c r="D33" i="14"/>
  <c r="E33" i="14"/>
  <c r="C33" i="14"/>
  <c r="D31" i="14"/>
  <c r="E31" i="14"/>
  <c r="C31" i="14"/>
  <c r="C27" i="14"/>
  <c r="D27" i="14"/>
  <c r="E27" i="14"/>
  <c r="B27" i="14"/>
  <c r="C25" i="14"/>
  <c r="D25" i="14"/>
  <c r="E25" i="14"/>
  <c r="B25" i="14"/>
  <c r="D23" i="14"/>
  <c r="E23" i="14"/>
  <c r="C23" i="14"/>
  <c r="C19" i="14"/>
  <c r="D19" i="14"/>
  <c r="E19" i="14"/>
  <c r="B19" i="14"/>
  <c r="D17" i="14"/>
  <c r="E17" i="14"/>
  <c r="C17" i="14"/>
  <c r="D15" i="14"/>
  <c r="E15" i="14"/>
  <c r="C15" i="14"/>
  <c r="D11" i="14"/>
  <c r="E11" i="14"/>
  <c r="C11" i="14"/>
  <c r="D9" i="14"/>
  <c r="E9" i="14"/>
  <c r="C9" i="14"/>
  <c r="C4" i="13"/>
  <c r="D4" i="13"/>
  <c r="E4" i="13"/>
  <c r="C5" i="13"/>
  <c r="D5" i="13"/>
  <c r="E5" i="13"/>
  <c r="B5" i="13"/>
  <c r="B4" i="13"/>
  <c r="D102" i="13"/>
  <c r="D101" i="13" s="1"/>
  <c r="B102" i="13"/>
  <c r="B101" i="13" s="1"/>
  <c r="F91" i="13"/>
  <c r="E80" i="13"/>
  <c r="E69" i="13"/>
  <c r="E58" i="13"/>
  <c r="G47" i="13"/>
  <c r="E36" i="13"/>
  <c r="E25" i="13"/>
  <c r="E14" i="13"/>
  <c r="B76" i="13"/>
  <c r="B75" i="13"/>
  <c r="D74" i="13"/>
  <c r="D77" i="13"/>
  <c r="D76" i="13" s="1"/>
  <c r="C80" i="13" s="1"/>
  <c r="C79" i="13" s="1"/>
  <c r="E41" i="13"/>
  <c r="E44" i="13"/>
  <c r="F41" i="13" s="1"/>
  <c r="D41" i="13"/>
  <c r="D42" i="13" s="1"/>
  <c r="B43" i="13"/>
  <c r="B42" i="13"/>
  <c r="C87" i="13"/>
  <c r="B91" i="13" s="1"/>
  <c r="B90" i="13" s="1"/>
  <c r="B87" i="13"/>
  <c r="B86" i="13"/>
  <c r="D85" i="13"/>
  <c r="D88" i="13"/>
  <c r="D87" i="13" s="1"/>
  <c r="C91" i="13" s="1"/>
  <c r="C90" i="13" s="1"/>
  <c r="D96" i="13"/>
  <c r="D98" i="13" s="1"/>
  <c r="C102" i="13" s="1"/>
  <c r="C101" i="13" s="1"/>
  <c r="B65" i="13"/>
  <c r="B64" i="13"/>
  <c r="D63" i="13"/>
  <c r="D66" i="13"/>
  <c r="E66" i="13" s="1"/>
  <c r="B32" i="13"/>
  <c r="B31" i="13"/>
  <c r="D30" i="13"/>
  <c r="D33" i="13"/>
  <c r="E30" i="13" s="1"/>
  <c r="B54" i="13"/>
  <c r="B53" i="13"/>
  <c r="C55" i="13"/>
  <c r="D52" i="13" s="1"/>
  <c r="B21" i="13"/>
  <c r="B20" i="13"/>
  <c r="C22" i="13"/>
  <c r="C20" i="13" s="1"/>
  <c r="B10" i="13"/>
  <c r="B9" i="13"/>
  <c r="C11" i="13"/>
  <c r="D8" i="13" s="1"/>
  <c r="C85" i="13"/>
  <c r="C86" i="13" s="1"/>
  <c r="C96" i="13"/>
  <c r="C74" i="13"/>
  <c r="C76" i="13" s="1"/>
  <c r="B80" i="13" s="1"/>
  <c r="B79" i="13" s="1"/>
  <c r="C63" i="13"/>
  <c r="C65" i="13" s="1"/>
  <c r="B69" i="13" s="1"/>
  <c r="B68" i="13" s="1"/>
  <c r="C52" i="13"/>
  <c r="C41" i="13"/>
  <c r="C42" i="13" s="1"/>
  <c r="C30" i="13"/>
  <c r="C31" i="13" s="1"/>
  <c r="C19" i="13"/>
  <c r="C8" i="13"/>
  <c r="C2" i="13" l="1"/>
  <c r="E3" i="13"/>
  <c r="E12" i="15" s="1"/>
  <c r="G22" i="11"/>
  <c r="G7" i="11"/>
  <c r="G13" i="11"/>
  <c r="E3" i="15" s="1"/>
  <c r="G24" i="14"/>
  <c r="G11" i="11" s="1"/>
  <c r="G21" i="14"/>
  <c r="G9" i="11" s="1"/>
  <c r="C43" i="13"/>
  <c r="B47" i="13" s="1"/>
  <c r="B46" i="13" s="1"/>
  <c r="D86" i="13"/>
  <c r="D31" i="13"/>
  <c r="D75" i="13"/>
  <c r="D32" i="13"/>
  <c r="C36" i="13" s="1"/>
  <c r="C35" i="13" s="1"/>
  <c r="C32" i="13"/>
  <c r="B36" i="13" s="1"/>
  <c r="B35" i="13" s="1"/>
  <c r="D55" i="13"/>
  <c r="E55" i="13" s="1"/>
  <c r="E43" i="13"/>
  <c r="D47" i="13" s="1"/>
  <c r="D46" i="13" s="1"/>
  <c r="D43" i="13"/>
  <c r="C47" i="13" s="1"/>
  <c r="C46" i="13" s="1"/>
  <c r="E42" i="13"/>
  <c r="C54" i="13"/>
  <c r="B58" i="13" s="1"/>
  <c r="B57" i="13" s="1"/>
  <c r="C9" i="13"/>
  <c r="F44" i="13"/>
  <c r="G44" i="13" s="1"/>
  <c r="G46" i="13" s="1"/>
  <c r="D64" i="13"/>
  <c r="F42" i="13"/>
  <c r="F43" i="13"/>
  <c r="E47" i="13" s="1"/>
  <c r="E46" i="13" s="1"/>
  <c r="D22" i="13"/>
  <c r="E77" i="13"/>
  <c r="C21" i="13"/>
  <c r="B25" i="13" s="1"/>
  <c r="B24" i="13" s="1"/>
  <c r="C53" i="13"/>
  <c r="E63" i="13"/>
  <c r="E65" i="13" s="1"/>
  <c r="D69" i="13" s="1"/>
  <c r="D68" i="13" s="1"/>
  <c r="E85" i="13"/>
  <c r="E74" i="13"/>
  <c r="D19" i="13"/>
  <c r="E33" i="13"/>
  <c r="E35" i="13" s="1"/>
  <c r="C10" i="13"/>
  <c r="B14" i="13" s="1"/>
  <c r="B13" i="13" s="1"/>
  <c r="E57" i="13"/>
  <c r="E68" i="13"/>
  <c r="C64" i="13"/>
  <c r="C75" i="13"/>
  <c r="D11" i="13"/>
  <c r="E88" i="13"/>
  <c r="D65" i="13"/>
  <c r="C69" i="13" s="1"/>
  <c r="C68" i="13" s="1"/>
  <c r="E2" i="13" l="1"/>
  <c r="G39" i="14" s="1"/>
  <c r="G63" i="11" s="1"/>
  <c r="E11" i="15"/>
  <c r="D54" i="13"/>
  <c r="C58" i="13" s="1"/>
  <c r="C57" i="13" s="1"/>
  <c r="D53" i="13"/>
  <c r="E52" i="13"/>
  <c r="E54" i="13" s="1"/>
  <c r="D58" i="13" s="1"/>
  <c r="D57" i="13" s="1"/>
  <c r="G41" i="13"/>
  <c r="G42" i="13" s="1"/>
  <c r="E11" i="13"/>
  <c r="D9" i="13"/>
  <c r="E8" i="13"/>
  <c r="D10" i="13"/>
  <c r="C14" i="13" s="1"/>
  <c r="C13" i="13" s="1"/>
  <c r="F85" i="13"/>
  <c r="E87" i="13"/>
  <c r="D91" i="13" s="1"/>
  <c r="D90" i="13" s="1"/>
  <c r="F88" i="13"/>
  <c r="E86" i="13"/>
  <c r="E76" i="13"/>
  <c r="D80" i="13" s="1"/>
  <c r="D79" i="13" s="1"/>
  <c r="E75" i="13"/>
  <c r="D21" i="13"/>
  <c r="C25" i="13" s="1"/>
  <c r="C24" i="13" s="1"/>
  <c r="E19" i="13"/>
  <c r="E22" i="13"/>
  <c r="D20" i="13"/>
  <c r="E53" i="13"/>
  <c r="E31" i="13"/>
  <c r="E32" i="13"/>
  <c r="D36" i="13" s="1"/>
  <c r="D35" i="13" s="1"/>
  <c r="G43" i="13"/>
  <c r="F47" i="13" s="1"/>
  <c r="F46" i="13" s="1"/>
  <c r="E64" i="13"/>
  <c r="E79" i="13"/>
  <c r="E20" i="13" l="1"/>
  <c r="E21" i="13"/>
  <c r="D25" i="13" s="1"/>
  <c r="D24" i="13" s="1"/>
  <c r="E24" i="13"/>
  <c r="F87" i="13"/>
  <c r="E91" i="13" s="1"/>
  <c r="E90" i="13" s="1"/>
  <c r="F86" i="13"/>
  <c r="F90" i="13"/>
  <c r="E10" i="13"/>
  <c r="D14" i="13" s="1"/>
  <c r="D13" i="13" s="1"/>
  <c r="E9" i="13"/>
  <c r="E13" i="13"/>
  <c r="V26" i="6" l="1"/>
  <c r="V25" i="6"/>
  <c r="V21" i="6"/>
  <c r="V20" i="6"/>
  <c r="V4" i="6"/>
  <c r="S18" i="6"/>
  <c r="W4" i="6"/>
  <c r="X4" i="6" s="1"/>
  <c r="Y4" i="6" s="1"/>
  <c r="Z4" i="6" s="1"/>
  <c r="AA31" i="6"/>
  <c r="AA29" i="6"/>
  <c r="AA26" i="6"/>
  <c r="AA25" i="6"/>
  <c r="AA20" i="6"/>
  <c r="G25" i="6"/>
  <c r="H25" i="6"/>
  <c r="I25" i="6"/>
  <c r="J25" i="6"/>
  <c r="K25" i="6"/>
  <c r="L25" i="6"/>
  <c r="M25" i="6"/>
  <c r="N25" i="6"/>
  <c r="O25" i="6"/>
  <c r="P25" i="6"/>
  <c r="Q25" i="6"/>
  <c r="G15" i="6"/>
  <c r="H15" i="6"/>
  <c r="I15" i="6"/>
  <c r="J15" i="6"/>
  <c r="K15" i="6"/>
  <c r="L15" i="6"/>
  <c r="M15" i="6"/>
  <c r="N15" i="6"/>
  <c r="O15" i="6"/>
  <c r="P15" i="6"/>
  <c r="G20" i="6"/>
  <c r="H20" i="6"/>
  <c r="I20" i="6"/>
  <c r="J20" i="6"/>
  <c r="K20" i="6"/>
  <c r="L20" i="6"/>
  <c r="M20" i="6"/>
  <c r="N20" i="6"/>
  <c r="O20" i="6"/>
  <c r="P20" i="6"/>
  <c r="Q20" i="6"/>
  <c r="AA21" i="6"/>
  <c r="AA15" i="6"/>
  <c r="AA10" i="6"/>
  <c r="AA16" i="6"/>
  <c r="AA5" i="6"/>
  <c r="AA11" i="6"/>
  <c r="AA6" i="6"/>
  <c r="J5" i="6"/>
  <c r="N5" i="6"/>
  <c r="R5" i="6"/>
  <c r="V5" i="6" s="1"/>
  <c r="T18" i="6" l="1"/>
  <c r="AA4" i="6"/>
  <c r="S23" i="6"/>
  <c r="D25" i="9"/>
  <c r="D24" i="9"/>
  <c r="F17" i="9"/>
  <c r="G17" i="9"/>
  <c r="H17" i="9"/>
  <c r="I17" i="9"/>
  <c r="J17" i="9"/>
  <c r="E17" i="9"/>
  <c r="D17" i="9"/>
  <c r="D2" i="9"/>
  <c r="D4" i="9" s="1"/>
  <c r="D10" i="9" s="1"/>
  <c r="D8" i="9"/>
  <c r="D9" i="9" s="1"/>
  <c r="D15" i="9" s="1"/>
  <c r="D3" i="8"/>
  <c r="D4" i="8" s="1"/>
  <c r="D3" i="9" s="1"/>
  <c r="D2" i="8"/>
  <c r="E2" i="8"/>
  <c r="U18" i="6" l="1"/>
  <c r="T23" i="6"/>
  <c r="D5" i="9"/>
  <c r="E2" i="9" s="1"/>
  <c r="E4" i="9" s="1"/>
  <c r="E10" i="9" s="1"/>
  <c r="D11" i="9"/>
  <c r="E8" i="9" s="1"/>
  <c r="W18" i="6" l="1"/>
  <c r="V18" i="6"/>
  <c r="U23" i="6"/>
  <c r="E3" i="8"/>
  <c r="E4" i="8" s="1"/>
  <c r="E3" i="9" s="1"/>
  <c r="E5" i="9" s="1"/>
  <c r="F2" i="9" s="1"/>
  <c r="F4" i="9" s="1"/>
  <c r="E9" i="9"/>
  <c r="E15" i="9" s="1"/>
  <c r="E18" i="9" s="1"/>
  <c r="X18" i="6" l="1"/>
  <c r="W23" i="6"/>
  <c r="V23" i="6"/>
  <c r="E24" i="9"/>
  <c r="E25" i="9" s="1"/>
  <c r="F18" i="9"/>
  <c r="E11" i="9"/>
  <c r="F8" i="9" s="1"/>
  <c r="F10" i="9"/>
  <c r="Y18" i="6" l="1"/>
  <c r="X23" i="6"/>
  <c r="G18" i="9"/>
  <c r="F9" i="9"/>
  <c r="F11" i="9" s="1"/>
  <c r="G8" i="9" s="1"/>
  <c r="F3" i="8"/>
  <c r="F4" i="8" s="1"/>
  <c r="F3" i="9" s="1"/>
  <c r="F5" i="9" s="1"/>
  <c r="G2" i="9" s="1"/>
  <c r="G4" i="9" s="1"/>
  <c r="G10" i="9" s="1"/>
  <c r="Z18" i="6" l="1"/>
  <c r="AA18" i="6"/>
  <c r="Y23" i="6"/>
  <c r="G3" i="8"/>
  <c r="G4" i="8" s="1"/>
  <c r="G3" i="9" s="1"/>
  <c r="G5" i="9" s="1"/>
  <c r="H2" i="9" s="1"/>
  <c r="H4" i="9" s="1"/>
  <c r="H10" i="9" s="1"/>
  <c r="G9" i="9"/>
  <c r="F15" i="9"/>
  <c r="F19" i="9" s="1"/>
  <c r="H18" i="9"/>
  <c r="G11" i="9"/>
  <c r="H8" i="9" s="1"/>
  <c r="G15" i="9"/>
  <c r="G20" i="9" s="1"/>
  <c r="H20" i="9" s="1"/>
  <c r="I20" i="9" s="1"/>
  <c r="J20" i="9" s="1"/>
  <c r="H3" i="8"/>
  <c r="H4" i="8" s="1"/>
  <c r="H3" i="9" s="1"/>
  <c r="H5" i="9" s="1"/>
  <c r="I2" i="9" s="1"/>
  <c r="I4" i="9" s="1"/>
  <c r="I10" i="9" s="1"/>
  <c r="H9" i="9"/>
  <c r="Z23" i="6" l="1"/>
  <c r="G19" i="9"/>
  <c r="F24" i="9"/>
  <c r="F25" i="9" s="1"/>
  <c r="I18" i="9"/>
  <c r="H11" i="9"/>
  <c r="I8" i="9" s="1"/>
  <c r="H15" i="9"/>
  <c r="H21" i="9" s="1"/>
  <c r="I21" i="9" s="1"/>
  <c r="J21" i="9" s="1"/>
  <c r="AA23" i="6" l="1"/>
  <c r="J18" i="9"/>
  <c r="H19" i="9"/>
  <c r="G24" i="9"/>
  <c r="G25" i="9" s="1"/>
  <c r="I3" i="8"/>
  <c r="I4" i="8" s="1"/>
  <c r="I3" i="9" s="1"/>
  <c r="I5" i="9" s="1"/>
  <c r="J2" i="9" s="1"/>
  <c r="J4" i="9" s="1"/>
  <c r="J10" i="9" s="1"/>
  <c r="I9" i="9"/>
  <c r="I19" i="9" l="1"/>
  <c r="H24" i="9"/>
  <c r="H25" i="9" s="1"/>
  <c r="I15" i="9"/>
  <c r="I22" i="9" s="1"/>
  <c r="J22" i="9" s="1"/>
  <c r="I11" i="9"/>
  <c r="J8" i="9" s="1"/>
  <c r="J19" i="9" l="1"/>
  <c r="I24" i="9"/>
  <c r="I25" i="9" s="1"/>
  <c r="J3" i="8"/>
  <c r="J4" i="8" s="1"/>
  <c r="J3" i="9" s="1"/>
  <c r="J5" i="9" s="1"/>
  <c r="J9" i="9"/>
  <c r="J11" i="9" l="1"/>
  <c r="J15" i="9"/>
  <c r="J23" i="9" s="1"/>
  <c r="J24" i="9" s="1"/>
  <c r="J25" i="9" s="1"/>
  <c r="Z2" i="6" l="1"/>
  <c r="Y2" i="6"/>
  <c r="X2" i="6"/>
  <c r="W2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T30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T28" i="6"/>
  <c r="Q26" i="6"/>
  <c r="P26" i="6"/>
  <c r="O26" i="6"/>
  <c r="N26" i="6"/>
  <c r="M26" i="6"/>
  <c r="L26" i="6"/>
  <c r="K26" i="6"/>
  <c r="J26" i="6"/>
  <c r="I26" i="6"/>
  <c r="H26" i="6"/>
  <c r="G26" i="6"/>
  <c r="Q21" i="6"/>
  <c r="P21" i="6"/>
  <c r="O21" i="6"/>
  <c r="N21" i="6"/>
  <c r="M21" i="6"/>
  <c r="L21" i="6"/>
  <c r="K21" i="6"/>
  <c r="J21" i="6"/>
  <c r="I21" i="6"/>
  <c r="H21" i="6"/>
  <c r="G21" i="6"/>
  <c r="V16" i="6"/>
  <c r="Q16" i="6"/>
  <c r="P16" i="6"/>
  <c r="O16" i="6"/>
  <c r="N16" i="6"/>
  <c r="M16" i="6"/>
  <c r="L16" i="6"/>
  <c r="K16" i="6"/>
  <c r="J16" i="6"/>
  <c r="I16" i="6"/>
  <c r="H16" i="6"/>
  <c r="G16" i="6"/>
  <c r="R15" i="6"/>
  <c r="V15" i="6" s="1"/>
  <c r="Q15" i="6"/>
  <c r="S14" i="6"/>
  <c r="S13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R10" i="6"/>
  <c r="V10" i="6" s="1"/>
  <c r="Q10" i="6"/>
  <c r="P10" i="6"/>
  <c r="O10" i="6"/>
  <c r="N10" i="6"/>
  <c r="M10" i="6"/>
  <c r="L10" i="6"/>
  <c r="K10" i="6"/>
  <c r="J10" i="6"/>
  <c r="I10" i="6"/>
  <c r="H10" i="6"/>
  <c r="G10" i="6"/>
  <c r="T9" i="6"/>
  <c r="U8" i="6"/>
  <c r="T8" i="6"/>
  <c r="S8" i="6"/>
  <c r="S6" i="6"/>
  <c r="R6" i="6"/>
  <c r="Q6" i="6"/>
  <c r="P6" i="6"/>
  <c r="O6" i="6"/>
  <c r="N6" i="6"/>
  <c r="M6" i="6"/>
  <c r="L6" i="6"/>
  <c r="K6" i="6"/>
  <c r="J6" i="6"/>
  <c r="I6" i="6"/>
  <c r="H6" i="6"/>
  <c r="G6" i="6"/>
  <c r="E6" i="6"/>
  <c r="D6" i="6"/>
  <c r="Q5" i="6"/>
  <c r="P5" i="6"/>
  <c r="O5" i="6"/>
  <c r="M5" i="6"/>
  <c r="L5" i="6"/>
  <c r="K5" i="6"/>
  <c r="I5" i="6"/>
  <c r="H5" i="6"/>
  <c r="G5" i="6"/>
  <c r="U3" i="6"/>
  <c r="T3" i="6"/>
  <c r="T7" i="6" s="1"/>
  <c r="S3" i="6"/>
  <c r="V3" i="6" s="1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C17" i="5"/>
  <c r="C16" i="5"/>
  <c r="C19" i="5" s="1"/>
  <c r="B12" i="5"/>
  <c r="B13" i="5" s="1"/>
  <c r="B6" i="5"/>
  <c r="B7" i="5"/>
  <c r="B8" i="5"/>
  <c r="C8" i="5" s="1"/>
  <c r="B5" i="5"/>
  <c r="D11" i="2"/>
  <c r="D12" i="2"/>
  <c r="D13" i="2"/>
  <c r="D14" i="2"/>
  <c r="D15" i="2"/>
  <c r="D16" i="2"/>
  <c r="D17" i="2"/>
  <c r="D18" i="2"/>
  <c r="C34" i="1"/>
  <c r="V34" i="1"/>
  <c r="C48" i="2"/>
  <c r="C47" i="2"/>
  <c r="C46" i="2"/>
  <c r="D32" i="2"/>
  <c r="D34" i="2" s="1"/>
  <c r="B32" i="2"/>
  <c r="B34" i="2" s="1"/>
  <c r="C32" i="2"/>
  <c r="C34" i="2" s="1"/>
  <c r="E32" i="2"/>
  <c r="E34" i="2" s="1"/>
  <c r="F32" i="2"/>
  <c r="F34" i="2" s="1"/>
  <c r="AO27" i="1"/>
  <c r="M27" i="1"/>
  <c r="E25" i="2"/>
  <c r="C19" i="2"/>
  <c r="C21" i="2" s="1"/>
  <c r="E19" i="2"/>
  <c r="B19" i="2"/>
  <c r="B21" i="2" s="1"/>
  <c r="AU27" i="1"/>
  <c r="C40" i="5" l="1"/>
  <c r="D40" i="5" s="1"/>
  <c r="C41" i="5"/>
  <c r="D41" i="5" s="1"/>
  <c r="C39" i="5"/>
  <c r="D39" i="5" s="1"/>
  <c r="C69" i="2"/>
  <c r="S17" i="6"/>
  <c r="S12" i="6"/>
  <c r="V8" i="6"/>
  <c r="T12" i="6"/>
  <c r="W3" i="6"/>
  <c r="U7" i="6"/>
  <c r="V11" i="6"/>
  <c r="S7" i="6"/>
  <c r="V7" i="6" s="1"/>
  <c r="W8" i="6"/>
  <c r="V6" i="6"/>
  <c r="V29" i="6"/>
  <c r="D19" i="2"/>
  <c r="C42" i="2" s="1"/>
  <c r="V31" i="6"/>
  <c r="T14" i="6"/>
  <c r="U14" i="6" s="1"/>
  <c r="W14" i="6" s="1"/>
  <c r="U9" i="6"/>
  <c r="W9" i="6" s="1"/>
  <c r="U28" i="6"/>
  <c r="W28" i="6" s="1"/>
  <c r="U30" i="6"/>
  <c r="W30" i="6" s="1"/>
  <c r="T13" i="6"/>
  <c r="C5" i="5"/>
  <c r="D5" i="5" s="1"/>
  <c r="D8" i="5"/>
  <c r="C7" i="5"/>
  <c r="D7" i="5" s="1"/>
  <c r="C6" i="5"/>
  <c r="D6" i="5" s="1"/>
  <c r="E21" i="2"/>
  <c r="B37" i="2"/>
  <c r="D21" i="2" l="1"/>
  <c r="C25" i="2" s="1"/>
  <c r="U12" i="6"/>
  <c r="W7" i="6"/>
  <c r="W12" i="6"/>
  <c r="X3" i="6"/>
  <c r="V12" i="6"/>
  <c r="X8" i="6"/>
  <c r="X12" i="6" s="1"/>
  <c r="U13" i="6"/>
  <c r="V13" i="6" s="1"/>
  <c r="T17" i="6"/>
  <c r="Y8" i="6"/>
  <c r="Y12" i="6" s="1"/>
  <c r="V14" i="6"/>
  <c r="Y3" i="6"/>
  <c r="X7" i="6"/>
  <c r="V9" i="6"/>
  <c r="V28" i="6"/>
  <c r="X30" i="6"/>
  <c r="Y30" i="6" s="1"/>
  <c r="Z30" i="6" s="1"/>
  <c r="X28" i="6"/>
  <c r="Y28" i="6" s="1"/>
  <c r="Z28" i="6" s="1"/>
  <c r="V30" i="6"/>
  <c r="X9" i="6"/>
  <c r="Y9" i="6" s="1"/>
  <c r="Z9" i="6" s="1"/>
  <c r="X14" i="6"/>
  <c r="Y14" i="6" s="1"/>
  <c r="Z14" i="6" s="1"/>
  <c r="B25" i="2"/>
  <c r="E22" i="2"/>
  <c r="B38" i="2"/>
  <c r="C23" i="2"/>
  <c r="D23" i="2"/>
  <c r="B23" i="2"/>
  <c r="D25" i="2"/>
  <c r="AI30" i="1"/>
  <c r="AI27" i="1"/>
  <c r="AI24" i="1"/>
  <c r="AI21" i="1"/>
  <c r="AI18" i="1"/>
  <c r="AW18" i="1" s="1"/>
  <c r="AI15" i="1"/>
  <c r="AW15" i="1" s="1"/>
  <c r="AI12" i="1"/>
  <c r="AW12" i="1" s="1"/>
  <c r="AI9" i="1"/>
  <c r="AW9" i="1" s="1"/>
  <c r="AP6" i="1"/>
  <c r="AU30" i="1"/>
  <c r="AU24" i="1"/>
  <c r="AU21" i="1"/>
  <c r="AU18" i="1"/>
  <c r="AU15" i="1"/>
  <c r="AU12" i="1"/>
  <c r="AU9" i="1"/>
  <c r="AU6" i="1"/>
  <c r="AP30" i="1"/>
  <c r="AP27" i="1"/>
  <c r="AP24" i="1"/>
  <c r="AP21" i="1"/>
  <c r="AP18" i="1"/>
  <c r="AP15" i="1"/>
  <c r="AP12" i="1"/>
  <c r="AP9" i="1"/>
  <c r="W30" i="1"/>
  <c r="W27" i="1"/>
  <c r="W24" i="1"/>
  <c r="W21" i="1"/>
  <c r="W18" i="1"/>
  <c r="W15" i="1"/>
  <c r="W12" i="1"/>
  <c r="W9" i="1"/>
  <c r="W6" i="1"/>
  <c r="N30" i="1"/>
  <c r="N27" i="1"/>
  <c r="N24" i="1"/>
  <c r="N21" i="1"/>
  <c r="N18" i="1"/>
  <c r="N15" i="1"/>
  <c r="N12" i="1"/>
  <c r="N9" i="1"/>
  <c r="N6" i="1"/>
  <c r="E6" i="1"/>
  <c r="E9" i="1"/>
  <c r="E12" i="1"/>
  <c r="E15" i="1"/>
  <c r="E18" i="1"/>
  <c r="E21" i="1"/>
  <c r="E24" i="1"/>
  <c r="E27" i="1"/>
  <c r="E30" i="1"/>
  <c r="Q44" i="3"/>
  <c r="Q43" i="3"/>
  <c r="Q42" i="3"/>
  <c r="M38" i="3"/>
  <c r="N38" i="3" s="1"/>
  <c r="O44" i="3" s="1"/>
  <c r="M37" i="3"/>
  <c r="N37" i="3" s="1"/>
  <c r="O43" i="3" s="1"/>
  <c r="O32" i="3"/>
  <c r="M36" i="3"/>
  <c r="O31" i="3"/>
  <c r="M43" i="3"/>
  <c r="M42" i="3"/>
  <c r="N44" i="3"/>
  <c r="N43" i="3"/>
  <c r="N42" i="3"/>
  <c r="L44" i="3"/>
  <c r="L43" i="3"/>
  <c r="L42" i="3"/>
  <c r="N36" i="3"/>
  <c r="O42" i="3" s="1"/>
  <c r="L38" i="3"/>
  <c r="L37" i="3"/>
  <c r="L36" i="3"/>
  <c r="P32" i="3"/>
  <c r="M44" i="3" s="1"/>
  <c r="P31" i="3"/>
  <c r="P30" i="3"/>
  <c r="N32" i="3"/>
  <c r="N31" i="3"/>
  <c r="N30" i="3"/>
  <c r="M32" i="3"/>
  <c r="M31" i="3"/>
  <c r="M30" i="3"/>
  <c r="K32" i="3"/>
  <c r="K31" i="3"/>
  <c r="K30" i="3"/>
  <c r="N25" i="3"/>
  <c r="N24" i="3"/>
  <c r="N23" i="3"/>
  <c r="K18" i="3"/>
  <c r="L17" i="3"/>
  <c r="L16" i="3"/>
  <c r="L15" i="3"/>
  <c r="M5" i="3"/>
  <c r="L11" i="3" s="1"/>
  <c r="N11" i="3" s="1"/>
  <c r="M17" i="3" s="1"/>
  <c r="M4" i="3"/>
  <c r="L10" i="3" s="1"/>
  <c r="N10" i="3" s="1"/>
  <c r="M16" i="3" s="1"/>
  <c r="N16" i="3" s="1"/>
  <c r="O16" i="3" s="1"/>
  <c r="M3" i="3"/>
  <c r="L9" i="3" s="1"/>
  <c r="N9" i="3" s="1"/>
  <c r="M15" i="3" s="1"/>
  <c r="F30" i="1"/>
  <c r="F27" i="1"/>
  <c r="F24" i="1"/>
  <c r="F21" i="1"/>
  <c r="F18" i="1"/>
  <c r="F15" i="1"/>
  <c r="F12" i="1"/>
  <c r="F9" i="1"/>
  <c r="F6" i="1"/>
  <c r="AJ30" i="1"/>
  <c r="AB30" i="1"/>
  <c r="U30" i="1"/>
  <c r="AJ29" i="1"/>
  <c r="AB29" i="1"/>
  <c r="AQ28" i="1"/>
  <c r="AQ29" i="1" s="1"/>
  <c r="AQ30" i="1" s="1"/>
  <c r="AJ28" i="1"/>
  <c r="AG28" i="1"/>
  <c r="AG29" i="1" s="1"/>
  <c r="AG30" i="1" s="1"/>
  <c r="AB28" i="1"/>
  <c r="Y28" i="1"/>
  <c r="Y29" i="1" s="1"/>
  <c r="Y30" i="1" s="1"/>
  <c r="X28" i="1"/>
  <c r="X29" i="1" s="1"/>
  <c r="X30" i="1" s="1"/>
  <c r="O28" i="1"/>
  <c r="O29" i="1" s="1"/>
  <c r="O30" i="1" s="1"/>
  <c r="H28" i="1"/>
  <c r="H29" i="1" s="1"/>
  <c r="H30" i="1" s="1"/>
  <c r="G28" i="1"/>
  <c r="G29" i="1" s="1"/>
  <c r="G30" i="1" s="1"/>
  <c r="AJ27" i="1"/>
  <c r="AB27" i="1"/>
  <c r="U27" i="1"/>
  <c r="AJ26" i="1"/>
  <c r="AB26" i="1"/>
  <c r="AJ25" i="1"/>
  <c r="AB25" i="1"/>
  <c r="AJ24" i="1"/>
  <c r="AB24" i="1"/>
  <c r="U24" i="1"/>
  <c r="AJ23" i="1"/>
  <c r="AB23" i="1"/>
  <c r="AJ22" i="1"/>
  <c r="AB22" i="1"/>
  <c r="AJ21" i="1"/>
  <c r="AB21" i="1"/>
  <c r="U21" i="1"/>
  <c r="AJ20" i="1"/>
  <c r="AB20" i="1"/>
  <c r="AJ19" i="1"/>
  <c r="AB19" i="1"/>
  <c r="AJ18" i="1"/>
  <c r="AB18" i="1"/>
  <c r="U18" i="1"/>
  <c r="AJ17" i="1"/>
  <c r="AB17" i="1"/>
  <c r="AQ16" i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J16" i="1"/>
  <c r="AG16" i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B16" i="1"/>
  <c r="Y16" i="1"/>
  <c r="Y17" i="1" s="1"/>
  <c r="X16" i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H16" i="1"/>
  <c r="H17" i="1" s="1"/>
  <c r="H18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AJ15" i="1"/>
  <c r="AB15" i="1"/>
  <c r="U15" i="1"/>
  <c r="AJ14" i="1"/>
  <c r="AB14" i="1"/>
  <c r="AJ13" i="1"/>
  <c r="AB13" i="1"/>
  <c r="AJ12" i="1"/>
  <c r="AB12" i="1"/>
  <c r="U12" i="1"/>
  <c r="AJ11" i="1"/>
  <c r="AB11" i="1"/>
  <c r="AJ10" i="1"/>
  <c r="AB10" i="1"/>
  <c r="AJ9" i="1"/>
  <c r="AB9" i="1"/>
  <c r="AJ8" i="1"/>
  <c r="AG8" i="1"/>
  <c r="AG9" i="1" s="1"/>
  <c r="AG10" i="1" s="1"/>
  <c r="AG11" i="1" s="1"/>
  <c r="AG12" i="1" s="1"/>
  <c r="AG13" i="1" s="1"/>
  <c r="AG14" i="1" s="1"/>
  <c r="AG15" i="1" s="1"/>
  <c r="AB8" i="1"/>
  <c r="U8" i="1"/>
  <c r="AJ7" i="1"/>
  <c r="AB7" i="1"/>
  <c r="AB6" i="1"/>
  <c r="AJ5" i="1"/>
  <c r="AB5" i="1"/>
  <c r="AQ4" i="1"/>
  <c r="AQ5" i="1" s="1"/>
  <c r="AQ6" i="1" s="1"/>
  <c r="AJ4" i="1"/>
  <c r="AG4" i="1"/>
  <c r="AG5" i="1" s="1"/>
  <c r="AF6" i="1" s="1"/>
  <c r="AG6" i="1" s="1"/>
  <c r="AB4" i="1"/>
  <c r="Y4" i="1"/>
  <c r="Y5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AA28" i="6" l="1"/>
  <c r="D25" i="5" s="1"/>
  <c r="W13" i="6"/>
  <c r="U17" i="6"/>
  <c r="V17" i="6" s="1"/>
  <c r="Z3" i="6"/>
  <c r="AA3" i="6" s="1"/>
  <c r="Y7" i="6"/>
  <c r="Z8" i="6"/>
  <c r="Z12" i="6" s="1"/>
  <c r="AA12" i="6" s="1"/>
  <c r="AA9" i="6"/>
  <c r="AA14" i="6"/>
  <c r="AA30" i="6"/>
  <c r="C26" i="5" s="1"/>
  <c r="D26" i="5" s="1"/>
  <c r="B22" i="2"/>
  <c r="C22" i="2"/>
  <c r="D22" i="2"/>
  <c r="C43" i="2" s="1"/>
  <c r="C44" i="2" s="1"/>
  <c r="AX12" i="1"/>
  <c r="AW21" i="1"/>
  <c r="AW24" i="1"/>
  <c r="AX9" i="1"/>
  <c r="AW27" i="1"/>
  <c r="AX27" i="1" s="1"/>
  <c r="AW30" i="1"/>
  <c r="AX15" i="1"/>
  <c r="AX18" i="1"/>
  <c r="AX21" i="1"/>
  <c r="AX30" i="1"/>
  <c r="AI6" i="1"/>
  <c r="AW6" i="1" s="1"/>
  <c r="AX6" i="1" s="1"/>
  <c r="AX24" i="1"/>
  <c r="AQ7" i="1"/>
  <c r="AQ8" i="1" s="1"/>
  <c r="AQ9" i="1" s="1"/>
  <c r="AQ10" i="1" s="1"/>
  <c r="AQ11" i="1" s="1"/>
  <c r="AQ12" i="1" s="1"/>
  <c r="AQ13" i="1" s="1"/>
  <c r="AQ14" i="1" s="1"/>
  <c r="AQ15" i="1" s="1"/>
  <c r="P43" i="3"/>
  <c r="R43" i="3" s="1"/>
  <c r="P44" i="3"/>
  <c r="R44" i="3" s="1"/>
  <c r="P42" i="3"/>
  <c r="R42" i="3" s="1"/>
  <c r="N15" i="3"/>
  <c r="M18" i="3"/>
  <c r="N17" i="3"/>
  <c r="O17" i="3" s="1"/>
  <c r="L18" i="3"/>
  <c r="AC17" i="1"/>
  <c r="AC5" i="1"/>
  <c r="Y6" i="1"/>
  <c r="Y7" i="1" s="1"/>
  <c r="Y8" i="1" s="1"/>
  <c r="AC8" i="1" s="1"/>
  <c r="AC16" i="1"/>
  <c r="Y18" i="1"/>
  <c r="Y19" i="1" s="1"/>
  <c r="Y20" i="1" s="1"/>
  <c r="Y21" i="1" s="1"/>
  <c r="Y22" i="1" s="1"/>
  <c r="Y23" i="1" s="1"/>
  <c r="Y24" i="1" s="1"/>
  <c r="Y25" i="1" s="1"/>
  <c r="Y26" i="1" s="1"/>
  <c r="Y27" i="1" s="1"/>
  <c r="AC27" i="1" s="1"/>
  <c r="AC30" i="1"/>
  <c r="AC29" i="1"/>
  <c r="AC28" i="1"/>
  <c r="AC4" i="1"/>
  <c r="H19" i="1"/>
  <c r="H20" i="1" s="1"/>
  <c r="H21" i="1" s="1"/>
  <c r="AJ6" i="1"/>
  <c r="B67" i="2" l="1"/>
  <c r="B68" i="2" s="1"/>
  <c r="F2" i="12"/>
  <c r="F4" i="12" s="1"/>
  <c r="D29" i="5"/>
  <c r="AA8" i="6"/>
  <c r="W17" i="6"/>
  <c r="X13" i="6"/>
  <c r="Z7" i="6"/>
  <c r="AA7" i="6" s="1"/>
  <c r="C49" i="2"/>
  <c r="C51" i="2" s="1"/>
  <c r="N18" i="3"/>
  <c r="O15" i="3"/>
  <c r="O18" i="3" s="1"/>
  <c r="AC6" i="1"/>
  <c r="Y9" i="1"/>
  <c r="Y10" i="1" s="1"/>
  <c r="Y11" i="1" s="1"/>
  <c r="Y12" i="1" s="1"/>
  <c r="Y13" i="1" s="1"/>
  <c r="Y14" i="1" s="1"/>
  <c r="Y15" i="1" s="1"/>
  <c r="AC15" i="1" s="1"/>
  <c r="AC7" i="1"/>
  <c r="AC25" i="1"/>
  <c r="AC26" i="1"/>
  <c r="AC21" i="1"/>
  <c r="AC19" i="1"/>
  <c r="AC23" i="1"/>
  <c r="AC20" i="1"/>
  <c r="AC22" i="1"/>
  <c r="AC18" i="1"/>
  <c r="AC24" i="1"/>
  <c r="H22" i="1"/>
  <c r="H23" i="1" s="1"/>
  <c r="H24" i="1" s="1"/>
  <c r="B51" i="5" l="1"/>
  <c r="C45" i="5"/>
  <c r="C34" i="5"/>
  <c r="D34" i="5" s="1"/>
  <c r="D35" i="5" s="1"/>
  <c r="C31" i="5"/>
  <c r="D31" i="5" s="1"/>
  <c r="D32" i="5" s="1"/>
  <c r="Y13" i="6"/>
  <c r="X17" i="6"/>
  <c r="AC11" i="1"/>
  <c r="AC13" i="1"/>
  <c r="AC14" i="1"/>
  <c r="AC9" i="1"/>
  <c r="AC12" i="1"/>
  <c r="AC10" i="1"/>
  <c r="H25" i="1"/>
  <c r="H26" i="1" s="1"/>
  <c r="H27" i="1" s="1"/>
  <c r="C46" i="5" l="1"/>
  <c r="B52" i="5"/>
  <c r="C47" i="5"/>
  <c r="B53" i="5"/>
  <c r="D46" i="5"/>
  <c r="F46" i="5" s="1"/>
  <c r="D52" i="5" s="1"/>
  <c r="D47" i="5"/>
  <c r="F47" i="5" s="1"/>
  <c r="D53" i="5" s="1"/>
  <c r="D45" i="5"/>
  <c r="F45" i="5" s="1"/>
  <c r="D51" i="5" s="1"/>
  <c r="E51" i="5" s="1"/>
  <c r="R46" i="6" s="1"/>
  <c r="S46" i="6" s="1"/>
  <c r="Z13" i="6"/>
  <c r="Z17" i="6" s="1"/>
  <c r="Y17" i="6"/>
  <c r="R19" i="6"/>
  <c r="AA17" i="6" l="1"/>
  <c r="E53" i="5"/>
  <c r="R48" i="6" s="1"/>
  <c r="S48" i="6" s="1"/>
  <c r="E52" i="5"/>
  <c r="R47" i="6" s="1"/>
  <c r="S47" i="6" s="1"/>
  <c r="S51" i="6" s="1"/>
  <c r="C67" i="2"/>
  <c r="C68" i="2" s="1"/>
  <c r="C70" i="2" s="1"/>
  <c r="G2" i="12"/>
  <c r="S19" i="6"/>
  <c r="R22" i="6"/>
  <c r="AA13" i="6"/>
  <c r="G12" i="12" l="1"/>
  <c r="G11" i="12"/>
  <c r="G40" i="14"/>
  <c r="G64" i="11" s="1"/>
  <c r="G35" i="14"/>
  <c r="G57" i="11" s="1"/>
  <c r="G4" i="12"/>
  <c r="G36" i="14"/>
  <c r="G58" i="11" s="1"/>
  <c r="G37" i="14"/>
  <c r="G61" i="11" s="1"/>
  <c r="G38" i="14"/>
  <c r="G62" i="11" s="1"/>
  <c r="G41" i="14"/>
  <c r="G65" i="11" s="1"/>
  <c r="G34" i="14"/>
  <c r="E71" i="2"/>
  <c r="C72" i="2"/>
  <c r="D72" i="2" s="1"/>
  <c r="C71" i="2"/>
  <c r="D71" i="2" s="1"/>
  <c r="T19" i="6"/>
  <c r="S22" i="6"/>
  <c r="R24" i="6"/>
  <c r="R27" i="6" s="1"/>
  <c r="S24" i="6"/>
  <c r="G56" i="11" l="1"/>
  <c r="G53" i="11" s="1"/>
  <c r="G18" i="12"/>
  <c r="G6" i="12"/>
  <c r="G13" i="12" s="1"/>
  <c r="G17" i="12" s="1"/>
  <c r="G26" i="14"/>
  <c r="G12" i="11" s="1"/>
  <c r="G16" i="14"/>
  <c r="G14" i="14"/>
  <c r="G8" i="14"/>
  <c r="C73" i="2"/>
  <c r="D73" i="2" s="1"/>
  <c r="F73" i="2" s="1"/>
  <c r="G71" i="2"/>
  <c r="F71" i="2"/>
  <c r="F72" i="2"/>
  <c r="G72" i="2"/>
  <c r="T24" i="6"/>
  <c r="S27" i="6"/>
  <c r="U19" i="6"/>
  <c r="V19" i="6" s="1"/>
  <c r="T22" i="6"/>
  <c r="G20" i="12" l="1"/>
  <c r="G21" i="12" s="1"/>
  <c r="G96" i="11"/>
  <c r="G52" i="11"/>
  <c r="E5" i="15"/>
  <c r="G18" i="14"/>
  <c r="G7" i="14"/>
  <c r="G8" i="11" s="1"/>
  <c r="G73" i="2"/>
  <c r="W19" i="6"/>
  <c r="U22" i="6"/>
  <c r="V22" i="6" s="1"/>
  <c r="U24" i="6"/>
  <c r="T27" i="6"/>
  <c r="E7" i="15" l="1"/>
  <c r="G2" i="11"/>
  <c r="G50" i="11" s="1"/>
  <c r="G98" i="11"/>
  <c r="G83" i="11"/>
  <c r="G82" i="11" s="1"/>
  <c r="E2" i="15" s="1"/>
  <c r="E4" i="15" s="1"/>
  <c r="E6" i="15" s="1"/>
  <c r="W22" i="6"/>
  <c r="X19" i="6"/>
  <c r="W24" i="6"/>
  <c r="U27" i="6"/>
  <c r="V27" i="6" s="1"/>
  <c r="V24" i="6"/>
  <c r="G104" i="11" l="1"/>
  <c r="W27" i="6"/>
  <c r="X24" i="6"/>
  <c r="Y19" i="6"/>
  <c r="X22" i="6"/>
  <c r="Z19" i="6" l="1"/>
  <c r="Z22" i="6" s="1"/>
  <c r="Y22" i="6"/>
  <c r="AA22" i="6" s="1"/>
  <c r="AA19" i="6"/>
  <c r="Y24" i="6"/>
  <c r="X27" i="6"/>
  <c r="Z24" i="6" l="1"/>
  <c r="Z27" i="6" s="1"/>
  <c r="Y27" i="6"/>
  <c r="AA24" i="6" l="1"/>
  <c r="AA27" i="6"/>
  <c r="E9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N14" authorId="0" shapeId="0" xr:uid="{197BA02D-0B43-414E-B1A4-75F459C6543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Tách được chi phí 2000 sản phẩm hoàn thiện và 140 sp tương đương ra</t>
        </r>
      </text>
    </comment>
    <comment ref="M29" authorId="0" shapeId="0" xr:uid="{11463EC6-4D20-47EF-B9B9-916F13CFF6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tương đương chi phí phát sinh trong kỳ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T2" authorId="0" shapeId="0" xr:uid="{DD81BE55-D99D-4AE1-BC86-AB1CD44DCB8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có số tiêu thụ -&gt; Chỉ tiêu thụ thép thô nội bộ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5" authorId="0" shapeId="0" xr:uid="{36C75A05-45F1-4360-80DF-7F262087243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Vì có thêm lò cao =&gt; tăng chi phí bảo trì</t>
        </r>
      </text>
    </comment>
    <comment ref="E8" authorId="0" shapeId="0" xr:uid="{46267A75-46FA-43E0-AC7C-AC95418943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Được phép ghi nhận TSCĐ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1" authorId="0" shapeId="0" xr:uid="{CB07875F-0ACB-4C3D-A736-4849F35B3BC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Đúng ra là lấy purchase, nhưng mà lấy tạm giá vốn ước tính</t>
        </r>
      </text>
    </comment>
    <comment ref="A34" authorId="0" shapeId="0" xr:uid="{7A5B1B11-318F-41EA-A094-9390FEA919D6}">
      <text>
        <r>
          <rPr>
            <b/>
            <sz val="9"/>
            <color indexed="81"/>
            <rFont val="Tahoma"/>
            <family val="2"/>
          </rPr>
          <t>Thuế trên BS bằng thuế trên IS - thuế hoãn lại - các khoản miễn thuế</t>
        </r>
      </text>
    </comment>
  </commentList>
</comments>
</file>

<file path=xl/sharedStrings.xml><?xml version="1.0" encoding="utf-8"?>
<sst xmlns="http://schemas.openxmlformats.org/spreadsheetml/2006/main" count="652" uniqueCount="372">
  <si>
    <t>Thép xây dựng</t>
  </si>
  <si>
    <t>Tiêu thụ</t>
  </si>
  <si>
    <t>Ống thép</t>
  </si>
  <si>
    <t>Accumulate</t>
  </si>
  <si>
    <t>HRC</t>
  </si>
  <si>
    <t>Phôi thép</t>
  </si>
  <si>
    <t>Tôn mạ</t>
  </si>
  <si>
    <t>Thép thô</t>
  </si>
  <si>
    <t>Production</t>
  </si>
  <si>
    <t>Sales</t>
  </si>
  <si>
    <t>Price
Nam-Bắc</t>
  </si>
  <si>
    <t>Xuất khẩu</t>
  </si>
  <si>
    <t>Sản xuất</t>
  </si>
  <si>
    <t>Price</t>
  </si>
  <si>
    <t>Giá bán (NDT/tấn)</t>
  </si>
  <si>
    <t>Tỷ giá</t>
  </si>
  <si>
    <t>Giá bán (VND/tấn)</t>
  </si>
  <si>
    <t>Revenue</t>
  </si>
  <si>
    <t>Cộng dồn</t>
  </si>
  <si>
    <t>xuất khẩu</t>
  </si>
  <si>
    <t>15740-15750</t>
  </si>
  <si>
    <t>Acc Production</t>
  </si>
  <si>
    <t>Acc sales</t>
  </si>
  <si>
    <t>Sales theo quý</t>
  </si>
  <si>
    <t>Prod theo quý</t>
  </si>
  <si>
    <t>Công ty có 5 sản phẩm: Thép xây dựng, HRC, Ống thép, Tôn mạ, Phôi thép</t>
  </si>
  <si>
    <t>Toàn bộ thép thô sẽ được sử dụng để làm phôi thép</t>
  </si>
  <si>
    <t>Phôi thép là bán thành phẩm của thép xây dựng và HRC</t>
  </si>
  <si>
    <t>Thép HRC là bán thành phẩm của ống thép và tôn mạ</t>
  </si>
  <si>
    <t>CP</t>
  </si>
  <si>
    <t>NVLTT</t>
  </si>
  <si>
    <t>NCTT</t>
  </si>
  <si>
    <t>B1: Tính khối lượng dở dang cuối kỳ tương đương PX1</t>
  </si>
  <si>
    <t>SXC</t>
  </si>
  <si>
    <t>SL</t>
  </si>
  <si>
    <t>%Hoàn thiện</t>
  </si>
  <si>
    <t>Khối lượng tg đg</t>
  </si>
  <si>
    <t>B2: Tính chi phí dở dang cuối kỳ PX1</t>
  </si>
  <si>
    <t>SL dở dang tg đg</t>
  </si>
  <si>
    <t>SL hoàn thiện</t>
  </si>
  <si>
    <t>CPDDCK</t>
  </si>
  <si>
    <t>Chi phí phát sinh</t>
  </si>
  <si>
    <t>CP phát sinh</t>
  </si>
  <si>
    <t>B3: Lập báo cáo sản xuất PX1</t>
  </si>
  <si>
    <t>DD ĐK</t>
  </si>
  <si>
    <t>CPSX TK</t>
  </si>
  <si>
    <t>DDCK</t>
  </si>
  <si>
    <t>Giá thành sx</t>
  </si>
  <si>
    <t>Giá thành đơn vị</t>
  </si>
  <si>
    <t>Tổng</t>
  </si>
  <si>
    <t>B4: Tính khối lượng dở dang cuối kỳ tương đương PX2</t>
  </si>
  <si>
    <t>PX1</t>
  </si>
  <si>
    <t>PX2</t>
  </si>
  <si>
    <t>B5: Tính chi phí dở dang cuối kỳ tương đương PX2</t>
  </si>
  <si>
    <t>GTĐV</t>
  </si>
  <si>
    <t>SL Bán tp</t>
  </si>
  <si>
    <t>Tổng giá thành btp</t>
  </si>
  <si>
    <t>SL Hoàn thiện</t>
  </si>
  <si>
    <t>Phần CP dở dang ck px1</t>
  </si>
  <si>
    <t>SL dd tg đg</t>
  </si>
  <si>
    <t>Phần CP dở dang ck px2</t>
  </si>
  <si>
    <t>B6: Lập báo cáo sản xuất PX2</t>
  </si>
  <si>
    <t>CPDDĐK</t>
  </si>
  <si>
    <t>Phần cp ps của px1</t>
  </si>
  <si>
    <t>Phần cp ps của px2</t>
  </si>
  <si>
    <t>Phần cpdd ck px1</t>
  </si>
  <si>
    <t>Phần cpdd ck px2</t>
  </si>
  <si>
    <t>Giá thành sản xuất</t>
  </si>
  <si>
    <t>Sản lượng sản xuất</t>
  </si>
  <si>
    <t>Q1/2022</t>
  </si>
  <si>
    <t>Q2/2022</t>
  </si>
  <si>
    <t>Q3/2022</t>
  </si>
  <si>
    <t>Q4/2022</t>
  </si>
  <si>
    <t>Q1/2023</t>
  </si>
  <si>
    <t>Q2/2023</t>
  </si>
  <si>
    <t>Q3/2023</t>
  </si>
  <si>
    <t>Q4/2023</t>
  </si>
  <si>
    <t>Tiêu thụ theo quý</t>
  </si>
  <si>
    <t>Phôi thép (Phần thép thô bán ra)</t>
  </si>
  <si>
    <t>Toàn bộ lò của HPG là BOF</t>
  </si>
  <si>
    <t>Phôi + HRC + con</t>
  </si>
  <si>
    <t>Tỷ lệ</t>
  </si>
  <si>
    <t>Giá</t>
  </si>
  <si>
    <t>usd</t>
  </si>
  <si>
    <t>Tđ: KH</t>
  </si>
  <si>
    <t>Tách phần hàng hóa mua ngoài khỏi hàng hóa sx trong năm 2023</t>
  </si>
  <si>
    <t>Thép xd</t>
  </si>
  <si>
    <t>Tiêu thụ theo năm</t>
  </si>
  <si>
    <t>(Bao gồm mua Tôn mạ và Ống thép ngoài)</t>
  </si>
  <si>
    <t>(Loại bỏ mua ngoài)</t>
  </si>
  <si>
    <t>Phôi</t>
  </si>
  <si>
    <t>Thép thô nhập kho và bán ra</t>
  </si>
  <si>
    <t>NVL mua ngoài</t>
  </si>
  <si>
    <t>Định mức giá</t>
  </si>
  <si>
    <t>Vc, bốc xếp</t>
  </si>
  <si>
    <t>Quặng sắt</t>
  </si>
  <si>
    <t>Than cốc</t>
  </si>
  <si>
    <t>Đá vôi</t>
  </si>
  <si>
    <t>Thép phế</t>
  </si>
  <si>
    <t>NVL</t>
  </si>
  <si>
    <t>Giá mua (USD)</t>
  </si>
  <si>
    <t>Hệ số giá</t>
  </si>
  <si>
    <t>Phân tích NVLTT thép thô</t>
  </si>
  <si>
    <t>Tổng 2023</t>
  </si>
  <si>
    <t>SLSX 2023</t>
  </si>
  <si>
    <t xml:space="preserve">Price adjusted </t>
  </si>
  <si>
    <t>NVLTT/1 tấn</t>
  </si>
  <si>
    <t>Trong đó</t>
  </si>
  <si>
    <t>Quặng săt (1,370t)</t>
  </si>
  <si>
    <t>Than cốc (0,78t)</t>
  </si>
  <si>
    <t>Đá vôi (0,27t)</t>
  </si>
  <si>
    <t>Thép phế (0,12t)</t>
  </si>
  <si>
    <t xml:space="preserve">Tỷ giá </t>
  </si>
  <si>
    <t>tiêu thụ 2023</t>
  </si>
  <si>
    <t>Đơn vị: 1 tấn</t>
  </si>
  <si>
    <t>Thép thô: 6699000 tấn/ 1 năm. Coi như 1 năm có 302 ngày làm việc, mỗi ngày làm việc 8 tiếng</t>
  </si>
  <si>
    <t>Tra mạng thì lương lao động cơ bản 8tr/năm, có thể lên 12tr là cùng =&gt; lấy mức lương cơ bản là 10tr, cả năm là 120tr</t>
  </si>
  <si>
    <t>Tính ra khoảng 50k/1h</t>
  </si>
  <si>
    <t>Mức lương cơ bản 1 giờ lao động</t>
  </si>
  <si>
    <t>Các khoản trích theo lương (32%)</t>
  </si>
  <si>
    <t>Định mức giá 1h lao động</t>
  </si>
  <si>
    <t>Khấu hao</t>
  </si>
  <si>
    <t>Dịch vụ mua ngoài</t>
  </si>
  <si>
    <t>Chi phí khác</t>
  </si>
  <si>
    <t>Tiêu thức phân bổ</t>
  </si>
  <si>
    <t>Mặt hàng</t>
  </si>
  <si>
    <t>thép xây dựng</t>
  </si>
  <si>
    <t>lượng</t>
  </si>
  <si>
    <t>giá</t>
  </si>
  <si>
    <t>%lượng</t>
  </si>
  <si>
    <t>%giá</t>
  </si>
  <si>
    <t>thép ống</t>
  </si>
  <si>
    <t>phôi thép</t>
  </si>
  <si>
    <t>tôn mạ</t>
  </si>
  <si>
    <t>than cốc</t>
  </si>
  <si>
    <t>link</t>
  </si>
  <si>
    <t>giá (usd/ton)</t>
  </si>
  <si>
    <t>quặng sắt</t>
  </si>
  <si>
    <t>Đơn vị</t>
  </si>
  <si>
    <t>Tỷ giá vnd/usd trung bình 2025</t>
  </si>
  <si>
    <t>Objective: Estimate 2024, lập dự toán 2025</t>
  </si>
  <si>
    <t>Dung Quất 2 - Quảng Ngãi</t>
  </si>
  <si>
    <t>Kế hoạch đầu tư</t>
  </si>
  <si>
    <t>Phân kỳ đầu tư</t>
  </si>
  <si>
    <t>TMĐT (tỷ đồng)</t>
  </si>
  <si>
    <t>Bảo trì hàng năm</t>
  </si>
  <si>
    <t>Bảo trì hàng năm/TSCĐ</t>
  </si>
  <si>
    <t>TSCĐ</t>
  </si>
  <si>
    <t>Nguyên giá</t>
  </si>
  <si>
    <t>Nguyên giá đầu kỳ</t>
  </si>
  <si>
    <t>Tăng từ XDCBDD</t>
  </si>
  <si>
    <t>Nguyên giá cuối kỳ</t>
  </si>
  <si>
    <t>XDCBDD</t>
  </si>
  <si>
    <t>XDCBDD đầu kỳ</t>
  </si>
  <si>
    <t>Tăng trong năm</t>
  </si>
  <si>
    <t>Chuyển sang TSCĐ</t>
  </si>
  <si>
    <t>XDCBDD cuối kỳ</t>
  </si>
  <si>
    <t>Mua sắm trong năm (1%)</t>
  </si>
  <si>
    <t>Số năm trích khấu hao</t>
  </si>
  <si>
    <t>Giá trị TSCĐ tăng thêm</t>
  </si>
  <si>
    <t>Khấu hao tài sản hiện hữu</t>
  </si>
  <si>
    <t>Khấu hao lũy kế cuối kỳ</t>
  </si>
  <si>
    <t>TÀI SẢN</t>
  </si>
  <si>
    <t>A- TÀI SẢN NGẮN HẠN</t>
  </si>
  <si>
    <t>I. Tiền và các khoản tương đương tiền</t>
  </si>
  <si>
    <t>II. Các khoản đầu tư tài chính ngắn hạn</t>
  </si>
  <si>
    <t>1. Chứng khoán kinh doanh</t>
  </si>
  <si>
    <t>2. Dự phòng giảm giá chứng khoán kinh doanh</t>
  </si>
  <si>
    <t>3. Đầu tư nắm giữ đến ngày đáo hạn</t>
  </si>
  <si>
    <t>III. Các khoản phải thu ngắn hạn</t>
  </si>
  <si>
    <t>1. Phải thu ngắn hạn của khách hàng</t>
  </si>
  <si>
    <t>2. Trả trước cho người bán ngắn hạn</t>
  </si>
  <si>
    <t>3. Phải thu nội bộ ngắn hạn</t>
  </si>
  <si>
    <t>4. Phải thu theo tiến độ kế hoạch hợp đồng xây dựng</t>
  </si>
  <si>
    <t>5. Phải thu về cho vay ngắn hạn</t>
  </si>
  <si>
    <t>6. Phải thu ngắn hạn khác</t>
  </si>
  <si>
    <t>7. Dự phòng phải thu ngắn hạn khó đòi</t>
  </si>
  <si>
    <t>8. Tài sản Thiếu chờ xử lý</t>
  </si>
  <si>
    <t>IV. Hàng tồn kho</t>
  </si>
  <si>
    <t>1. Hàng tồn kho</t>
  </si>
  <si>
    <t>2. Dự phòng giảm giá hàng tồn kho</t>
  </si>
  <si>
    <t>V.Tài sản ngắn hạn khác</t>
  </si>
  <si>
    <t>B. TÀI SẢN DÀI HẠN</t>
  </si>
  <si>
    <t>I. Các khoản phải thu dài hạn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</si>
  <si>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</si>
  <si>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</si>
  <si>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</si>
  <si>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</si>
  <si>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</si>
  <si>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</si>
  <si>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</t>
  </si>
  <si>
    <t>II.Tài sản cố định</t>
  </si>
  <si>
    <t>1. Tài sản cố định hữu hình</t>
  </si>
  <si>
    <t>2. Tài sản cố định thuê tài chính</t>
  </si>
  <si>
    <t>3. Tài sản cố định vô hình</t>
  </si>
  <si>
    <t>III. Bất động sản đầu tư</t>
  </si>
  <si>
    <t>IV. Tài sản dở dang dài hạn</t>
  </si>
  <si>
    <t>1. Chi phí sản xuất, kinh doanh dở dang dài hạn</t>
  </si>
  <si>
    <t>2. Chi phí xây dựng cơ bản dở dang</t>
  </si>
  <si>
    <t>V. Đầu tư tài chính dài hạn</t>
  </si>
  <si>
    <t>1. Đầu tư vào công ty con</t>
  </si>
  <si>
    <t>2. Đầu tư vào công ty liên kết, liên doanh</t>
  </si>
  <si>
    <t>3. Đầu tư góp vốn vào đơn vị khác</t>
  </si>
  <si>
    <t>4. Dự phòng đầu tư tài chính dài hạn</t>
  </si>
  <si>
    <t>5. Đầu tư nắm giữ đến ngày đáo hạn</t>
  </si>
  <si>
    <t>VI. Tài sản dài hạn khác</t>
  </si>
  <si>
    <t>1. Chi phí trả trước dài hạn</t>
  </si>
  <si>
    <t>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</si>
  <si>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</si>
  <si>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</si>
  <si>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</si>
  <si>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</t>
  </si>
  <si>
    <t>NGUỒN VỐN</t>
  </si>
  <si>
    <t>C. NỢ PHẢI TRẢ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</si>
  <si>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</si>
  <si>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</si>
  <si>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</si>
  <si>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</si>
  <si>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</si>
  <si>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</si>
  <si>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</si>
  <si>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</si>
  <si>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>8. Doanh thu chưa thực hiện ngắn hạn</t>
  </si>
  <si>
    <t>9. Phải trả ngắn hạn khác</t>
  </si>
  <si>
    <t>10. Vay và nợ thuê tài chính ngắn hạn</t>
  </si>
  <si>
    <t>11. Dự phòng phải trả ngắn hạn</t>
  </si>
  <si>
    <t>12. Quỹ khen thưởng phúc lợi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</si>
  <si>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</si>
  <si>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</si>
  <si>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</si>
  <si>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</si>
  <si>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</si>
  <si>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</si>
  <si>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</si>
  <si>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</si>
  <si>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>6. Doanh thu chưa thực hiện dài hạn</t>
  </si>
  <si>
    <t>7. Phải trả dài hạn khác</t>
  </si>
  <si>
    <t>8. Vay và nợ thuê tài chính dài hạn</t>
  </si>
  <si>
    <t>9. Trái phiếu chuyển đổi</t>
  </si>
  <si>
    <t>10. Cổ phiếu ưu đãi</t>
  </si>
  <si>
    <t>11. Thuế thu nhập hoãn lại phải trả</t>
  </si>
  <si>
    <t>12. Dự phòng phải trả dài hạn</t>
  </si>
  <si>
    <t>13. Quỹ phát triển khoa học và công nghệ</t>
  </si>
  <si>
    <t>D.VỐN CHỦ SỞ HỮU</t>
  </si>
  <si>
    <t>I. Vốn chủ sở hữu</t>
  </si>
  <si>
    <t>1. Vốn góp của chủ sở hữu</t>
  </si>
  <si>
    <t>2. Thặng dư vốn cổ phần</t>
  </si>
  <si>
    <t>3. Quyền chọn chuyển đổi trái phiếu</t>
  </si>
  <si>
    <t>4. Vốn khác của chủ sở hữu</t>
  </si>
  <si>
    <t>5. Cổ phiếu quỹ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</si>
  <si>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</si>
  <si>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</si>
  <si>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</si>
  <si>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</si>
  <si>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</si>
  <si>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</t>
  </si>
  <si>
    <t>12. Nguồn vốn đầu tư XDCB</t>
  </si>
  <si>
    <t>13. Lợi ích cổ đông không kiểm soát</t>
  </si>
  <si>
    <t>II. Nguồn kinh phí và quỹ khác</t>
  </si>
  <si>
    <t>1. Nguồn kinh phí</t>
  </si>
  <si>
    <t>2. Nguồn kinh phí đã hình thành TSCĐ</t>
  </si>
  <si>
    <t>TỔNG CỘNG NGUỒN VỐN</t>
  </si>
  <si>
    <t>giá trị hao mòn lũy kế</t>
  </si>
  <si>
    <t>Cổ phiếu phổ thông có quyền biểu quyết</t>
  </si>
  <si>
    <t>Cổ phiếu ưu đãi</t>
  </si>
  <si>
    <t>LNST chưa phân phối lũy kế đến cuối kỳ trước</t>
  </si>
  <si>
    <t>LNST chưa phân phối kỳ này</t>
  </si>
  <si>
    <t>1. Doanh thu bán hàng và cung cấp dịch vụ</t>
  </si>
  <si>
    <t>2. Các khoản giảm trừ doanh thu</t>
  </si>
  <si>
    <t>3. Doanh thu thuần về bán hàng và cung cấp dịch vụ (10 = 01 - 02)</t>
  </si>
  <si>
    <t>4. Giá vốn hàng bán</t>
  </si>
  <si>
    <t>5. Lợi nhuận gộp về bán hàng và cung cấp dịch vụ(20=10-11)</t>
  </si>
  <si>
    <t>6. Doanh thu hoạt động tài chính</t>
  </si>
  <si>
    <t>7. Chi phí tài chính</t>
  </si>
  <si>
    <t>8. Phần lãi lỗ trong công ty liên doanh, liên kết</t>
  </si>
  <si>
    <t>9. Chi phí bán hàng</t>
  </si>
  <si>
    <t>10. Chi phí quản lý doanh nghiệp</t>
  </si>
  <si>
    <t>12. Thu nhập khác</t>
  </si>
  <si>
    <t>13. Chi phí khác</t>
  </si>
  <si>
    <t>14. Lợi nhuận khác(40=31-32)</t>
  </si>
  <si>
    <t>15. Tổng lợi nhuận kế toán trước thuế(50=30+40)</t>
  </si>
  <si>
    <t>16. Chi phí thuế TNDN hiện hành</t>
  </si>
  <si>
    <t>17. Chi phí thuế TNDN hoãn lại</t>
  </si>
  <si>
    <t>18. Lợi nhuận sau thuế thu nhập doanh nghiệp(60=50-51-52)</t>
  </si>
  <si>
    <t>19. Lợi nhuận sau thuế công ty mẹ</t>
  </si>
  <si>
    <t>20. Lợi nhuận sau thuế công ty mẹ không kiểm soát</t>
  </si>
  <si>
    <t>11. Lợi nhuận thuần từ hoạt động kinh doanh</t>
  </si>
  <si>
    <t>Trong đó: Chi phí lãi vay</t>
  </si>
  <si>
    <t>2025F</t>
  </si>
  <si>
    <t>2024F</t>
  </si>
  <si>
    <t>Vay dài hạn</t>
  </si>
  <si>
    <t>Số dư đầu năm</t>
  </si>
  <si>
    <t>Giảm trong năm</t>
  </si>
  <si>
    <t>Số dư cuối năm</t>
  </si>
  <si>
    <t>Vay dài hạn đến hạn trả</t>
  </si>
  <si>
    <t>Lãi suất</t>
  </si>
  <si>
    <t>Chi phí lãi trong kỳ</t>
  </si>
  <si>
    <t>Vietin Hà Nội</t>
  </si>
  <si>
    <t>VCB Thành Công</t>
  </si>
  <si>
    <t>HSBC</t>
  </si>
  <si>
    <t>Quỹ bảo vệ môi trường</t>
  </si>
  <si>
    <t>Woori 1</t>
  </si>
  <si>
    <t>Woori 2</t>
  </si>
  <si>
    <t>BIDV Hà Thành</t>
  </si>
  <si>
    <t xml:space="preserve">Techombank </t>
  </si>
  <si>
    <t>Nguyễn Thị Tố Hoài</t>
  </si>
  <si>
    <t>(Đơn vị: tỷ đồng)</t>
  </si>
  <si>
    <t>Hạn mức</t>
  </si>
  <si>
    <t>Tgian cấp td</t>
  </si>
  <si>
    <t>2018-2025</t>
  </si>
  <si>
    <t>2021-2025</t>
  </si>
  <si>
    <t>2017-2025</t>
  </si>
  <si>
    <t>2021-2026</t>
  </si>
  <si>
    <t>2022-2024</t>
  </si>
  <si>
    <t>2016-2025</t>
  </si>
  <si>
    <t>2021-2027</t>
  </si>
  <si>
    <t>Vay ngắn hạn</t>
  </si>
  <si>
    <t>Vòng quay phải thu</t>
  </si>
  <si>
    <t>Vòng quay phải trả</t>
  </si>
  <si>
    <t>Vòng quay phải thu cho vay nh</t>
  </si>
  <si>
    <t>%Các khoản phải thu</t>
  </si>
  <si>
    <t>Vòng quay hàng tồn kho</t>
  </si>
  <si>
    <t>%Hàng tồn kho</t>
  </si>
  <si>
    <t>%Doanh thu</t>
  </si>
  <si>
    <t>Vòng quay phải trả trước cho ng bán</t>
  </si>
  <si>
    <t>Vòng quay người mua trả tiền trước</t>
  </si>
  <si>
    <t>Doanh thu</t>
  </si>
  <si>
    <t>Doanh thu nghìn tỷ</t>
  </si>
  <si>
    <t>Dự toán tiêu thụ</t>
  </si>
  <si>
    <t>Giá đơn vị</t>
  </si>
  <si>
    <t>Số lượng</t>
  </si>
  <si>
    <t>Giá đơn vị (đồng)</t>
  </si>
  <si>
    <t>Định mức lượng NVLTT</t>
  </si>
  <si>
    <t>Thép xây dựng (1 tấn)</t>
  </si>
  <si>
    <t>Sản phẩm</t>
  </si>
  <si>
    <t>Định mức lượng NCTT</t>
  </si>
  <si>
    <t>Số giờ lao động</t>
  </si>
  <si>
    <t>Thép HRC</t>
  </si>
  <si>
    <t>Thép HRC (1 tấn)</t>
  </si>
  <si>
    <t>Phân bổ SXC</t>
  </si>
  <si>
    <t>NVLTT+NCTT</t>
  </si>
  <si>
    <t>Dự toán lượng sản xuất</t>
  </si>
  <si>
    <t>Tồn kho đầu kỳ</t>
  </si>
  <si>
    <t>Tồn kho cuối kỳ</t>
  </si>
  <si>
    <t>Tiêu thụ hrc, txd, tt</t>
  </si>
  <si>
    <t>Lượng sx hrc, txd, tt</t>
  </si>
  <si>
    <t>- Chi phí SXC</t>
  </si>
  <si>
    <t>NVLLTT + NCTT</t>
  </si>
  <si>
    <t>TXD</t>
  </si>
  <si>
    <t>Phôi thép (1 tấn)</t>
  </si>
  <si>
    <t>Sản lượng</t>
  </si>
  <si>
    <t>Tồn kho đầu 2025</t>
  </si>
  <si>
    <t>Tồn kho cuối 2025</t>
  </si>
  <si>
    <t>Chú ý: Chỉ lên định mức cho bán thành phẩm bán ra ngoài và sản phẩm hoàn thiện</t>
  </si>
  <si>
    <t>Đơn vị phân bổ</t>
  </si>
  <si>
    <t>Lượng tấn</t>
  </si>
  <si>
    <t>Giá triệu/tấn</t>
  </si>
  <si>
    <t>Giá thành phân bổ</t>
  </si>
  <si>
    <t>Sản lượng sx</t>
  </si>
  <si>
    <t>Tổng hợp giá thành sản phẩm (1 tấn)</t>
  </si>
  <si>
    <t>Dự toán giá vốn</t>
  </si>
  <si>
    <t>COGS</t>
  </si>
  <si>
    <t>Nguồn vốn dài hạn</t>
  </si>
  <si>
    <t>Tài trợ TSCĐ dài hạn</t>
  </si>
  <si>
    <t>Nguồn vốn dài hạn (sau tài trợ TSCĐ dài hạn)</t>
  </si>
  <si>
    <t>Nợ ngắn hạn chiếm dụng được</t>
  </si>
  <si>
    <t>Tổng nguồn vốn có được và chiếm dụng</t>
  </si>
  <si>
    <t>Tổng nhu cầu vốn tài trợ tài sản lưu động</t>
  </si>
  <si>
    <t>Tiền mặt tại quỹ</t>
  </si>
  <si>
    <t>Nhu cầu vay ngắn hạn</t>
  </si>
  <si>
    <t>Nhận xét: Nếu dn không vay dài hạn thêm để đảo nợ sẽ bị mất cân đối vốn</t>
  </si>
  <si>
    <t>Nhu cầu vay ngắn hạn bao gồm 5000 tỷ đồng để nuôi tài sản dài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</si>
</sst>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* #,##0.00\ &quot;₫&quot;_-;\-* #,##0.00\ &quot;₫&quot;_-;_-* &quot;-&quot;??\ &quot;₫&quot;_-;_-@_-"/>
    <numFmt numFmtId="164" formatCode="_(* #,##0.0000_);_(* \(#,##0.0000\);_(* &quot;-&quot;??.0000_);_(@_)"/>
    <numFmt numFmtId="165" formatCode="_(* #,##0_);_(* \(#,##0\);_(* &quot;-&quot;??_);_(@_)"/>
    <numFmt numFmtId="166" formatCode="0.0%"/>
    <numFmt numFmtId="167" formatCode="_(* #,##0.00_);_(* \(#,##0.00\);_(* &quot;-&quot;??.00_);_(@_)"/>
    <numFmt numFmtId="168" formatCode="_(* #,##0.00_);_(* \(#,##0.00\);_(* &quot;-&quot;??_);_(@_)"/>
    <numFmt numFmtId="169" formatCode="#,##0.000"/>
    <numFmt numFmtId="170" formatCode="_-* #,##0\ &quot;₫&quot;_-;\-* #,##0\ &quot;₫&quot;_-;_-* &quot;-&quot;??\ &quot;₫&quot;_-;_-@_-"/>
    <numFmt numFmtId="171" formatCode="General\A"/>
    <numFmt numFmtId="172" formatCode="_-* #,##0.00\ _X_D_R_-;\-* #,##0.00\ _X_D_R_-;_-* &quot;-&quot;??\ _X_D_R_-;_-@_-"/>
    <numFmt numFmtId="173" formatCode="General\F"/>
    <numFmt numFmtId="174" formatCode="_-* #,##0.00\ _₫_-;\-* #,##0.00\ _₫_-;_-* &quot;-&quot;??\ _₫_-;_-@_-"/>
    <numFmt numFmtId="175" formatCode="\-\ General"/>
    <numFmt numFmtId="176" formatCode="#,##0.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ora"/>
    </font>
    <font>
      <b/>
      <i/>
      <sz val="11"/>
      <color theme="1"/>
      <name val="Lora"/>
    </font>
    <font>
      <b/>
      <sz val="11"/>
      <color rgb="FFFF0000"/>
      <name val="Lora"/>
    </font>
    <font>
      <b/>
      <sz val="11"/>
      <color theme="1"/>
      <name val="Lora"/>
    </font>
    <font>
      <sz val="11"/>
      <color rgb="FF0000FF"/>
      <name val="Lora"/>
    </font>
    <font>
      <u/>
      <sz val="11"/>
      <color rgb="FF0000FF"/>
      <name val="Lora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rgb="FF333333"/>
      <name val="Arial"/>
      <family val="2"/>
      <charset val="163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 style="thin">
        <color indexed="30"/>
      </left>
      <right style="medium">
        <color indexed="64"/>
      </right>
      <top style="dotted">
        <color indexed="30"/>
      </top>
      <bottom style="dotted">
        <color indexed="30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" fillId="0" borderId="1" applyAlignment="0"/>
  </cellStyleXfs>
  <cellXfs count="20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7" fontId="2" fillId="2" borderId="1" xfId="0" applyNumberFormat="1" applyFont="1" applyFill="1" applyBorder="1"/>
    <xf numFmtId="0" fontId="2" fillId="0" borderId="1" xfId="0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4" fontId="2" fillId="0" borderId="1" xfId="0" applyNumberFormat="1" applyFont="1" applyBorder="1"/>
    <xf numFmtId="17" fontId="2" fillId="3" borderId="1" xfId="0" applyNumberFormat="1" applyFont="1" applyFill="1" applyBorder="1"/>
    <xf numFmtId="167" fontId="2" fillId="0" borderId="1" xfId="0" applyNumberFormat="1" applyFont="1" applyBorder="1"/>
    <xf numFmtId="164" fontId="2" fillId="0" borderId="0" xfId="0" applyNumberFormat="1" applyFont="1"/>
    <xf numFmtId="165" fontId="3" fillId="0" borderId="0" xfId="0" applyNumberFormat="1" applyFont="1"/>
    <xf numFmtId="0" fontId="0" fillId="4" borderId="0" xfId="0" applyFill="1"/>
    <xf numFmtId="0" fontId="1" fillId="4" borderId="0" xfId="0" applyFont="1" applyFill="1"/>
    <xf numFmtId="165" fontId="2" fillId="4" borderId="1" xfId="0" applyNumberFormat="1" applyFont="1" applyFill="1" applyBorder="1"/>
    <xf numFmtId="0" fontId="2" fillId="4" borderId="1" xfId="0" applyFont="1" applyFill="1" applyBorder="1"/>
    <xf numFmtId="165" fontId="2" fillId="4" borderId="0" xfId="0" applyNumberFormat="1" applyFont="1" applyFill="1"/>
    <xf numFmtId="0" fontId="6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0" applyNumberFormat="1"/>
    <xf numFmtId="1" fontId="0" fillId="0" borderId="0" xfId="0" applyNumberFormat="1"/>
    <xf numFmtId="168" fontId="2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169" fontId="0" fillId="0" borderId="0" xfId="0" applyNumberFormat="1"/>
    <xf numFmtId="170" fontId="0" fillId="0" borderId="0" xfId="0" applyNumberFormat="1"/>
    <xf numFmtId="0" fontId="0" fillId="0" borderId="1" xfId="0" applyBorder="1"/>
    <xf numFmtId="170" fontId="0" fillId="0" borderId="4" xfId="0" applyNumberFormat="1" applyBorder="1"/>
    <xf numFmtId="0" fontId="0" fillId="0" borderId="5" xfId="0" applyBorder="1"/>
    <xf numFmtId="170" fontId="0" fillId="0" borderId="6" xfId="0" applyNumberFormat="1" applyBorder="1"/>
    <xf numFmtId="0" fontId="6" fillId="0" borderId="7" xfId="0" applyFont="1" applyBorder="1"/>
    <xf numFmtId="0" fontId="6" fillId="0" borderId="8" xfId="0" applyFont="1" applyBorder="1"/>
    <xf numFmtId="0" fontId="6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4" xfId="0" applyBorder="1"/>
    <xf numFmtId="0" fontId="0" fillId="0" borderId="6" xfId="0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73" fontId="6" fillId="0" borderId="0" xfId="0" applyNumberFormat="1" applyFont="1"/>
    <xf numFmtId="174" fontId="0" fillId="0" borderId="0" xfId="0" applyNumberFormat="1"/>
    <xf numFmtId="3" fontId="0" fillId="0" borderId="1" xfId="0" applyNumberFormat="1" applyBorder="1"/>
    <xf numFmtId="3" fontId="0" fillId="0" borderId="4" xfId="0" applyNumberForma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173" fontId="6" fillId="0" borderId="7" xfId="0" applyNumberFormat="1" applyFont="1" applyBorder="1"/>
    <xf numFmtId="173" fontId="6" fillId="0" borderId="8" xfId="0" applyNumberFormat="1" applyFont="1" applyBorder="1"/>
    <xf numFmtId="0" fontId="6" fillId="0" borderId="10" xfId="0" applyFont="1" applyBorder="1"/>
    <xf numFmtId="3" fontId="1" fillId="0" borderId="1" xfId="0" applyNumberFormat="1" applyFont="1" applyBorder="1"/>
    <xf numFmtId="3" fontId="1" fillId="0" borderId="4" xfId="0" applyNumberFormat="1" applyFont="1" applyBorder="1"/>
    <xf numFmtId="1" fontId="6" fillId="0" borderId="1" xfId="0" applyNumberFormat="1" applyFont="1" applyBorder="1"/>
    <xf numFmtId="1" fontId="6" fillId="0" borderId="4" xfId="0" applyNumberFormat="1" applyFont="1" applyBorder="1"/>
    <xf numFmtId="166" fontId="1" fillId="0" borderId="5" xfId="0" applyNumberFormat="1" applyFont="1" applyBorder="1"/>
    <xf numFmtId="166" fontId="0" fillId="0" borderId="5" xfId="0" applyNumberFormat="1" applyBorder="1"/>
    <xf numFmtId="166" fontId="0" fillId="0" borderId="6" xfId="0" applyNumberFormat="1" applyBorder="1"/>
    <xf numFmtId="0" fontId="6" fillId="0" borderId="9" xfId="0" applyFont="1" applyBorder="1"/>
    <xf numFmtId="9" fontId="0" fillId="0" borderId="5" xfId="0" applyNumberFormat="1" applyBorder="1"/>
    <xf numFmtId="0" fontId="6" fillId="0" borderId="8" xfId="0" applyFont="1" applyBorder="1" applyAlignment="1">
      <alignment horizontal="right"/>
    </xf>
    <xf numFmtId="174" fontId="0" fillId="0" borderId="1" xfId="0" applyNumberFormat="1" applyBorder="1"/>
    <xf numFmtId="0" fontId="6" fillId="0" borderId="5" xfId="0" applyFont="1" applyBorder="1"/>
    <xf numFmtId="0" fontId="16" fillId="0" borderId="9" xfId="0" applyFont="1" applyBorder="1"/>
    <xf numFmtId="0" fontId="15" fillId="0" borderId="1" xfId="0" applyFont="1" applyBorder="1"/>
    <xf numFmtId="3" fontId="15" fillId="0" borderId="1" xfId="0" applyNumberFormat="1" applyFont="1" applyBorder="1"/>
    <xf numFmtId="3" fontId="15" fillId="0" borderId="4" xfId="0" applyNumberFormat="1" applyFont="1" applyBorder="1"/>
    <xf numFmtId="0" fontId="16" fillId="0" borderId="9" xfId="0" applyFont="1" applyBorder="1" applyAlignment="1">
      <alignment horizontal="left"/>
    </xf>
    <xf numFmtId="3" fontId="17" fillId="0" borderId="11" xfId="0" applyNumberFormat="1" applyFont="1" applyBorder="1" applyAlignment="1">
      <alignment horizontal="right" vertical="top" wrapText="1"/>
    </xf>
    <xf numFmtId="0" fontId="16" fillId="0" borderId="1" xfId="0" applyFont="1" applyBorder="1"/>
    <xf numFmtId="3" fontId="16" fillId="0" borderId="1" xfId="0" applyNumberFormat="1" applyFont="1" applyBorder="1"/>
    <xf numFmtId="3" fontId="16" fillId="0" borderId="4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6" fillId="0" borderId="13" xfId="0" applyFont="1" applyBorder="1"/>
    <xf numFmtId="0" fontId="6" fillId="0" borderId="16" xfId="0" applyFont="1" applyBorder="1"/>
    <xf numFmtId="175" fontId="6" fillId="0" borderId="9" xfId="0" applyNumberFormat="1" applyFont="1" applyBorder="1"/>
    <xf numFmtId="175" fontId="1" fillId="0" borderId="9" xfId="0" applyNumberFormat="1" applyFont="1" applyBorder="1"/>
    <xf numFmtId="175" fontId="18" fillId="0" borderId="9" xfId="0" applyNumberFormat="1" applyFont="1" applyBorder="1"/>
    <xf numFmtId="175" fontId="1" fillId="0" borderId="10" xfId="0" applyNumberFormat="1" applyFont="1" applyBorder="1"/>
    <xf numFmtId="3" fontId="6" fillId="0" borderId="1" xfId="0" applyNumberFormat="1" applyFont="1" applyBorder="1"/>
    <xf numFmtId="10" fontId="0" fillId="0" borderId="1" xfId="1" applyNumberFormat="1" applyFont="1" applyBorder="1"/>
    <xf numFmtId="176" fontId="15" fillId="0" borderId="1" xfId="0" applyNumberFormat="1" applyFont="1" applyBorder="1"/>
    <xf numFmtId="0" fontId="6" fillId="0" borderId="14" xfId="0" applyFont="1" applyBorder="1"/>
    <xf numFmtId="0" fontId="0" fillId="0" borderId="14" xfId="0" applyBorder="1"/>
    <xf numFmtId="3" fontId="0" fillId="0" borderId="5" xfId="0" applyNumberFormat="1" applyBorder="1"/>
    <xf numFmtId="0" fontId="6" fillId="0" borderId="3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15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176" fontId="15" fillId="0" borderId="9" xfId="0" applyNumberFormat="1" applyFont="1" applyBorder="1" applyAlignment="1">
      <alignment wrapText="1"/>
    </xf>
    <xf numFmtId="0" fontId="0" fillId="0" borderId="9" xfId="0" applyBorder="1"/>
    <xf numFmtId="0" fontId="15" fillId="0" borderId="9" xfId="0" applyFont="1" applyBorder="1"/>
    <xf numFmtId="0" fontId="0" fillId="0" borderId="10" xfId="0" applyBorder="1"/>
    <xf numFmtId="170" fontId="6" fillId="0" borderId="6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" fillId="0" borderId="14" xfId="0" applyFont="1" applyBorder="1"/>
    <xf numFmtId="0" fontId="6" fillId="0" borderId="1" xfId="0" applyFont="1" applyBorder="1"/>
    <xf numFmtId="0" fontId="6" fillId="0" borderId="4" xfId="0" applyFont="1" applyBorder="1"/>
    <xf numFmtId="0" fontId="6" fillId="0" borderId="17" xfId="0" applyFont="1" applyBorder="1"/>
    <xf numFmtId="0" fontId="6" fillId="0" borderId="7" xfId="0" applyFont="1" applyBorder="1" applyAlignment="1">
      <alignment horizontal="right"/>
    </xf>
    <xf numFmtId="0" fontId="1" fillId="0" borderId="1" xfId="0" applyFont="1" applyBorder="1"/>
    <xf numFmtId="0" fontId="6" fillId="0" borderId="6" xfId="0" applyFont="1" applyBorder="1"/>
    <xf numFmtId="44" fontId="0" fillId="0" borderId="0" xfId="0" applyNumberFormat="1"/>
    <xf numFmtId="0" fontId="1" fillId="0" borderId="1" xfId="0" applyFont="1" applyBorder="1" applyAlignment="1">
      <alignment horizontal="right"/>
    </xf>
    <xf numFmtId="44" fontId="0" fillId="0" borderId="4" xfId="0" applyNumberFormat="1" applyBorder="1"/>
    <xf numFmtId="0" fontId="1" fillId="0" borderId="5" xfId="0" applyFont="1" applyBorder="1" applyAlignment="1">
      <alignment horizontal="right"/>
    </xf>
    <xf numFmtId="44" fontId="0" fillId="0" borderId="6" xfId="0" applyNumberFormat="1" applyBorder="1"/>
    <xf numFmtId="3" fontId="9" fillId="0" borderId="2" xfId="0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3" fontId="9" fillId="0" borderId="12" xfId="0" applyNumberFormat="1" applyFont="1" applyBorder="1" applyAlignment="1">
      <alignment horizontal="center" vertical="center" wrapText="1"/>
    </xf>
    <xf numFmtId="4" fontId="9" fillId="0" borderId="12" xfId="0" applyNumberFormat="1" applyFont="1" applyBorder="1" applyAlignment="1">
      <alignment horizontal="center" vertical="center" wrapText="1"/>
    </xf>
    <xf numFmtId="168" fontId="13" fillId="0" borderId="2" xfId="0" applyNumberFormat="1" applyFont="1" applyBorder="1" applyAlignment="1">
      <alignment horizontal="center" vertical="center" wrapText="1"/>
    </xf>
    <xf numFmtId="167" fontId="13" fillId="0" borderId="2" xfId="0" applyNumberFormat="1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2" xfId="1" applyFont="1" applyFill="1" applyBorder="1" applyAlignment="1">
      <alignment horizontal="center" vertical="center" wrapText="1"/>
    </xf>
    <xf numFmtId="9" fontId="12" fillId="0" borderId="12" xfId="1" applyFont="1" applyFill="1" applyBorder="1" applyAlignment="1">
      <alignment horizontal="center" vertical="center" wrapText="1"/>
    </xf>
    <xf numFmtId="9" fontId="9" fillId="0" borderId="2" xfId="1" applyFont="1" applyFill="1" applyBorder="1" applyAlignment="1">
      <alignment horizontal="center" vertical="center" wrapText="1"/>
    </xf>
    <xf numFmtId="9" fontId="9" fillId="0" borderId="12" xfId="1" applyFont="1" applyFill="1" applyBorder="1" applyAlignment="1">
      <alignment horizontal="center" vertical="center" wrapText="1"/>
    </xf>
    <xf numFmtId="10" fontId="12" fillId="0" borderId="2" xfId="0" applyNumberFormat="1" applyFont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0" fontId="9" fillId="0" borderId="2" xfId="0" applyNumberFormat="1" applyFont="1" applyBorder="1" applyAlignment="1">
      <alignment horizontal="center" vertical="center" wrapText="1"/>
    </xf>
    <xf numFmtId="1" fontId="12" fillId="0" borderId="2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12" fillId="0" borderId="12" xfId="1" applyNumberFormat="1" applyFont="1" applyFill="1" applyBorder="1" applyAlignment="1">
      <alignment horizontal="center" vertical="center" wrapText="1"/>
    </xf>
    <xf numFmtId="9" fontId="12" fillId="0" borderId="1" xfId="1" applyFont="1" applyFill="1" applyBorder="1" applyAlignment="1">
      <alignment horizontal="center" vertical="center" wrapText="1"/>
    </xf>
    <xf numFmtId="2" fontId="12" fillId="0" borderId="12" xfId="1" applyNumberFormat="1" applyFont="1" applyFill="1" applyBorder="1" applyAlignment="1">
      <alignment horizontal="center"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171" fontId="10" fillId="0" borderId="18" xfId="0" applyNumberFormat="1" applyFont="1" applyBorder="1" applyAlignment="1">
      <alignment horizontal="center" vertical="center" wrapText="1"/>
    </xf>
    <xf numFmtId="171" fontId="10" fillId="0" borderId="20" xfId="0" applyNumberFormat="1" applyFont="1" applyBorder="1" applyAlignment="1">
      <alignment horizontal="center" vertical="center" wrapText="1"/>
    </xf>
    <xf numFmtId="167" fontId="10" fillId="0" borderId="18" xfId="0" applyNumberFormat="1" applyFont="1" applyBorder="1" applyAlignment="1">
      <alignment horizontal="center" vertical="center" wrapText="1"/>
    </xf>
    <xf numFmtId="167" fontId="10" fillId="0" borderId="20" xfId="0" applyNumberFormat="1" applyFont="1" applyBorder="1" applyAlignment="1">
      <alignment horizontal="center" vertical="center" wrapText="1"/>
    </xf>
    <xf numFmtId="171" fontId="10" fillId="0" borderId="21" xfId="0" applyNumberFormat="1" applyFont="1" applyBorder="1" applyAlignment="1">
      <alignment horizontal="center" vertical="center" wrapText="1"/>
    </xf>
    <xf numFmtId="173" fontId="10" fillId="0" borderId="18" xfId="0" applyNumberFormat="1" applyFont="1" applyBorder="1" applyAlignment="1">
      <alignment horizontal="center" vertical="center" wrapText="1"/>
    </xf>
    <xf numFmtId="173" fontId="10" fillId="0" borderId="19" xfId="0" applyNumberFormat="1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168" fontId="11" fillId="0" borderId="1" xfId="0" applyNumberFormat="1" applyFont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167" fontId="13" fillId="0" borderId="1" xfId="0" applyNumberFormat="1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172" fontId="9" fillId="0" borderId="1" xfId="0" applyNumberFormat="1" applyFont="1" applyBorder="1" applyAlignment="1">
      <alignment horizontal="center" vertical="center" wrapText="1"/>
    </xf>
    <xf numFmtId="172" fontId="9" fillId="0" borderId="4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9" fontId="12" fillId="0" borderId="1" xfId="0" applyNumberFormat="1" applyFont="1" applyBorder="1" applyAlignment="1">
      <alignment horizontal="center" vertical="center" wrapText="1"/>
    </xf>
    <xf numFmtId="9" fontId="9" fillId="0" borderId="1" xfId="1" applyFont="1" applyFill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4" fontId="9" fillId="0" borderId="4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9" fontId="9" fillId="0" borderId="4" xfId="0" applyNumberFormat="1" applyFont="1" applyBorder="1" applyAlignment="1">
      <alignment horizontal="center" vertical="center" wrapText="1"/>
    </xf>
    <xf numFmtId="10" fontId="12" fillId="0" borderId="4" xfId="0" applyNumberFormat="1" applyFont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9" fontId="12" fillId="0" borderId="14" xfId="0" applyNumberFormat="1" applyFont="1" applyBorder="1" applyAlignment="1">
      <alignment horizontal="center" vertical="center" wrapText="1"/>
    </xf>
    <xf numFmtId="9" fontId="12" fillId="0" borderId="1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9" fontId="12" fillId="0" borderId="5" xfId="1" applyFont="1" applyFill="1" applyBorder="1" applyAlignment="1">
      <alignment horizontal="center" vertical="center" wrapText="1"/>
    </xf>
    <xf numFmtId="2" fontId="12" fillId="0" borderId="22" xfId="1" applyNumberFormat="1" applyFont="1" applyFill="1" applyBorder="1" applyAlignment="1">
      <alignment horizontal="center" vertical="center" wrapText="1"/>
    </xf>
    <xf numFmtId="9" fontId="9" fillId="0" borderId="5" xfId="0" applyNumberFormat="1" applyFont="1" applyBorder="1" applyAlignment="1">
      <alignment horizontal="center" vertical="center" wrapText="1"/>
    </xf>
    <xf numFmtId="9" fontId="9" fillId="0" borderId="6" xfId="0" applyNumberFormat="1" applyFont="1" applyBorder="1" applyAlignment="1">
      <alignment horizontal="center" vertical="center" wrapText="1"/>
    </xf>
    <xf numFmtId="173" fontId="6" fillId="0" borderId="1" xfId="0" applyNumberFormat="1" applyFont="1" applyBorder="1"/>
    <xf numFmtId="0" fontId="1" fillId="0" borderId="0" xfId="0" quotePrefix="1" applyFont="1"/>
    <xf numFmtId="3" fontId="0" fillId="0" borderId="6" xfId="0" applyNumberFormat="1" applyBorder="1"/>
    <xf numFmtId="3" fontId="6" fillId="0" borderId="4" xfId="0" applyNumberFormat="1" applyFont="1" applyBorder="1"/>
    <xf numFmtId="44" fontId="0" fillId="0" borderId="1" xfId="0" applyNumberFormat="1" applyBorder="1"/>
    <xf numFmtId="170" fontId="0" fillId="0" borderId="1" xfId="0" applyNumberFormat="1" applyBorder="1"/>
    <xf numFmtId="170" fontId="6" fillId="0" borderId="4" xfId="0" applyNumberFormat="1" applyFont="1" applyBorder="1"/>
    <xf numFmtId="170" fontId="0" fillId="0" borderId="5" xfId="0" applyNumberFormat="1" applyBorder="1"/>
    <xf numFmtId="44" fontId="0" fillId="0" borderId="5" xfId="0" applyNumberFormat="1" applyBorder="1"/>
    <xf numFmtId="0" fontId="6" fillId="0" borderId="18" xfId="0" applyFont="1" applyBorder="1"/>
    <xf numFmtId="44" fontId="6" fillId="0" borderId="6" xfId="0" applyNumberFormat="1" applyFont="1" applyBorder="1"/>
    <xf numFmtId="44" fontId="6" fillId="0" borderId="1" xfId="0" applyNumberFormat="1" applyFont="1" applyBorder="1"/>
    <xf numFmtId="0" fontId="6" fillId="0" borderId="15" xfId="0" applyFont="1" applyBorder="1"/>
    <xf numFmtId="0" fontId="0" fillId="0" borderId="16" xfId="0" applyBorder="1"/>
    <xf numFmtId="10" fontId="0" fillId="0" borderId="4" xfId="1" applyNumberFormat="1" applyFont="1" applyBorder="1"/>
    <xf numFmtId="176" fontId="15" fillId="0" borderId="4" xfId="0" applyNumberFormat="1" applyFont="1" applyBorder="1"/>
    <xf numFmtId="173" fontId="6" fillId="0" borderId="18" xfId="0" applyNumberFormat="1" applyFont="1" applyBorder="1"/>
    <xf numFmtId="173" fontId="6" fillId="0" borderId="19" xfId="0" applyNumberFormat="1" applyFont="1" applyBorder="1"/>
    <xf numFmtId="40" fontId="19" fillId="0" borderId="23" xfId="2" applyNumberFormat="1" applyFont="1" applyBorder="1" applyAlignment="1">
      <alignment horizontal="right"/>
    </xf>
    <xf numFmtId="44" fontId="6" fillId="0" borderId="4" xfId="0" applyNumberFormat="1" applyFont="1" applyBorder="1"/>
    <xf numFmtId="0" fontId="0" fillId="0" borderId="3" xfId="0" applyBorder="1"/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3">
    <cellStyle name="Normal" xfId="0" builtinId="0"/>
    <cellStyle name="Normal 2" xfId="2" xr:uid="{9EC9DD50-B3B1-4698-8EC0-631E60C3D9D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6338031-1A47-441C-A1F6-C9A1DA3A1E8B}" type="doc">
      <dgm:prSet loTypeId="urn:microsoft.com/office/officeart/2005/8/layout/hierarchy2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6C5AB25F-BAC3-4EEB-9D9E-1B8685CA1CD8}">
      <dgm:prSet phldrT="[Text]"/>
      <dgm:spPr/>
      <dgm:t>
        <a:bodyPr/>
        <a:lstStyle/>
        <a:p>
          <a:r>
            <a:rPr lang="en-US"/>
            <a:t>Thép thô</a:t>
          </a:r>
        </a:p>
      </dgm:t>
    </dgm:pt>
    <dgm:pt modelId="{442B2519-EF44-4D4D-B825-660A3739DB46}" type="parTrans" cxnId="{241F1271-3D6B-4202-8345-F6F9FE15ABEB}">
      <dgm:prSet/>
      <dgm:spPr/>
      <dgm:t>
        <a:bodyPr/>
        <a:lstStyle/>
        <a:p>
          <a:endParaRPr lang="en-US"/>
        </a:p>
      </dgm:t>
    </dgm:pt>
    <dgm:pt modelId="{F6557FF7-76C1-408D-BC04-638D0C004E9D}" type="sibTrans" cxnId="{241F1271-3D6B-4202-8345-F6F9FE15ABEB}">
      <dgm:prSet/>
      <dgm:spPr/>
      <dgm:t>
        <a:bodyPr/>
        <a:lstStyle/>
        <a:p>
          <a:endParaRPr lang="en-US"/>
        </a:p>
      </dgm:t>
    </dgm:pt>
    <dgm:pt modelId="{25DA14F6-362E-4034-91FC-2A2AF87CC198}">
      <dgm:prSet phldrT="[Text]"/>
      <dgm:spPr/>
      <dgm:t>
        <a:bodyPr/>
        <a:lstStyle/>
        <a:p>
          <a:r>
            <a:rPr lang="en-US"/>
            <a:t>Thép xây dựng</a:t>
          </a:r>
        </a:p>
      </dgm:t>
    </dgm:pt>
    <dgm:pt modelId="{8B759963-19FC-473E-9F7A-3C2D88C2BE12}" type="parTrans" cxnId="{DFAE6A65-FDF4-461B-9C22-AA989719D3ED}">
      <dgm:prSet/>
      <dgm:spPr/>
      <dgm:t>
        <a:bodyPr/>
        <a:lstStyle/>
        <a:p>
          <a:endParaRPr lang="en-US"/>
        </a:p>
      </dgm:t>
    </dgm:pt>
    <dgm:pt modelId="{E492B809-F56D-4C64-91F6-1A13FCE5013A}" type="sibTrans" cxnId="{DFAE6A65-FDF4-461B-9C22-AA989719D3ED}">
      <dgm:prSet/>
      <dgm:spPr/>
      <dgm:t>
        <a:bodyPr/>
        <a:lstStyle/>
        <a:p>
          <a:endParaRPr lang="en-US"/>
        </a:p>
      </dgm:t>
    </dgm:pt>
    <dgm:pt modelId="{10A42C9D-2506-4CBF-AFD9-A27CAA2C20B1}">
      <dgm:prSet phldrT="[Text]"/>
      <dgm:spPr/>
      <dgm:t>
        <a:bodyPr/>
        <a:lstStyle/>
        <a:p>
          <a:r>
            <a:rPr lang="en-US"/>
            <a:t>Bán một phần (Phôi thép)</a:t>
          </a:r>
        </a:p>
      </dgm:t>
    </dgm:pt>
    <dgm:pt modelId="{B3D64627-A09A-44D6-880A-CD28252EEE87}" type="parTrans" cxnId="{F1072B9B-0AD7-47F9-8B1B-112F3D7CB924}">
      <dgm:prSet/>
      <dgm:spPr/>
      <dgm:t>
        <a:bodyPr/>
        <a:lstStyle/>
        <a:p>
          <a:endParaRPr lang="en-US"/>
        </a:p>
      </dgm:t>
    </dgm:pt>
    <dgm:pt modelId="{CD176097-5CFA-4340-BF7E-3BB0086D7186}" type="sibTrans" cxnId="{F1072B9B-0AD7-47F9-8B1B-112F3D7CB924}">
      <dgm:prSet/>
      <dgm:spPr/>
      <dgm:t>
        <a:bodyPr/>
        <a:lstStyle/>
        <a:p>
          <a:endParaRPr lang="en-US"/>
        </a:p>
      </dgm:t>
    </dgm:pt>
    <dgm:pt modelId="{CA90D408-BE6E-443E-8A03-86607BD3A816}">
      <dgm:prSet/>
      <dgm:spPr/>
      <dgm:t>
        <a:bodyPr/>
        <a:lstStyle/>
        <a:p>
          <a:r>
            <a:rPr lang="en-US"/>
            <a:t>Thép HRC</a:t>
          </a:r>
        </a:p>
      </dgm:t>
    </dgm:pt>
    <dgm:pt modelId="{82EE991B-38FB-400D-86F4-9E2464F40ED9}" type="parTrans" cxnId="{AE93D38A-165E-428C-9F47-783354723C20}">
      <dgm:prSet/>
      <dgm:spPr/>
      <dgm:t>
        <a:bodyPr/>
        <a:lstStyle/>
        <a:p>
          <a:endParaRPr lang="en-US"/>
        </a:p>
      </dgm:t>
    </dgm:pt>
    <dgm:pt modelId="{828B82CF-946A-4E7D-83CF-5821FD522BD6}" type="sibTrans" cxnId="{AE93D38A-165E-428C-9F47-783354723C20}">
      <dgm:prSet/>
      <dgm:spPr/>
      <dgm:t>
        <a:bodyPr/>
        <a:lstStyle/>
        <a:p>
          <a:endParaRPr lang="en-US"/>
        </a:p>
      </dgm:t>
    </dgm:pt>
    <dgm:pt modelId="{04A99468-E911-49FF-BB16-AC4760017856}">
      <dgm:prSet/>
      <dgm:spPr/>
      <dgm:t>
        <a:bodyPr/>
        <a:lstStyle/>
        <a:p>
          <a:r>
            <a:rPr lang="en-US"/>
            <a:t>Ống thép</a:t>
          </a:r>
        </a:p>
      </dgm:t>
    </dgm:pt>
    <dgm:pt modelId="{C5A23E0C-2D58-4FA3-8CBE-AB35D7374E63}" type="parTrans" cxnId="{F4DD99AC-C0AA-4727-95FB-A04A51341D1A}">
      <dgm:prSet/>
      <dgm:spPr/>
      <dgm:t>
        <a:bodyPr/>
        <a:lstStyle/>
        <a:p>
          <a:endParaRPr lang="en-US"/>
        </a:p>
      </dgm:t>
    </dgm:pt>
    <dgm:pt modelId="{2528AFD2-C38C-4320-8131-7AE4893D191E}" type="sibTrans" cxnId="{F4DD99AC-C0AA-4727-95FB-A04A51341D1A}">
      <dgm:prSet/>
      <dgm:spPr/>
      <dgm:t>
        <a:bodyPr/>
        <a:lstStyle/>
        <a:p>
          <a:endParaRPr lang="en-US"/>
        </a:p>
      </dgm:t>
    </dgm:pt>
    <dgm:pt modelId="{2DAFFE1F-1139-4600-A119-D14B855FECAB}">
      <dgm:prSet/>
      <dgm:spPr/>
      <dgm:t>
        <a:bodyPr/>
        <a:lstStyle/>
        <a:p>
          <a:r>
            <a:rPr lang="en-US"/>
            <a:t>Tôn mạ</a:t>
          </a:r>
        </a:p>
      </dgm:t>
    </dgm:pt>
    <dgm:pt modelId="{CEE15156-A2E4-4B72-B882-8466EC11F7AD}" type="parTrans" cxnId="{125D127C-D394-40E5-9993-48D0FEB9B14C}">
      <dgm:prSet/>
      <dgm:spPr/>
      <dgm:t>
        <a:bodyPr/>
        <a:lstStyle/>
        <a:p>
          <a:endParaRPr lang="en-US"/>
        </a:p>
      </dgm:t>
    </dgm:pt>
    <dgm:pt modelId="{F9C34569-3375-4059-95DF-526EFC10B5F3}" type="sibTrans" cxnId="{125D127C-D394-40E5-9993-48D0FEB9B14C}">
      <dgm:prSet/>
      <dgm:spPr/>
      <dgm:t>
        <a:bodyPr/>
        <a:lstStyle/>
        <a:p>
          <a:endParaRPr lang="en-US"/>
        </a:p>
      </dgm:t>
    </dgm:pt>
    <dgm:pt modelId="{30F61437-0373-4DAE-AA82-355A12698E4A}">
      <dgm:prSet/>
      <dgm:spPr/>
      <dgm:t>
        <a:bodyPr/>
        <a:lstStyle/>
        <a:p>
          <a:r>
            <a:rPr lang="en-US"/>
            <a:t>Bán một phần</a:t>
          </a:r>
        </a:p>
      </dgm:t>
    </dgm:pt>
    <dgm:pt modelId="{364A7E69-6BA7-4F74-9725-013E01963ED1}" type="parTrans" cxnId="{62D1E613-977C-4FAD-B395-BFD8577C5B6C}">
      <dgm:prSet/>
      <dgm:spPr/>
      <dgm:t>
        <a:bodyPr/>
        <a:lstStyle/>
        <a:p>
          <a:endParaRPr lang="en-US"/>
        </a:p>
      </dgm:t>
    </dgm:pt>
    <dgm:pt modelId="{108B5595-8B3E-4714-8B76-42E03B395D60}" type="sibTrans" cxnId="{62D1E613-977C-4FAD-B395-BFD8577C5B6C}">
      <dgm:prSet/>
      <dgm:spPr/>
      <dgm:t>
        <a:bodyPr/>
        <a:lstStyle/>
        <a:p>
          <a:endParaRPr lang="en-US"/>
        </a:p>
      </dgm:t>
    </dgm:pt>
    <dgm:pt modelId="{D5E5EC74-9F6F-4196-9CF4-C8E8BC73E522}" type="pres">
      <dgm:prSet presAssocID="{06338031-1A47-441C-A1F6-C9A1DA3A1E8B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42A7883C-793E-4F11-945F-1206E906A2A7}" type="pres">
      <dgm:prSet presAssocID="{6C5AB25F-BAC3-4EEB-9D9E-1B8685CA1CD8}" presName="root1" presStyleCnt="0"/>
      <dgm:spPr/>
    </dgm:pt>
    <dgm:pt modelId="{F583F169-34D4-49FE-BD9B-0007FA4AAA49}" type="pres">
      <dgm:prSet presAssocID="{6C5AB25F-BAC3-4EEB-9D9E-1B8685CA1CD8}" presName="LevelOneTextNode" presStyleLbl="node0" presStyleIdx="0" presStyleCnt="1">
        <dgm:presLayoutVars>
          <dgm:chPref val="3"/>
        </dgm:presLayoutVars>
      </dgm:prSet>
      <dgm:spPr/>
    </dgm:pt>
    <dgm:pt modelId="{128B251E-0B9B-4D09-B761-2A3AF533B2F1}" type="pres">
      <dgm:prSet presAssocID="{6C5AB25F-BAC3-4EEB-9D9E-1B8685CA1CD8}" presName="level2hierChild" presStyleCnt="0"/>
      <dgm:spPr/>
    </dgm:pt>
    <dgm:pt modelId="{98AC182F-76AC-4D22-BCAE-927AB7B85EBD}" type="pres">
      <dgm:prSet presAssocID="{8B759963-19FC-473E-9F7A-3C2D88C2BE12}" presName="conn2-1" presStyleLbl="parChTrans1D2" presStyleIdx="0" presStyleCnt="3"/>
      <dgm:spPr/>
    </dgm:pt>
    <dgm:pt modelId="{21F6D5FD-BD16-4701-A6AB-5B1EB7069F62}" type="pres">
      <dgm:prSet presAssocID="{8B759963-19FC-473E-9F7A-3C2D88C2BE12}" presName="connTx" presStyleLbl="parChTrans1D2" presStyleIdx="0" presStyleCnt="3"/>
      <dgm:spPr/>
    </dgm:pt>
    <dgm:pt modelId="{0A9F2156-5C4E-4B96-A4A9-13D156A502C6}" type="pres">
      <dgm:prSet presAssocID="{25DA14F6-362E-4034-91FC-2A2AF87CC198}" presName="root2" presStyleCnt="0"/>
      <dgm:spPr/>
    </dgm:pt>
    <dgm:pt modelId="{9CA53C1A-DB43-4722-89AC-BADF524277C2}" type="pres">
      <dgm:prSet presAssocID="{25DA14F6-362E-4034-91FC-2A2AF87CC198}" presName="LevelTwoTextNode" presStyleLbl="node2" presStyleIdx="0" presStyleCnt="3">
        <dgm:presLayoutVars>
          <dgm:chPref val="3"/>
        </dgm:presLayoutVars>
      </dgm:prSet>
      <dgm:spPr/>
    </dgm:pt>
    <dgm:pt modelId="{03703BD6-04F6-406D-9932-51E15EC6284C}" type="pres">
      <dgm:prSet presAssocID="{25DA14F6-362E-4034-91FC-2A2AF87CC198}" presName="level3hierChild" presStyleCnt="0"/>
      <dgm:spPr/>
    </dgm:pt>
    <dgm:pt modelId="{CD102702-6A34-4DE4-A60A-57EF19EFF881}" type="pres">
      <dgm:prSet presAssocID="{82EE991B-38FB-400D-86F4-9E2464F40ED9}" presName="conn2-1" presStyleLbl="parChTrans1D2" presStyleIdx="1" presStyleCnt="3"/>
      <dgm:spPr/>
    </dgm:pt>
    <dgm:pt modelId="{FB4AF1C2-BBF4-4101-8478-1789F18E0A09}" type="pres">
      <dgm:prSet presAssocID="{82EE991B-38FB-400D-86F4-9E2464F40ED9}" presName="connTx" presStyleLbl="parChTrans1D2" presStyleIdx="1" presStyleCnt="3"/>
      <dgm:spPr/>
    </dgm:pt>
    <dgm:pt modelId="{34930C67-32BC-43EE-8404-4EA6A07067A1}" type="pres">
      <dgm:prSet presAssocID="{CA90D408-BE6E-443E-8A03-86607BD3A816}" presName="root2" presStyleCnt="0"/>
      <dgm:spPr/>
    </dgm:pt>
    <dgm:pt modelId="{57CC8F47-91AE-48C3-A20A-43F2600FBB2E}" type="pres">
      <dgm:prSet presAssocID="{CA90D408-BE6E-443E-8A03-86607BD3A816}" presName="LevelTwoTextNode" presStyleLbl="node2" presStyleIdx="1" presStyleCnt="3">
        <dgm:presLayoutVars>
          <dgm:chPref val="3"/>
        </dgm:presLayoutVars>
      </dgm:prSet>
      <dgm:spPr/>
    </dgm:pt>
    <dgm:pt modelId="{9BFD6650-FA0E-4AB0-B84F-D5054838BB31}" type="pres">
      <dgm:prSet presAssocID="{CA90D408-BE6E-443E-8A03-86607BD3A816}" presName="level3hierChild" presStyleCnt="0"/>
      <dgm:spPr/>
    </dgm:pt>
    <dgm:pt modelId="{8DAFB76D-1089-4AFA-8797-DC9A91C80665}" type="pres">
      <dgm:prSet presAssocID="{C5A23E0C-2D58-4FA3-8CBE-AB35D7374E63}" presName="conn2-1" presStyleLbl="parChTrans1D3" presStyleIdx="0" presStyleCnt="3"/>
      <dgm:spPr/>
    </dgm:pt>
    <dgm:pt modelId="{D8C9AD46-4877-4346-B3BE-DBCADF17BA85}" type="pres">
      <dgm:prSet presAssocID="{C5A23E0C-2D58-4FA3-8CBE-AB35D7374E63}" presName="connTx" presStyleLbl="parChTrans1D3" presStyleIdx="0" presStyleCnt="3"/>
      <dgm:spPr/>
    </dgm:pt>
    <dgm:pt modelId="{4DC6088C-CA5F-4EA3-8E48-DE9D9B07DE23}" type="pres">
      <dgm:prSet presAssocID="{04A99468-E911-49FF-BB16-AC4760017856}" presName="root2" presStyleCnt="0"/>
      <dgm:spPr/>
    </dgm:pt>
    <dgm:pt modelId="{4C13DA29-6267-47EF-B2A8-B5B2DB8D67AD}" type="pres">
      <dgm:prSet presAssocID="{04A99468-E911-49FF-BB16-AC4760017856}" presName="LevelTwoTextNode" presStyleLbl="node3" presStyleIdx="0" presStyleCnt="3">
        <dgm:presLayoutVars>
          <dgm:chPref val="3"/>
        </dgm:presLayoutVars>
      </dgm:prSet>
      <dgm:spPr/>
    </dgm:pt>
    <dgm:pt modelId="{C313138E-6E02-44D8-A476-E86BC1C38D6D}" type="pres">
      <dgm:prSet presAssocID="{04A99468-E911-49FF-BB16-AC4760017856}" presName="level3hierChild" presStyleCnt="0"/>
      <dgm:spPr/>
    </dgm:pt>
    <dgm:pt modelId="{EB1834C4-A020-4657-B561-460ACC799245}" type="pres">
      <dgm:prSet presAssocID="{CEE15156-A2E4-4B72-B882-8466EC11F7AD}" presName="conn2-1" presStyleLbl="parChTrans1D3" presStyleIdx="1" presStyleCnt="3"/>
      <dgm:spPr/>
    </dgm:pt>
    <dgm:pt modelId="{683F0119-A291-4872-94CC-AD21BC45B1FC}" type="pres">
      <dgm:prSet presAssocID="{CEE15156-A2E4-4B72-B882-8466EC11F7AD}" presName="connTx" presStyleLbl="parChTrans1D3" presStyleIdx="1" presStyleCnt="3"/>
      <dgm:spPr/>
    </dgm:pt>
    <dgm:pt modelId="{B6DE9567-70E7-422E-8937-C8EE9E9D4177}" type="pres">
      <dgm:prSet presAssocID="{2DAFFE1F-1139-4600-A119-D14B855FECAB}" presName="root2" presStyleCnt="0"/>
      <dgm:spPr/>
    </dgm:pt>
    <dgm:pt modelId="{F7BE8541-A00A-4DED-A1CC-9E2EE904B3C4}" type="pres">
      <dgm:prSet presAssocID="{2DAFFE1F-1139-4600-A119-D14B855FECAB}" presName="LevelTwoTextNode" presStyleLbl="node3" presStyleIdx="1" presStyleCnt="3">
        <dgm:presLayoutVars>
          <dgm:chPref val="3"/>
        </dgm:presLayoutVars>
      </dgm:prSet>
      <dgm:spPr/>
    </dgm:pt>
    <dgm:pt modelId="{C206C4B6-F1F7-4201-9945-2EC35018692D}" type="pres">
      <dgm:prSet presAssocID="{2DAFFE1F-1139-4600-A119-D14B855FECAB}" presName="level3hierChild" presStyleCnt="0"/>
      <dgm:spPr/>
    </dgm:pt>
    <dgm:pt modelId="{191A0134-886E-4C9F-98F7-2993D00BCDA9}" type="pres">
      <dgm:prSet presAssocID="{364A7E69-6BA7-4F74-9725-013E01963ED1}" presName="conn2-1" presStyleLbl="parChTrans1D3" presStyleIdx="2" presStyleCnt="3"/>
      <dgm:spPr/>
    </dgm:pt>
    <dgm:pt modelId="{3EEAF879-BFD6-4357-85BA-6A6BF44D1A3A}" type="pres">
      <dgm:prSet presAssocID="{364A7E69-6BA7-4F74-9725-013E01963ED1}" presName="connTx" presStyleLbl="parChTrans1D3" presStyleIdx="2" presStyleCnt="3"/>
      <dgm:spPr/>
    </dgm:pt>
    <dgm:pt modelId="{70F22A36-5036-4171-9E69-32935C5D70D6}" type="pres">
      <dgm:prSet presAssocID="{30F61437-0373-4DAE-AA82-355A12698E4A}" presName="root2" presStyleCnt="0"/>
      <dgm:spPr/>
    </dgm:pt>
    <dgm:pt modelId="{B9B16818-3644-402F-BAC9-D7961EFF7F81}" type="pres">
      <dgm:prSet presAssocID="{30F61437-0373-4DAE-AA82-355A12698E4A}" presName="LevelTwoTextNode" presStyleLbl="node3" presStyleIdx="2" presStyleCnt="3">
        <dgm:presLayoutVars>
          <dgm:chPref val="3"/>
        </dgm:presLayoutVars>
      </dgm:prSet>
      <dgm:spPr/>
    </dgm:pt>
    <dgm:pt modelId="{6D875967-E935-454B-A83C-78E73D29932A}" type="pres">
      <dgm:prSet presAssocID="{30F61437-0373-4DAE-AA82-355A12698E4A}" presName="level3hierChild" presStyleCnt="0"/>
      <dgm:spPr/>
    </dgm:pt>
    <dgm:pt modelId="{42BF7C4B-40B7-4D6C-ABF9-72F200AA72E7}" type="pres">
      <dgm:prSet presAssocID="{B3D64627-A09A-44D6-880A-CD28252EEE87}" presName="conn2-1" presStyleLbl="parChTrans1D2" presStyleIdx="2" presStyleCnt="3"/>
      <dgm:spPr/>
    </dgm:pt>
    <dgm:pt modelId="{093437BB-5144-49B4-A140-BD13D7199A69}" type="pres">
      <dgm:prSet presAssocID="{B3D64627-A09A-44D6-880A-CD28252EEE87}" presName="connTx" presStyleLbl="parChTrans1D2" presStyleIdx="2" presStyleCnt="3"/>
      <dgm:spPr/>
    </dgm:pt>
    <dgm:pt modelId="{60B40F4E-DD39-4183-A3B2-416A6618F992}" type="pres">
      <dgm:prSet presAssocID="{10A42C9D-2506-4CBF-AFD9-A27CAA2C20B1}" presName="root2" presStyleCnt="0"/>
      <dgm:spPr/>
    </dgm:pt>
    <dgm:pt modelId="{9BDAA2E9-AA51-401B-ADC6-6995B9DEF574}" type="pres">
      <dgm:prSet presAssocID="{10A42C9D-2506-4CBF-AFD9-A27CAA2C20B1}" presName="LevelTwoTextNode" presStyleLbl="node2" presStyleIdx="2" presStyleCnt="3">
        <dgm:presLayoutVars>
          <dgm:chPref val="3"/>
        </dgm:presLayoutVars>
      </dgm:prSet>
      <dgm:spPr/>
    </dgm:pt>
    <dgm:pt modelId="{902289BA-06A1-48BE-9098-784139B0A3E2}" type="pres">
      <dgm:prSet presAssocID="{10A42C9D-2506-4CBF-AFD9-A27CAA2C20B1}" presName="level3hierChild" presStyleCnt="0"/>
      <dgm:spPr/>
    </dgm:pt>
  </dgm:ptLst>
  <dgm:cxnLst>
    <dgm:cxn modelId="{79589F01-467D-433C-B4D1-E0C5C212BF19}" type="presOf" srcId="{2DAFFE1F-1139-4600-A119-D14B855FECAB}" destId="{F7BE8541-A00A-4DED-A1CC-9E2EE904B3C4}" srcOrd="0" destOrd="0" presId="urn:microsoft.com/office/officeart/2005/8/layout/hierarchy2"/>
    <dgm:cxn modelId="{F6BD620A-9A9E-46D8-A39B-68378D9619A8}" type="presOf" srcId="{6C5AB25F-BAC3-4EEB-9D9E-1B8685CA1CD8}" destId="{F583F169-34D4-49FE-BD9B-0007FA4AAA49}" srcOrd="0" destOrd="0" presId="urn:microsoft.com/office/officeart/2005/8/layout/hierarchy2"/>
    <dgm:cxn modelId="{C8D24A0A-6F84-404A-B6A5-DEF40E7F8DC2}" type="presOf" srcId="{CEE15156-A2E4-4B72-B882-8466EC11F7AD}" destId="{683F0119-A291-4872-94CC-AD21BC45B1FC}" srcOrd="1" destOrd="0" presId="urn:microsoft.com/office/officeart/2005/8/layout/hierarchy2"/>
    <dgm:cxn modelId="{E2D78010-A6A9-40FC-B825-B722D3BA17C0}" type="presOf" srcId="{CA90D408-BE6E-443E-8A03-86607BD3A816}" destId="{57CC8F47-91AE-48C3-A20A-43F2600FBB2E}" srcOrd="0" destOrd="0" presId="urn:microsoft.com/office/officeart/2005/8/layout/hierarchy2"/>
    <dgm:cxn modelId="{62D1E613-977C-4FAD-B395-BFD8577C5B6C}" srcId="{CA90D408-BE6E-443E-8A03-86607BD3A816}" destId="{30F61437-0373-4DAE-AA82-355A12698E4A}" srcOrd="2" destOrd="0" parTransId="{364A7E69-6BA7-4F74-9725-013E01963ED1}" sibTransId="{108B5595-8B3E-4714-8B76-42E03B395D60}"/>
    <dgm:cxn modelId="{7274FA19-BA7A-404D-B824-0ED001C45C0C}" type="presOf" srcId="{30F61437-0373-4DAE-AA82-355A12698E4A}" destId="{B9B16818-3644-402F-BAC9-D7961EFF7F81}" srcOrd="0" destOrd="0" presId="urn:microsoft.com/office/officeart/2005/8/layout/hierarchy2"/>
    <dgm:cxn modelId="{39E52745-12DC-45CF-96F2-35781ED7C38D}" type="presOf" srcId="{06338031-1A47-441C-A1F6-C9A1DA3A1E8B}" destId="{D5E5EC74-9F6F-4196-9CF4-C8E8BC73E522}" srcOrd="0" destOrd="0" presId="urn:microsoft.com/office/officeart/2005/8/layout/hierarchy2"/>
    <dgm:cxn modelId="{DFAE6A65-FDF4-461B-9C22-AA989719D3ED}" srcId="{6C5AB25F-BAC3-4EEB-9D9E-1B8685CA1CD8}" destId="{25DA14F6-362E-4034-91FC-2A2AF87CC198}" srcOrd="0" destOrd="0" parTransId="{8B759963-19FC-473E-9F7A-3C2D88C2BE12}" sibTransId="{E492B809-F56D-4C64-91F6-1A13FCE5013A}"/>
    <dgm:cxn modelId="{D05F814B-B049-4270-BF51-0A94DD20ECF9}" type="presOf" srcId="{8B759963-19FC-473E-9F7A-3C2D88C2BE12}" destId="{21F6D5FD-BD16-4701-A6AB-5B1EB7069F62}" srcOrd="1" destOrd="0" presId="urn:microsoft.com/office/officeart/2005/8/layout/hierarchy2"/>
    <dgm:cxn modelId="{241F1271-3D6B-4202-8345-F6F9FE15ABEB}" srcId="{06338031-1A47-441C-A1F6-C9A1DA3A1E8B}" destId="{6C5AB25F-BAC3-4EEB-9D9E-1B8685CA1CD8}" srcOrd="0" destOrd="0" parTransId="{442B2519-EF44-4D4D-B825-660A3739DB46}" sibTransId="{F6557FF7-76C1-408D-BC04-638D0C004E9D}"/>
    <dgm:cxn modelId="{777DE856-EB0A-48E1-9CA1-3B35DC353050}" type="presOf" srcId="{8B759963-19FC-473E-9F7A-3C2D88C2BE12}" destId="{98AC182F-76AC-4D22-BCAE-927AB7B85EBD}" srcOrd="0" destOrd="0" presId="urn:microsoft.com/office/officeart/2005/8/layout/hierarchy2"/>
    <dgm:cxn modelId="{125D127C-D394-40E5-9993-48D0FEB9B14C}" srcId="{CA90D408-BE6E-443E-8A03-86607BD3A816}" destId="{2DAFFE1F-1139-4600-A119-D14B855FECAB}" srcOrd="1" destOrd="0" parTransId="{CEE15156-A2E4-4B72-B882-8466EC11F7AD}" sibTransId="{F9C34569-3375-4059-95DF-526EFC10B5F3}"/>
    <dgm:cxn modelId="{7879218A-A26F-49B7-AE77-960942F6BCE6}" type="presOf" srcId="{B3D64627-A09A-44D6-880A-CD28252EEE87}" destId="{093437BB-5144-49B4-A140-BD13D7199A69}" srcOrd="1" destOrd="0" presId="urn:microsoft.com/office/officeart/2005/8/layout/hierarchy2"/>
    <dgm:cxn modelId="{AE93D38A-165E-428C-9F47-783354723C20}" srcId="{6C5AB25F-BAC3-4EEB-9D9E-1B8685CA1CD8}" destId="{CA90D408-BE6E-443E-8A03-86607BD3A816}" srcOrd="1" destOrd="0" parTransId="{82EE991B-38FB-400D-86F4-9E2464F40ED9}" sibTransId="{828B82CF-946A-4E7D-83CF-5821FD522BD6}"/>
    <dgm:cxn modelId="{733D1692-563A-4934-A9B5-18075F8D7C13}" type="presOf" srcId="{82EE991B-38FB-400D-86F4-9E2464F40ED9}" destId="{CD102702-6A34-4DE4-A60A-57EF19EFF881}" srcOrd="0" destOrd="0" presId="urn:microsoft.com/office/officeart/2005/8/layout/hierarchy2"/>
    <dgm:cxn modelId="{F1072B9B-0AD7-47F9-8B1B-112F3D7CB924}" srcId="{6C5AB25F-BAC3-4EEB-9D9E-1B8685CA1CD8}" destId="{10A42C9D-2506-4CBF-AFD9-A27CAA2C20B1}" srcOrd="2" destOrd="0" parTransId="{B3D64627-A09A-44D6-880A-CD28252EEE87}" sibTransId="{CD176097-5CFA-4340-BF7E-3BB0086D7186}"/>
    <dgm:cxn modelId="{F4DD99AC-C0AA-4727-95FB-A04A51341D1A}" srcId="{CA90D408-BE6E-443E-8A03-86607BD3A816}" destId="{04A99468-E911-49FF-BB16-AC4760017856}" srcOrd="0" destOrd="0" parTransId="{C5A23E0C-2D58-4FA3-8CBE-AB35D7374E63}" sibTransId="{2528AFD2-C38C-4320-8131-7AE4893D191E}"/>
    <dgm:cxn modelId="{55C4FDB7-3AFD-4E10-A642-E63D465F41E6}" type="presOf" srcId="{B3D64627-A09A-44D6-880A-CD28252EEE87}" destId="{42BF7C4B-40B7-4D6C-ABF9-72F200AA72E7}" srcOrd="0" destOrd="0" presId="urn:microsoft.com/office/officeart/2005/8/layout/hierarchy2"/>
    <dgm:cxn modelId="{CC0500BA-A8EC-4416-9515-8FEE37437748}" type="presOf" srcId="{10A42C9D-2506-4CBF-AFD9-A27CAA2C20B1}" destId="{9BDAA2E9-AA51-401B-ADC6-6995B9DEF574}" srcOrd="0" destOrd="0" presId="urn:microsoft.com/office/officeart/2005/8/layout/hierarchy2"/>
    <dgm:cxn modelId="{FC6898C2-D4B9-46F7-8C7C-6A7D14EFEE54}" type="presOf" srcId="{364A7E69-6BA7-4F74-9725-013E01963ED1}" destId="{3EEAF879-BFD6-4357-85BA-6A6BF44D1A3A}" srcOrd="1" destOrd="0" presId="urn:microsoft.com/office/officeart/2005/8/layout/hierarchy2"/>
    <dgm:cxn modelId="{8741B2C4-0E8D-4180-8984-D675837AD3A9}" type="presOf" srcId="{04A99468-E911-49FF-BB16-AC4760017856}" destId="{4C13DA29-6267-47EF-B2A8-B5B2DB8D67AD}" srcOrd="0" destOrd="0" presId="urn:microsoft.com/office/officeart/2005/8/layout/hierarchy2"/>
    <dgm:cxn modelId="{C6A5ABC6-6C6C-44F4-875F-CE84A41A255C}" type="presOf" srcId="{25DA14F6-362E-4034-91FC-2A2AF87CC198}" destId="{9CA53C1A-DB43-4722-89AC-BADF524277C2}" srcOrd="0" destOrd="0" presId="urn:microsoft.com/office/officeart/2005/8/layout/hierarchy2"/>
    <dgm:cxn modelId="{1F9CCDC8-BED5-4314-8F13-444600EFC146}" type="presOf" srcId="{82EE991B-38FB-400D-86F4-9E2464F40ED9}" destId="{FB4AF1C2-BBF4-4101-8478-1789F18E0A09}" srcOrd="1" destOrd="0" presId="urn:microsoft.com/office/officeart/2005/8/layout/hierarchy2"/>
    <dgm:cxn modelId="{5D6A98D9-CF94-4873-B199-6AB65A1C1386}" type="presOf" srcId="{364A7E69-6BA7-4F74-9725-013E01963ED1}" destId="{191A0134-886E-4C9F-98F7-2993D00BCDA9}" srcOrd="0" destOrd="0" presId="urn:microsoft.com/office/officeart/2005/8/layout/hierarchy2"/>
    <dgm:cxn modelId="{02C5A2DA-661A-4BD0-90A0-9A3A7CBD288A}" type="presOf" srcId="{CEE15156-A2E4-4B72-B882-8466EC11F7AD}" destId="{EB1834C4-A020-4657-B561-460ACC799245}" srcOrd="0" destOrd="0" presId="urn:microsoft.com/office/officeart/2005/8/layout/hierarchy2"/>
    <dgm:cxn modelId="{D4A225EA-B29B-4CF5-A7F8-F30C75C28F20}" type="presOf" srcId="{C5A23E0C-2D58-4FA3-8CBE-AB35D7374E63}" destId="{D8C9AD46-4877-4346-B3BE-DBCADF17BA85}" srcOrd="1" destOrd="0" presId="urn:microsoft.com/office/officeart/2005/8/layout/hierarchy2"/>
    <dgm:cxn modelId="{FB3ACDF5-FD17-415B-BA05-18BAF8751666}" type="presOf" srcId="{C5A23E0C-2D58-4FA3-8CBE-AB35D7374E63}" destId="{8DAFB76D-1089-4AFA-8797-DC9A91C80665}" srcOrd="0" destOrd="0" presId="urn:microsoft.com/office/officeart/2005/8/layout/hierarchy2"/>
    <dgm:cxn modelId="{5B9F8A50-33AD-4400-BB7A-E251313B90AD}" type="presParOf" srcId="{D5E5EC74-9F6F-4196-9CF4-C8E8BC73E522}" destId="{42A7883C-793E-4F11-945F-1206E906A2A7}" srcOrd="0" destOrd="0" presId="urn:microsoft.com/office/officeart/2005/8/layout/hierarchy2"/>
    <dgm:cxn modelId="{CB1FD068-3085-46FD-9C59-886B7350150E}" type="presParOf" srcId="{42A7883C-793E-4F11-945F-1206E906A2A7}" destId="{F583F169-34D4-49FE-BD9B-0007FA4AAA49}" srcOrd="0" destOrd="0" presId="urn:microsoft.com/office/officeart/2005/8/layout/hierarchy2"/>
    <dgm:cxn modelId="{BD392920-8A40-4F94-8E0D-46AD833FCC75}" type="presParOf" srcId="{42A7883C-793E-4F11-945F-1206E906A2A7}" destId="{128B251E-0B9B-4D09-B761-2A3AF533B2F1}" srcOrd="1" destOrd="0" presId="urn:microsoft.com/office/officeart/2005/8/layout/hierarchy2"/>
    <dgm:cxn modelId="{BAC4F4B4-2247-40A3-AE37-E94C9CCFF226}" type="presParOf" srcId="{128B251E-0B9B-4D09-B761-2A3AF533B2F1}" destId="{98AC182F-76AC-4D22-BCAE-927AB7B85EBD}" srcOrd="0" destOrd="0" presId="urn:microsoft.com/office/officeart/2005/8/layout/hierarchy2"/>
    <dgm:cxn modelId="{0EAB8345-F6B8-4B8C-A64A-4C288884271E}" type="presParOf" srcId="{98AC182F-76AC-4D22-BCAE-927AB7B85EBD}" destId="{21F6D5FD-BD16-4701-A6AB-5B1EB7069F62}" srcOrd="0" destOrd="0" presId="urn:microsoft.com/office/officeart/2005/8/layout/hierarchy2"/>
    <dgm:cxn modelId="{EFF75DB5-A185-4907-A96C-06CC50B38170}" type="presParOf" srcId="{128B251E-0B9B-4D09-B761-2A3AF533B2F1}" destId="{0A9F2156-5C4E-4B96-A4A9-13D156A502C6}" srcOrd="1" destOrd="0" presId="urn:microsoft.com/office/officeart/2005/8/layout/hierarchy2"/>
    <dgm:cxn modelId="{62F3EDCB-465D-41FF-870B-97B483795BE8}" type="presParOf" srcId="{0A9F2156-5C4E-4B96-A4A9-13D156A502C6}" destId="{9CA53C1A-DB43-4722-89AC-BADF524277C2}" srcOrd="0" destOrd="0" presId="urn:microsoft.com/office/officeart/2005/8/layout/hierarchy2"/>
    <dgm:cxn modelId="{E59D7267-B387-46A4-98F0-F068FC1E0091}" type="presParOf" srcId="{0A9F2156-5C4E-4B96-A4A9-13D156A502C6}" destId="{03703BD6-04F6-406D-9932-51E15EC6284C}" srcOrd="1" destOrd="0" presId="urn:microsoft.com/office/officeart/2005/8/layout/hierarchy2"/>
    <dgm:cxn modelId="{E6C49C4E-DE18-4C99-8C75-10DD9648794B}" type="presParOf" srcId="{128B251E-0B9B-4D09-B761-2A3AF533B2F1}" destId="{CD102702-6A34-4DE4-A60A-57EF19EFF881}" srcOrd="2" destOrd="0" presId="urn:microsoft.com/office/officeart/2005/8/layout/hierarchy2"/>
    <dgm:cxn modelId="{4AAF9938-0817-46C1-A351-D0B0A750CADA}" type="presParOf" srcId="{CD102702-6A34-4DE4-A60A-57EF19EFF881}" destId="{FB4AF1C2-BBF4-4101-8478-1789F18E0A09}" srcOrd="0" destOrd="0" presId="urn:microsoft.com/office/officeart/2005/8/layout/hierarchy2"/>
    <dgm:cxn modelId="{141EF39C-D5EE-430B-B1D2-4D7F1CAC369F}" type="presParOf" srcId="{128B251E-0B9B-4D09-B761-2A3AF533B2F1}" destId="{34930C67-32BC-43EE-8404-4EA6A07067A1}" srcOrd="3" destOrd="0" presId="urn:microsoft.com/office/officeart/2005/8/layout/hierarchy2"/>
    <dgm:cxn modelId="{61318B6D-7058-4E02-A9D0-5228C4E745AE}" type="presParOf" srcId="{34930C67-32BC-43EE-8404-4EA6A07067A1}" destId="{57CC8F47-91AE-48C3-A20A-43F2600FBB2E}" srcOrd="0" destOrd="0" presId="urn:microsoft.com/office/officeart/2005/8/layout/hierarchy2"/>
    <dgm:cxn modelId="{D706B8D3-DFBD-4D57-AAB4-2156B26E18ED}" type="presParOf" srcId="{34930C67-32BC-43EE-8404-4EA6A07067A1}" destId="{9BFD6650-FA0E-4AB0-B84F-D5054838BB31}" srcOrd="1" destOrd="0" presId="urn:microsoft.com/office/officeart/2005/8/layout/hierarchy2"/>
    <dgm:cxn modelId="{CEA71A82-BF51-4117-B573-A06F7E0287A5}" type="presParOf" srcId="{9BFD6650-FA0E-4AB0-B84F-D5054838BB31}" destId="{8DAFB76D-1089-4AFA-8797-DC9A91C80665}" srcOrd="0" destOrd="0" presId="urn:microsoft.com/office/officeart/2005/8/layout/hierarchy2"/>
    <dgm:cxn modelId="{92D6A687-15B9-4DD3-B657-FCC7A6981898}" type="presParOf" srcId="{8DAFB76D-1089-4AFA-8797-DC9A91C80665}" destId="{D8C9AD46-4877-4346-B3BE-DBCADF17BA85}" srcOrd="0" destOrd="0" presId="urn:microsoft.com/office/officeart/2005/8/layout/hierarchy2"/>
    <dgm:cxn modelId="{8F9E0D0A-1517-49C9-9F13-90B662C646AB}" type="presParOf" srcId="{9BFD6650-FA0E-4AB0-B84F-D5054838BB31}" destId="{4DC6088C-CA5F-4EA3-8E48-DE9D9B07DE23}" srcOrd="1" destOrd="0" presId="urn:microsoft.com/office/officeart/2005/8/layout/hierarchy2"/>
    <dgm:cxn modelId="{9D16AF17-012D-430D-9215-EF71764DBFA1}" type="presParOf" srcId="{4DC6088C-CA5F-4EA3-8E48-DE9D9B07DE23}" destId="{4C13DA29-6267-47EF-B2A8-B5B2DB8D67AD}" srcOrd="0" destOrd="0" presId="urn:microsoft.com/office/officeart/2005/8/layout/hierarchy2"/>
    <dgm:cxn modelId="{D4C22A38-3A06-48D2-82BE-FBF723BC0BFC}" type="presParOf" srcId="{4DC6088C-CA5F-4EA3-8E48-DE9D9B07DE23}" destId="{C313138E-6E02-44D8-A476-E86BC1C38D6D}" srcOrd="1" destOrd="0" presId="urn:microsoft.com/office/officeart/2005/8/layout/hierarchy2"/>
    <dgm:cxn modelId="{2EAEAB5E-F210-4DDA-8E90-785D5FE8F2CC}" type="presParOf" srcId="{9BFD6650-FA0E-4AB0-B84F-D5054838BB31}" destId="{EB1834C4-A020-4657-B561-460ACC799245}" srcOrd="2" destOrd="0" presId="urn:microsoft.com/office/officeart/2005/8/layout/hierarchy2"/>
    <dgm:cxn modelId="{129BD7A9-05F3-4BC8-98D0-E7E501638F43}" type="presParOf" srcId="{EB1834C4-A020-4657-B561-460ACC799245}" destId="{683F0119-A291-4872-94CC-AD21BC45B1FC}" srcOrd="0" destOrd="0" presId="urn:microsoft.com/office/officeart/2005/8/layout/hierarchy2"/>
    <dgm:cxn modelId="{6B809349-E18A-42FB-B489-2DD4DF3ED94D}" type="presParOf" srcId="{9BFD6650-FA0E-4AB0-B84F-D5054838BB31}" destId="{B6DE9567-70E7-422E-8937-C8EE9E9D4177}" srcOrd="3" destOrd="0" presId="urn:microsoft.com/office/officeart/2005/8/layout/hierarchy2"/>
    <dgm:cxn modelId="{04C95285-75CB-44C3-8164-935E22736E0E}" type="presParOf" srcId="{B6DE9567-70E7-422E-8937-C8EE9E9D4177}" destId="{F7BE8541-A00A-4DED-A1CC-9E2EE904B3C4}" srcOrd="0" destOrd="0" presId="urn:microsoft.com/office/officeart/2005/8/layout/hierarchy2"/>
    <dgm:cxn modelId="{3C2F5960-E2FD-4FE1-B18E-899BFA5A4121}" type="presParOf" srcId="{B6DE9567-70E7-422E-8937-C8EE9E9D4177}" destId="{C206C4B6-F1F7-4201-9945-2EC35018692D}" srcOrd="1" destOrd="0" presId="urn:microsoft.com/office/officeart/2005/8/layout/hierarchy2"/>
    <dgm:cxn modelId="{307A32FB-240A-46FA-A5ED-765F546ACE0A}" type="presParOf" srcId="{9BFD6650-FA0E-4AB0-B84F-D5054838BB31}" destId="{191A0134-886E-4C9F-98F7-2993D00BCDA9}" srcOrd="4" destOrd="0" presId="urn:microsoft.com/office/officeart/2005/8/layout/hierarchy2"/>
    <dgm:cxn modelId="{49E62091-D8F2-4519-9F7D-E92B7E645E0E}" type="presParOf" srcId="{191A0134-886E-4C9F-98F7-2993D00BCDA9}" destId="{3EEAF879-BFD6-4357-85BA-6A6BF44D1A3A}" srcOrd="0" destOrd="0" presId="urn:microsoft.com/office/officeart/2005/8/layout/hierarchy2"/>
    <dgm:cxn modelId="{FEF71346-0D37-46BA-B573-CA596F218754}" type="presParOf" srcId="{9BFD6650-FA0E-4AB0-B84F-D5054838BB31}" destId="{70F22A36-5036-4171-9E69-32935C5D70D6}" srcOrd="5" destOrd="0" presId="urn:microsoft.com/office/officeart/2005/8/layout/hierarchy2"/>
    <dgm:cxn modelId="{4323CE58-42A9-47B7-ADF2-813235FC7EE8}" type="presParOf" srcId="{70F22A36-5036-4171-9E69-32935C5D70D6}" destId="{B9B16818-3644-402F-BAC9-D7961EFF7F81}" srcOrd="0" destOrd="0" presId="urn:microsoft.com/office/officeart/2005/8/layout/hierarchy2"/>
    <dgm:cxn modelId="{DBDF6469-3B92-44E6-B6F8-812684A49C02}" type="presParOf" srcId="{70F22A36-5036-4171-9E69-32935C5D70D6}" destId="{6D875967-E935-454B-A83C-78E73D29932A}" srcOrd="1" destOrd="0" presId="urn:microsoft.com/office/officeart/2005/8/layout/hierarchy2"/>
    <dgm:cxn modelId="{53337238-C6E3-46A7-BBBC-B593B3407B66}" type="presParOf" srcId="{128B251E-0B9B-4D09-B761-2A3AF533B2F1}" destId="{42BF7C4B-40B7-4D6C-ABF9-72F200AA72E7}" srcOrd="4" destOrd="0" presId="urn:microsoft.com/office/officeart/2005/8/layout/hierarchy2"/>
    <dgm:cxn modelId="{851E5B94-EB96-40BB-BF8E-FDF6EB47B3C7}" type="presParOf" srcId="{42BF7C4B-40B7-4D6C-ABF9-72F200AA72E7}" destId="{093437BB-5144-49B4-A140-BD13D7199A69}" srcOrd="0" destOrd="0" presId="urn:microsoft.com/office/officeart/2005/8/layout/hierarchy2"/>
    <dgm:cxn modelId="{90347F9C-4693-4150-8BA4-8FEF9BEF75E1}" type="presParOf" srcId="{128B251E-0B9B-4D09-B761-2A3AF533B2F1}" destId="{60B40F4E-DD39-4183-A3B2-416A6618F992}" srcOrd="5" destOrd="0" presId="urn:microsoft.com/office/officeart/2005/8/layout/hierarchy2"/>
    <dgm:cxn modelId="{E57A29DC-1BFE-4C5B-9A53-9C71CF13F205}" type="presParOf" srcId="{60B40F4E-DD39-4183-A3B2-416A6618F992}" destId="{9BDAA2E9-AA51-401B-ADC6-6995B9DEF574}" srcOrd="0" destOrd="0" presId="urn:microsoft.com/office/officeart/2005/8/layout/hierarchy2"/>
    <dgm:cxn modelId="{E54F20C8-7E19-4116-853B-0595DBCC19A6}" type="presParOf" srcId="{60B40F4E-DD39-4183-A3B2-416A6618F992}" destId="{902289BA-06A1-48BE-9098-784139B0A3E2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583F169-34D4-49FE-BD9B-0007FA4AAA49}">
      <dsp:nvSpPr>
        <dsp:cNvPr id="0" name=""/>
        <dsp:cNvSpPr/>
      </dsp:nvSpPr>
      <dsp:spPr>
        <a:xfrm>
          <a:off x="230956" y="629356"/>
          <a:ext cx="1093000" cy="54650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Thép thô</a:t>
          </a:r>
        </a:p>
      </dsp:txBody>
      <dsp:txXfrm>
        <a:off x="246962" y="645362"/>
        <a:ext cx="1060988" cy="514488"/>
      </dsp:txXfrm>
    </dsp:sp>
    <dsp:sp modelId="{98AC182F-76AC-4D22-BCAE-927AB7B85EBD}">
      <dsp:nvSpPr>
        <dsp:cNvPr id="0" name=""/>
        <dsp:cNvSpPr/>
      </dsp:nvSpPr>
      <dsp:spPr>
        <a:xfrm rot="18289469">
          <a:off x="1159763" y="561123"/>
          <a:ext cx="765588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765588" y="27246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1523417" y="569229"/>
        <a:ext cx="38279" cy="38279"/>
      </dsp:txXfrm>
    </dsp:sp>
    <dsp:sp modelId="{9CA53C1A-DB43-4722-89AC-BADF524277C2}">
      <dsp:nvSpPr>
        <dsp:cNvPr id="0" name=""/>
        <dsp:cNvSpPr/>
      </dsp:nvSpPr>
      <dsp:spPr>
        <a:xfrm>
          <a:off x="1761157" y="881"/>
          <a:ext cx="1093000" cy="54650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Thép xây dựng</a:t>
          </a:r>
        </a:p>
      </dsp:txBody>
      <dsp:txXfrm>
        <a:off x="1777163" y="16887"/>
        <a:ext cx="1060988" cy="514488"/>
      </dsp:txXfrm>
    </dsp:sp>
    <dsp:sp modelId="{CD102702-6A34-4DE4-A60A-57EF19EFF881}">
      <dsp:nvSpPr>
        <dsp:cNvPr id="0" name=""/>
        <dsp:cNvSpPr/>
      </dsp:nvSpPr>
      <dsp:spPr>
        <a:xfrm>
          <a:off x="1323957" y="875360"/>
          <a:ext cx="437200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437200" y="27246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1531627" y="891676"/>
        <a:ext cx="21860" cy="21860"/>
      </dsp:txXfrm>
    </dsp:sp>
    <dsp:sp modelId="{57CC8F47-91AE-48C3-A20A-43F2600FBB2E}">
      <dsp:nvSpPr>
        <dsp:cNvPr id="0" name=""/>
        <dsp:cNvSpPr/>
      </dsp:nvSpPr>
      <dsp:spPr>
        <a:xfrm>
          <a:off x="1761157" y="629356"/>
          <a:ext cx="1093000" cy="54650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Thép HRC</a:t>
          </a:r>
        </a:p>
      </dsp:txBody>
      <dsp:txXfrm>
        <a:off x="1777163" y="645362"/>
        <a:ext cx="1060988" cy="514488"/>
      </dsp:txXfrm>
    </dsp:sp>
    <dsp:sp modelId="{8DAFB76D-1089-4AFA-8797-DC9A91C80665}">
      <dsp:nvSpPr>
        <dsp:cNvPr id="0" name=""/>
        <dsp:cNvSpPr/>
      </dsp:nvSpPr>
      <dsp:spPr>
        <a:xfrm rot="18289469">
          <a:off x="2689964" y="561123"/>
          <a:ext cx="765588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765588" y="27246"/>
              </a:lnTo>
            </a:path>
          </a:pathLst>
        </a:custGeom>
        <a:noFill/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053618" y="569229"/>
        <a:ext cx="38279" cy="38279"/>
      </dsp:txXfrm>
    </dsp:sp>
    <dsp:sp modelId="{4C13DA29-6267-47EF-B2A8-B5B2DB8D67AD}">
      <dsp:nvSpPr>
        <dsp:cNvPr id="0" name=""/>
        <dsp:cNvSpPr/>
      </dsp:nvSpPr>
      <dsp:spPr>
        <a:xfrm>
          <a:off x="3291358" y="881"/>
          <a:ext cx="1093000" cy="54650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Ống thép</a:t>
          </a:r>
        </a:p>
      </dsp:txBody>
      <dsp:txXfrm>
        <a:off x="3307364" y="16887"/>
        <a:ext cx="1060988" cy="514488"/>
      </dsp:txXfrm>
    </dsp:sp>
    <dsp:sp modelId="{EB1834C4-A020-4657-B561-460ACC799245}">
      <dsp:nvSpPr>
        <dsp:cNvPr id="0" name=""/>
        <dsp:cNvSpPr/>
      </dsp:nvSpPr>
      <dsp:spPr>
        <a:xfrm>
          <a:off x="2854158" y="875360"/>
          <a:ext cx="437200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437200" y="27246"/>
              </a:lnTo>
            </a:path>
          </a:pathLst>
        </a:custGeom>
        <a:noFill/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061828" y="891676"/>
        <a:ext cx="21860" cy="21860"/>
      </dsp:txXfrm>
    </dsp:sp>
    <dsp:sp modelId="{F7BE8541-A00A-4DED-A1CC-9E2EE904B3C4}">
      <dsp:nvSpPr>
        <dsp:cNvPr id="0" name=""/>
        <dsp:cNvSpPr/>
      </dsp:nvSpPr>
      <dsp:spPr>
        <a:xfrm>
          <a:off x="3291358" y="629356"/>
          <a:ext cx="1093000" cy="54650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Tôn mạ</a:t>
          </a:r>
        </a:p>
      </dsp:txBody>
      <dsp:txXfrm>
        <a:off x="3307364" y="645362"/>
        <a:ext cx="1060988" cy="514488"/>
      </dsp:txXfrm>
    </dsp:sp>
    <dsp:sp modelId="{191A0134-886E-4C9F-98F7-2993D00BCDA9}">
      <dsp:nvSpPr>
        <dsp:cNvPr id="0" name=""/>
        <dsp:cNvSpPr/>
      </dsp:nvSpPr>
      <dsp:spPr>
        <a:xfrm rot="3310531">
          <a:off x="2689964" y="1189598"/>
          <a:ext cx="765588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765588" y="27246"/>
              </a:lnTo>
            </a:path>
          </a:pathLst>
        </a:custGeom>
        <a:noFill/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053618" y="1197704"/>
        <a:ext cx="38279" cy="38279"/>
      </dsp:txXfrm>
    </dsp:sp>
    <dsp:sp modelId="{B9B16818-3644-402F-BAC9-D7961EFF7F81}">
      <dsp:nvSpPr>
        <dsp:cNvPr id="0" name=""/>
        <dsp:cNvSpPr/>
      </dsp:nvSpPr>
      <dsp:spPr>
        <a:xfrm>
          <a:off x="3291358" y="1257832"/>
          <a:ext cx="1093000" cy="54650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Bán một phần</a:t>
          </a:r>
        </a:p>
      </dsp:txBody>
      <dsp:txXfrm>
        <a:off x="3307364" y="1273838"/>
        <a:ext cx="1060988" cy="514488"/>
      </dsp:txXfrm>
    </dsp:sp>
    <dsp:sp modelId="{42BF7C4B-40B7-4D6C-ABF9-72F200AA72E7}">
      <dsp:nvSpPr>
        <dsp:cNvPr id="0" name=""/>
        <dsp:cNvSpPr/>
      </dsp:nvSpPr>
      <dsp:spPr>
        <a:xfrm rot="3310531">
          <a:off x="1159763" y="1189598"/>
          <a:ext cx="765588" cy="54492"/>
        </a:xfrm>
        <a:custGeom>
          <a:avLst/>
          <a:gdLst/>
          <a:ahLst/>
          <a:cxnLst/>
          <a:rect l="0" t="0" r="0" b="0"/>
          <a:pathLst>
            <a:path>
              <a:moveTo>
                <a:pt x="0" y="27246"/>
              </a:moveTo>
              <a:lnTo>
                <a:pt x="765588" y="27246"/>
              </a:lnTo>
            </a:path>
          </a:pathLst>
        </a:custGeom>
        <a:noFill/>
        <a:ln w="12700" cap="flat" cmpd="sng" algn="ctr">
          <a:solidFill>
            <a:schemeClr val="dk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1523417" y="1197704"/>
        <a:ext cx="38279" cy="38279"/>
      </dsp:txXfrm>
    </dsp:sp>
    <dsp:sp modelId="{9BDAA2E9-AA51-401B-ADC6-6995B9DEF574}">
      <dsp:nvSpPr>
        <dsp:cNvPr id="0" name=""/>
        <dsp:cNvSpPr/>
      </dsp:nvSpPr>
      <dsp:spPr>
        <a:xfrm>
          <a:off x="1761157" y="1257832"/>
          <a:ext cx="1093000" cy="54650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Bán một phần (Phôi thép)</a:t>
          </a:r>
        </a:p>
      </dsp:txBody>
      <dsp:txXfrm>
        <a:off x="1777163" y="1273838"/>
        <a:ext cx="1060988" cy="51448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405606</xdr:colOff>
      <xdr:row>0</xdr:row>
      <xdr:rowOff>86179</xdr:rowOff>
    </xdr:from>
    <xdr:to>
      <xdr:col>15</xdr:col>
      <xdr:colOff>29822</xdr:colOff>
      <xdr:row>10</xdr:row>
      <xdr:rowOff>81643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D67C13D-0D06-4319-9337-D7690B77E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4</xdr:col>
      <xdr:colOff>397416</xdr:colOff>
      <xdr:row>35</xdr:row>
      <xdr:rowOff>62103</xdr:rowOff>
    </xdr:from>
    <xdr:to>
      <xdr:col>11</xdr:col>
      <xdr:colOff>475144</xdr:colOff>
      <xdr:row>42</xdr:row>
      <xdr:rowOff>162369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8B82B1-829C-40E8-AA19-B670204E0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90714" y="6165430"/>
          <a:ext cx="6301152" cy="135683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14</xdr:col>
      <xdr:colOff>564174</xdr:colOff>
      <xdr:row>19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B4C172-6349-48AF-A93C-868FB87AE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18231" y="1974606"/>
          <a:ext cx="3476625" cy="1081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481353</xdr:colOff>
      <xdr:row>24</xdr:row>
      <xdr:rowOff>5233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144F3A-8FE0-4057-9F87-928CC2CA2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024044" cy="4401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vn.investing.com/commodities/iron-ore-62-cfr-futures" TargetMode="External"/><Relationship Id="rId1" Type="http://schemas.openxmlformats.org/officeDocument/2006/relationships/hyperlink" Target="https://vn.investing.com/commodities/metallurgical-coke-future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4"/>
  <sheetViews>
    <sheetView zoomScale="115" zoomScaleNormal="115" workbookViewId="0">
      <selection activeCell="B59" sqref="B59"/>
    </sheetView>
  </sheetViews>
  <sheetFormatPr defaultColWidth="14.3984375" defaultRowHeight="15" customHeight="1" x14ac:dyDescent="0.45"/>
  <cols>
    <col min="1" max="1" width="17.265625" customWidth="1"/>
    <col min="2" max="3" width="25.9296875" customWidth="1"/>
    <col min="4" max="4" width="17.59765625" customWidth="1"/>
    <col min="5" max="6" width="18.86328125" customWidth="1"/>
    <col min="7" max="7" width="21" customWidth="1"/>
    <col min="8" max="25" width="8.73046875" customWidth="1"/>
  </cols>
  <sheetData>
    <row r="1" spans="1:7" ht="14.25" customHeight="1" x14ac:dyDescent="0.45">
      <c r="A1" s="4" t="s">
        <v>25</v>
      </c>
    </row>
    <row r="2" spans="1:7" ht="14.25" customHeight="1" x14ac:dyDescent="0.45">
      <c r="A2" s="4" t="s">
        <v>26</v>
      </c>
    </row>
    <row r="3" spans="1:7" ht="14.25" customHeight="1" x14ac:dyDescent="0.45">
      <c r="A3" s="4" t="s">
        <v>27</v>
      </c>
    </row>
    <row r="4" spans="1:7" ht="14.25" customHeight="1" x14ac:dyDescent="0.45">
      <c r="A4" s="4" t="s">
        <v>28</v>
      </c>
    </row>
    <row r="5" spans="1:7" ht="14.25" customHeight="1" x14ac:dyDescent="0.45">
      <c r="A5" s="4" t="s">
        <v>79</v>
      </c>
    </row>
    <row r="6" spans="1:7" ht="14.25" customHeight="1" x14ac:dyDescent="0.45">
      <c r="A6" s="4"/>
    </row>
    <row r="7" spans="1:7" ht="14.25" customHeight="1" x14ac:dyDescent="0.45"/>
    <row r="8" spans="1:7" ht="14.25" customHeight="1" x14ac:dyDescent="0.45">
      <c r="A8" t="s">
        <v>140</v>
      </c>
    </row>
    <row r="9" spans="1:7" ht="14.25" customHeight="1" x14ac:dyDescent="0.45">
      <c r="A9" s="4" t="s">
        <v>68</v>
      </c>
    </row>
    <row r="10" spans="1:7" ht="14.25" customHeight="1" x14ac:dyDescent="0.45">
      <c r="B10" s="4" t="s">
        <v>0</v>
      </c>
      <c r="C10" s="4" t="s">
        <v>4</v>
      </c>
      <c r="D10" s="4" t="s">
        <v>91</v>
      </c>
      <c r="E10" s="4" t="s">
        <v>7</v>
      </c>
      <c r="G10" s="4" t="s">
        <v>78</v>
      </c>
    </row>
    <row r="11" spans="1:7" ht="14.25" customHeight="1" x14ac:dyDescent="0.45">
      <c r="A11" s="4" t="s">
        <v>69</v>
      </c>
      <c r="B11">
        <v>1285178</v>
      </c>
      <c r="C11">
        <v>450975</v>
      </c>
      <c r="D11">
        <f t="shared" ref="D11:D18" si="0">E11-C11-B11</f>
        <v>425847</v>
      </c>
      <c r="E11">
        <v>2162000</v>
      </c>
      <c r="G11">
        <v>69259</v>
      </c>
    </row>
    <row r="12" spans="1:7" ht="14.25" customHeight="1" x14ac:dyDescent="0.45">
      <c r="A12" s="4" t="s">
        <v>70</v>
      </c>
      <c r="B12">
        <v>1121423</v>
      </c>
      <c r="C12">
        <v>747163</v>
      </c>
      <c r="D12">
        <f t="shared" si="0"/>
        <v>318414</v>
      </c>
      <c r="E12">
        <v>2187000</v>
      </c>
      <c r="G12">
        <v>115600</v>
      </c>
    </row>
    <row r="13" spans="1:7" ht="14.25" customHeight="1" x14ac:dyDescent="0.45">
      <c r="A13" s="4" t="s">
        <v>71</v>
      </c>
      <c r="B13">
        <v>1152894</v>
      </c>
      <c r="C13">
        <v>610125</v>
      </c>
      <c r="D13">
        <f t="shared" si="0"/>
        <v>-73019</v>
      </c>
      <c r="E13">
        <v>1690000</v>
      </c>
      <c r="G13">
        <v>22000</v>
      </c>
    </row>
    <row r="14" spans="1:7" ht="14.25" customHeight="1" x14ac:dyDescent="0.45">
      <c r="A14" s="4" t="s">
        <v>72</v>
      </c>
      <c r="B14">
        <v>703814</v>
      </c>
      <c r="C14">
        <v>408799</v>
      </c>
      <c r="D14">
        <f t="shared" si="0"/>
        <v>226387</v>
      </c>
      <c r="E14">
        <v>1339000</v>
      </c>
      <c r="G14">
        <v>82000</v>
      </c>
    </row>
    <row r="15" spans="1:7" ht="14.25" customHeight="1" x14ac:dyDescent="0.45">
      <c r="A15" s="4" t="s">
        <v>73</v>
      </c>
      <c r="B15">
        <v>875720</v>
      </c>
      <c r="C15">
        <v>546292</v>
      </c>
      <c r="D15">
        <f t="shared" si="0"/>
        <v>-174012</v>
      </c>
      <c r="E15">
        <v>1248000</v>
      </c>
      <c r="G15">
        <v>27000</v>
      </c>
    </row>
    <row r="16" spans="1:7" ht="14.25" customHeight="1" x14ac:dyDescent="0.45">
      <c r="A16" s="4" t="s">
        <v>74</v>
      </c>
      <c r="B16">
        <v>731368</v>
      </c>
      <c r="C16">
        <v>770839</v>
      </c>
      <c r="D16">
        <f t="shared" si="0"/>
        <v>107793</v>
      </c>
      <c r="E16">
        <v>1610000</v>
      </c>
      <c r="G16">
        <v>10000</v>
      </c>
    </row>
    <row r="17" spans="1:7" ht="14.25" customHeight="1" x14ac:dyDescent="0.45">
      <c r="A17" s="4" t="s">
        <v>75</v>
      </c>
      <c r="B17">
        <v>1053113</v>
      </c>
      <c r="C17">
        <v>776858</v>
      </c>
      <c r="D17">
        <f t="shared" si="0"/>
        <v>121029</v>
      </c>
      <c r="E17">
        <v>1951000</v>
      </c>
      <c r="G17">
        <v>24000</v>
      </c>
    </row>
    <row r="18" spans="1:7" ht="14.25" customHeight="1" x14ac:dyDescent="0.45">
      <c r="A18" s="4" t="s">
        <v>76</v>
      </c>
      <c r="B18">
        <v>1051338</v>
      </c>
      <c r="C18">
        <v>553069</v>
      </c>
      <c r="D18">
        <f t="shared" si="0"/>
        <v>285593</v>
      </c>
      <c r="E18">
        <v>1890000</v>
      </c>
      <c r="G18">
        <v>79000</v>
      </c>
    </row>
    <row r="19" spans="1:7" ht="14.25" customHeight="1" x14ac:dyDescent="0.45">
      <c r="A19" s="4" t="s">
        <v>103</v>
      </c>
      <c r="B19" s="20">
        <f>SUM(B15:B18)</f>
        <v>3711539</v>
      </c>
      <c r="C19" s="20">
        <f>SUM(C15:C18)</f>
        <v>2647058</v>
      </c>
      <c r="D19" s="20">
        <f>SUM(D15:D18)</f>
        <v>340403</v>
      </c>
      <c r="E19" s="20">
        <f>SUM(E15:E18)</f>
        <v>6699000</v>
      </c>
    </row>
    <row r="20" spans="1:7" ht="14.25" hidden="1" customHeight="1" x14ac:dyDescent="0.45">
      <c r="A20" s="4" t="s">
        <v>82</v>
      </c>
      <c r="B20">
        <v>1.3</v>
      </c>
      <c r="C20">
        <v>1.3</v>
      </c>
      <c r="D20">
        <v>1</v>
      </c>
      <c r="E20">
        <v>1</v>
      </c>
    </row>
    <row r="21" spans="1:7" ht="14.25" hidden="1" customHeight="1" x14ac:dyDescent="0.45">
      <c r="A21" s="4" t="s">
        <v>105</v>
      </c>
      <c r="B21" s="24">
        <f>B19*B20</f>
        <v>4825000.7</v>
      </c>
      <c r="C21" s="24">
        <f t="shared" ref="C21:E21" si="1">C19*C20</f>
        <v>3441175.4</v>
      </c>
      <c r="D21" s="24">
        <f t="shared" si="1"/>
        <v>340403</v>
      </c>
      <c r="E21" s="24">
        <f t="shared" si="1"/>
        <v>6699000</v>
      </c>
    </row>
    <row r="22" spans="1:7" ht="14.25" customHeight="1" x14ac:dyDescent="0.45">
      <c r="A22" s="4" t="s">
        <v>30</v>
      </c>
      <c r="B22" s="27">
        <f>$E22/SUM($B$21:$D$21)*B$21</f>
        <v>39421224968266.32</v>
      </c>
      <c r="C22" s="27">
        <f>$E22/SUM($B$21:$D$21)*C$21</f>
        <v>28115094283543.594</v>
      </c>
      <c r="D22" s="27">
        <f>$E22/SUM($B$21:$D$21)*D$21</f>
        <v>2781160890375.1577</v>
      </c>
      <c r="E22" s="26">
        <f>B37</f>
        <v>70317480142185.07</v>
      </c>
    </row>
    <row r="23" spans="1:7" ht="14.25" customHeight="1" x14ac:dyDescent="0.45">
      <c r="A23" s="4" t="s">
        <v>31</v>
      </c>
      <c r="B23" s="27">
        <f t="shared" ref="B23:D25" si="2">$E23/SUM($B$21:$D$21)*B$21</f>
        <v>2334974928901.0557</v>
      </c>
      <c r="C23" s="27">
        <f t="shared" si="2"/>
        <v>1665296812278.4026</v>
      </c>
      <c r="D23" s="27">
        <f t="shared" si="2"/>
        <v>164732094385.54196</v>
      </c>
      <c r="E23" s="26">
        <v>4165003835565</v>
      </c>
      <c r="F23" s="4"/>
      <c r="G23" s="26"/>
    </row>
    <row r="24" spans="1:7" ht="14.25" hidden="1" customHeight="1" x14ac:dyDescent="0.45">
      <c r="A24" s="4"/>
      <c r="B24" s="27">
        <f>SUM(B22:B23)</f>
        <v>41756199897167.375</v>
      </c>
      <c r="C24" s="27">
        <f>SUM(C22:C23)</f>
        <v>29780391095821.996</v>
      </c>
      <c r="D24" s="27">
        <f t="shared" ref="D24:E24" si="3">SUM(D22:D23)</f>
        <v>2945892984760.6997</v>
      </c>
      <c r="E24" s="27">
        <f t="shared" si="3"/>
        <v>74482483977750.063</v>
      </c>
      <c r="F24" s="27">
        <f>SUM(B24:D24)</f>
        <v>74482483977750.078</v>
      </c>
      <c r="G24" s="26"/>
    </row>
    <row r="25" spans="1:7" ht="14.25" customHeight="1" x14ac:dyDescent="0.45">
      <c r="A25" s="4" t="s">
        <v>33</v>
      </c>
      <c r="B25" s="27">
        <f t="shared" si="2"/>
        <v>10587209011359.324</v>
      </c>
      <c r="C25" s="27">
        <f t="shared" si="2"/>
        <v>7550764335546.7334</v>
      </c>
      <c r="D25" s="27">
        <f t="shared" si="2"/>
        <v>746925841708.94482</v>
      </c>
      <c r="E25" s="26">
        <f>6761933539397+8584209924182+3538755725036</f>
        <v>18884899188615</v>
      </c>
    </row>
    <row r="26" spans="1:7" ht="14.25" customHeight="1" x14ac:dyDescent="0.45">
      <c r="A26" s="4" t="s">
        <v>84</v>
      </c>
    </row>
    <row r="27" spans="1:7" ht="14.25" customHeight="1" x14ac:dyDescent="0.45"/>
    <row r="28" spans="1:7" ht="14.25" customHeight="1" x14ac:dyDescent="0.45"/>
    <row r="29" spans="1:7" ht="14.25" customHeight="1" x14ac:dyDescent="0.45"/>
    <row r="30" spans="1:7" ht="14.25" customHeight="1" x14ac:dyDescent="0.45">
      <c r="A30" s="4" t="s">
        <v>85</v>
      </c>
    </row>
    <row r="31" spans="1:7" ht="14.25" customHeight="1" x14ac:dyDescent="0.45">
      <c r="B31" s="4" t="s">
        <v>86</v>
      </c>
      <c r="C31" s="4" t="s">
        <v>4</v>
      </c>
      <c r="D31" s="4" t="s">
        <v>90</v>
      </c>
      <c r="E31" s="4" t="s">
        <v>2</v>
      </c>
      <c r="F31" s="4" t="s">
        <v>6</v>
      </c>
      <c r="G31" s="4"/>
    </row>
    <row r="32" spans="1:7" ht="14.25" customHeight="1" x14ac:dyDescent="0.45">
      <c r="A32" s="4" t="s">
        <v>34</v>
      </c>
      <c r="B32">
        <f>SUM(HPG!B16:B27)</f>
        <v>3711539</v>
      </c>
      <c r="C32">
        <f>SUM((HPG!T16:T27))</f>
        <v>2647058</v>
      </c>
      <c r="D32">
        <f>SUM(G15:G18)</f>
        <v>140000</v>
      </c>
      <c r="E32">
        <f>SUM(HPG!L16:L27)</f>
        <v>683680</v>
      </c>
      <c r="F32">
        <f>SUM(HPG!AN16:AN27)</f>
        <v>337560</v>
      </c>
    </row>
    <row r="33" spans="1:8" ht="14.25" customHeight="1" x14ac:dyDescent="0.45">
      <c r="A33" s="4" t="s">
        <v>101</v>
      </c>
      <c r="B33">
        <v>1.3</v>
      </c>
      <c r="C33">
        <v>1.3</v>
      </c>
      <c r="D33">
        <v>1</v>
      </c>
      <c r="E33">
        <v>1.43</v>
      </c>
      <c r="F33">
        <v>1.43</v>
      </c>
    </row>
    <row r="34" spans="1:8" ht="14.25" customHeight="1" x14ac:dyDescent="0.45">
      <c r="A34" s="4" t="s">
        <v>49</v>
      </c>
      <c r="B34" s="24">
        <f>B32*B33</f>
        <v>4825000.7</v>
      </c>
      <c r="C34" s="24">
        <f t="shared" ref="C34:F34" si="4">C32*C33</f>
        <v>3441175.4</v>
      </c>
      <c r="D34" s="24">
        <f t="shared" si="4"/>
        <v>140000</v>
      </c>
      <c r="E34" s="24">
        <f t="shared" si="4"/>
        <v>977662.39999999991</v>
      </c>
      <c r="F34" s="24">
        <f t="shared" si="4"/>
        <v>482710.8</v>
      </c>
      <c r="G34" s="24"/>
      <c r="H34" s="24"/>
    </row>
    <row r="35" spans="1:8" ht="14.25" customHeight="1" x14ac:dyDescent="0.45"/>
    <row r="36" spans="1:8" ht="14.25" customHeight="1" x14ac:dyDescent="0.45">
      <c r="A36" s="4" t="s">
        <v>30</v>
      </c>
      <c r="B36" s="26">
        <v>82533470179698</v>
      </c>
      <c r="C36" s="4" t="s">
        <v>88</v>
      </c>
    </row>
    <row r="37" spans="1:8" ht="14.25" customHeight="1" x14ac:dyDescent="0.45">
      <c r="A37" s="4" t="s">
        <v>30</v>
      </c>
      <c r="B37" s="26">
        <f>B36/SUM(B34:F34)*SUM(B34:D34)</f>
        <v>70317480142185.07</v>
      </c>
      <c r="C37" s="4" t="s">
        <v>89</v>
      </c>
    </row>
    <row r="38" spans="1:8" ht="14.25" customHeight="1" x14ac:dyDescent="0.45">
      <c r="A38" s="4" t="s">
        <v>92</v>
      </c>
      <c r="B38" s="26">
        <f>B36-B37</f>
        <v>12215990037512.93</v>
      </c>
    </row>
    <row r="39" spans="1:8" ht="14.25" customHeight="1" x14ac:dyDescent="0.45"/>
    <row r="40" spans="1:8" ht="14.25" customHeight="1" x14ac:dyDescent="0.45">
      <c r="A40" t="s">
        <v>102</v>
      </c>
    </row>
    <row r="41" spans="1:8" ht="14.25" customHeight="1" x14ac:dyDescent="0.45">
      <c r="A41" s="4" t="s">
        <v>112</v>
      </c>
      <c r="C41">
        <v>24055</v>
      </c>
    </row>
    <row r="42" spans="1:8" ht="14.25" customHeight="1" x14ac:dyDescent="0.45">
      <c r="A42" t="s">
        <v>104</v>
      </c>
      <c r="C42">
        <f>D19</f>
        <v>340403</v>
      </c>
    </row>
    <row r="43" spans="1:8" ht="14.25" customHeight="1" x14ac:dyDescent="0.45">
      <c r="A43" t="s">
        <v>30</v>
      </c>
      <c r="C43" s="26">
        <f>D22</f>
        <v>2781160890375.1577</v>
      </c>
    </row>
    <row r="44" spans="1:8" ht="14.25" customHeight="1" x14ac:dyDescent="0.45">
      <c r="A44" t="s">
        <v>106</v>
      </c>
      <c r="C44" s="26">
        <f>C43/C42</f>
        <v>8170200.8806478139</v>
      </c>
    </row>
    <row r="45" spans="1:8" ht="14.25" customHeight="1" x14ac:dyDescent="0.45">
      <c r="A45" s="4" t="s">
        <v>107</v>
      </c>
    </row>
    <row r="46" spans="1:8" ht="14.25" customHeight="1" x14ac:dyDescent="0.45">
      <c r="A46" s="4" t="s">
        <v>108</v>
      </c>
      <c r="B46">
        <v>107</v>
      </c>
      <c r="C46">
        <f>B46*1.37*C41</f>
        <v>3526222.45</v>
      </c>
    </row>
    <row r="47" spans="1:8" ht="14.25" customHeight="1" x14ac:dyDescent="0.45">
      <c r="A47" s="4" t="s">
        <v>109</v>
      </c>
      <c r="B47">
        <v>205</v>
      </c>
      <c r="C47">
        <f>B47*0.78*C41</f>
        <v>3846394.5</v>
      </c>
    </row>
    <row r="48" spans="1:8" ht="14.25" customHeight="1" x14ac:dyDescent="0.45">
      <c r="A48" s="4" t="s">
        <v>110</v>
      </c>
      <c r="B48">
        <v>42</v>
      </c>
      <c r="C48">
        <f>0.27*B48*C41</f>
        <v>272783.7</v>
      </c>
    </row>
    <row r="49" spans="1:7" ht="14.25" customHeight="1" x14ac:dyDescent="0.45">
      <c r="A49" s="4" t="s">
        <v>111</v>
      </c>
      <c r="B49" s="24">
        <v>182</v>
      </c>
      <c r="C49" s="26">
        <f>C44-SUM(C46:C48)</f>
        <v>524800.23064781353</v>
      </c>
    </row>
    <row r="50" spans="1:7" ht="14.25" customHeight="1" x14ac:dyDescent="0.45"/>
    <row r="51" spans="1:7" ht="14.25" customHeight="1" x14ac:dyDescent="0.45">
      <c r="C51" s="28">
        <f>C44-SUM(C46:C49)</f>
        <v>0</v>
      </c>
    </row>
    <row r="52" spans="1:7" ht="14.25" customHeight="1" x14ac:dyDescent="0.45"/>
    <row r="53" spans="1:7" ht="14.25" customHeight="1" x14ac:dyDescent="0.45">
      <c r="A53" s="20" t="s">
        <v>31</v>
      </c>
    </row>
    <row r="54" spans="1:7" ht="14.25" customHeight="1" x14ac:dyDescent="0.45">
      <c r="A54" s="4" t="s">
        <v>115</v>
      </c>
    </row>
    <row r="55" spans="1:7" ht="14.25" customHeight="1" x14ac:dyDescent="0.45">
      <c r="A55" s="4" t="s">
        <v>116</v>
      </c>
    </row>
    <row r="56" spans="1:7" ht="14.25" customHeight="1" x14ac:dyDescent="0.45">
      <c r="A56" s="4" t="s">
        <v>117</v>
      </c>
    </row>
    <row r="57" spans="1:7" ht="14.25" customHeight="1" x14ac:dyDescent="0.45"/>
    <row r="58" spans="1:7" ht="14.25" customHeight="1" x14ac:dyDescent="0.45">
      <c r="A58" s="20" t="s">
        <v>33</v>
      </c>
    </row>
    <row r="59" spans="1:7" ht="14.25" customHeight="1" x14ac:dyDescent="0.45">
      <c r="A59" s="4" t="s">
        <v>121</v>
      </c>
      <c r="B59" s="29">
        <v>6761933539397</v>
      </c>
    </row>
    <row r="60" spans="1:7" ht="14.25" customHeight="1" x14ac:dyDescent="0.45">
      <c r="A60" s="4" t="s">
        <v>122</v>
      </c>
      <c r="B60" s="29">
        <v>8584209924182</v>
      </c>
    </row>
    <row r="61" spans="1:7" ht="14.25" customHeight="1" x14ac:dyDescent="0.45">
      <c r="A61" s="4" t="s">
        <v>123</v>
      </c>
      <c r="B61" s="29">
        <v>3538755725036</v>
      </c>
    </row>
    <row r="62" spans="1:7" ht="14.25" customHeight="1" x14ac:dyDescent="0.45">
      <c r="E62">
        <v>34628367844950</v>
      </c>
      <c r="F62">
        <v>39308248804150.852</v>
      </c>
      <c r="G62">
        <v>50929491635070.484</v>
      </c>
    </row>
    <row r="63" spans="1:7" ht="14.25" customHeight="1" x14ac:dyDescent="0.45"/>
    <row r="64" spans="1:7" ht="14.25" customHeight="1" x14ac:dyDescent="0.45">
      <c r="B64">
        <v>2024</v>
      </c>
      <c r="C64">
        <v>2025</v>
      </c>
    </row>
    <row r="65" spans="1:7" ht="14.25" customHeight="1" x14ac:dyDescent="0.45">
      <c r="A65" s="4" t="s">
        <v>342</v>
      </c>
      <c r="B65" s="109">
        <v>34628367844950</v>
      </c>
      <c r="C65" s="109">
        <v>39308248804150.852</v>
      </c>
    </row>
    <row r="66" spans="1:7" ht="14.25" customHeight="1" x14ac:dyDescent="0.45">
      <c r="A66" s="4" t="s">
        <v>343</v>
      </c>
      <c r="B66" s="109">
        <v>39308248804150.852</v>
      </c>
      <c r="C66" s="109">
        <v>50929491635070.484</v>
      </c>
    </row>
    <row r="67" spans="1:7" ht="14.25" customHeight="1" x14ac:dyDescent="0.45">
      <c r="A67" s="4" t="s">
        <v>344</v>
      </c>
      <c r="B67" s="109">
        <f>('Dự toán Tiêu thụ, sản xuất'!V7+'Dự toán Tiêu thụ, sản xuất'!V17+'Dự toán Tiêu thụ, sản xuất'!V22)*10^6</f>
        <v>114769254519874.25</v>
      </c>
      <c r="C67" s="109">
        <f>('Dự toán Tiêu thụ, sản xuất'!AA7+'Dự toán Tiêu thụ, sản xuất'!AA17+'Dự toán Tiêu thụ, sản xuất'!AA22)*10^6</f>
        <v>163662288237285.72</v>
      </c>
    </row>
    <row r="68" spans="1:7" ht="14.25" customHeight="1" x14ac:dyDescent="0.45">
      <c r="A68" s="4" t="s">
        <v>345</v>
      </c>
      <c r="B68" s="109">
        <f>B67+B66-B65</f>
        <v>119449135479075.09</v>
      </c>
      <c r="C68" s="109">
        <f>C67+C66-C65</f>
        <v>175283531068205.34</v>
      </c>
    </row>
    <row r="69" spans="1:7" ht="14.25" customHeight="1" x14ac:dyDescent="0.45">
      <c r="A69" s="181" t="s">
        <v>346</v>
      </c>
      <c r="C69" s="109">
        <f>-'Định mức'!C19</f>
        <v>-23930353387761</v>
      </c>
      <c r="F69" t="s">
        <v>351</v>
      </c>
      <c r="G69" t="s">
        <v>352</v>
      </c>
    </row>
    <row r="70" spans="1:7" ht="14.25" customHeight="1" x14ac:dyDescent="0.45">
      <c r="A70" s="4" t="s">
        <v>347</v>
      </c>
      <c r="C70" s="109">
        <f>C68+C69</f>
        <v>151353177680444.34</v>
      </c>
      <c r="D70" t="s">
        <v>350</v>
      </c>
      <c r="E70">
        <f>46621/127750</f>
        <v>0.3649393346379648</v>
      </c>
    </row>
    <row r="71" spans="1:7" ht="14.25" customHeight="1" x14ac:dyDescent="0.45">
      <c r="A71" s="4" t="s">
        <v>348</v>
      </c>
      <c r="C71" s="109">
        <f>C70/F24*B24</f>
        <v>84851272470773.938</v>
      </c>
      <c r="D71" s="24">
        <f>C71/('Định mức'!D32+'Định mức'!D40)</f>
        <v>6538448.9457619665</v>
      </c>
      <c r="E71">
        <f>C66/C70</f>
        <v>0.33649436645855668</v>
      </c>
      <c r="F71">
        <f>D71*E70</f>
        <v>2386137.2078306745</v>
      </c>
      <c r="G71">
        <f>D71*$E$71</f>
        <v>2200151.2356257909</v>
      </c>
    </row>
    <row r="72" spans="1:7" ht="14.25" customHeight="1" x14ac:dyDescent="0.45">
      <c r="A72" s="4" t="s">
        <v>4</v>
      </c>
      <c r="C72" s="109">
        <f>C70/F24*(C24)</f>
        <v>60515661994644.789</v>
      </c>
      <c r="D72" s="24">
        <f>C72/('Định mức'!D35+'Định mức'!D41)</f>
        <v>4663201.3268541107</v>
      </c>
      <c r="F72">
        <f>D72*E70</f>
        <v>1701785.5895050138</v>
      </c>
      <c r="G72">
        <f t="shared" ref="G72:G73" si="5">D72*$E$71</f>
        <v>1569140.976148475</v>
      </c>
    </row>
    <row r="73" spans="1:7" ht="14.25" customHeight="1" x14ac:dyDescent="0.45">
      <c r="A73" s="4" t="s">
        <v>90</v>
      </c>
      <c r="C73" s="109">
        <f>C70-C71-C72</f>
        <v>5986243215025.6172</v>
      </c>
      <c r="D73" s="24">
        <f>C73/('Định mức'!D29+'Định mức'!D39)</f>
        <v>466515.72523826029</v>
      </c>
      <c r="F73">
        <f>D73*E70</f>
        <v>170249.9383665983</v>
      </c>
      <c r="G73">
        <f t="shared" si="5"/>
        <v>156979.91340700249</v>
      </c>
    </row>
    <row r="74" spans="1:7" ht="14.25" customHeight="1" x14ac:dyDescent="0.45"/>
    <row r="75" spans="1:7" ht="14.25" customHeight="1" x14ac:dyDescent="0.45"/>
    <row r="76" spans="1:7" ht="14.25" customHeight="1" x14ac:dyDescent="0.45"/>
    <row r="77" spans="1:7" ht="14.25" customHeight="1" x14ac:dyDescent="0.45"/>
    <row r="78" spans="1:7" ht="14.25" customHeight="1" x14ac:dyDescent="0.45"/>
    <row r="79" spans="1:7" ht="14.25" customHeight="1" x14ac:dyDescent="0.45"/>
    <row r="80" spans="1:7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</sheetData>
  <phoneticPr fontId="8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F388-0515-4C2E-8B9E-2E5B10CAAD93}">
  <dimension ref="A1:G41"/>
  <sheetViews>
    <sheetView zoomScale="69" zoomScaleNormal="55" workbookViewId="0">
      <selection activeCell="P25" sqref="P25"/>
    </sheetView>
  </sheetViews>
  <sheetFormatPr defaultRowHeight="14.25" x14ac:dyDescent="0.45"/>
  <cols>
    <col min="1" max="1" width="31.46484375" style="76" customWidth="1"/>
    <col min="2" max="4" width="20.46484375" customWidth="1"/>
    <col min="5" max="5" width="19.265625" customWidth="1"/>
    <col min="6" max="6" width="17" hidden="1" customWidth="1"/>
    <col min="7" max="7" width="21.9296875" customWidth="1"/>
  </cols>
  <sheetData>
    <row r="1" spans="1:7" ht="14.65" thickBot="1" x14ac:dyDescent="0.5">
      <c r="A1" s="90" t="s">
        <v>162</v>
      </c>
      <c r="B1" s="34">
        <v>2020</v>
      </c>
      <c r="C1" s="34">
        <v>2021</v>
      </c>
      <c r="D1" s="34">
        <v>2022</v>
      </c>
      <c r="E1" s="34">
        <v>2023</v>
      </c>
      <c r="F1" s="51">
        <v>2024</v>
      </c>
      <c r="G1" s="35">
        <v>2025</v>
      </c>
    </row>
    <row r="2" spans="1:7" x14ac:dyDescent="0.45">
      <c r="A2" s="91" t="s">
        <v>163</v>
      </c>
      <c r="B2" s="47"/>
      <c r="C2" s="47"/>
      <c r="D2" s="47"/>
      <c r="E2" s="47"/>
      <c r="F2" s="30"/>
      <c r="G2" s="48"/>
    </row>
    <row r="3" spans="1:7" ht="28.5" x14ac:dyDescent="0.45">
      <c r="A3" s="91" t="s">
        <v>165</v>
      </c>
      <c r="B3" s="84">
        <v>8126992675380</v>
      </c>
      <c r="C3" s="84">
        <v>18236152616078</v>
      </c>
      <c r="D3" s="84">
        <v>26268246676354</v>
      </c>
      <c r="E3" s="84">
        <v>22177303502481</v>
      </c>
      <c r="F3" s="30"/>
      <c r="G3" s="183">
        <f>SUM(G4:G6)</f>
        <v>18702173867573.25</v>
      </c>
    </row>
    <row r="4" spans="1:7" x14ac:dyDescent="0.45">
      <c r="A4" s="92" t="s">
        <v>166</v>
      </c>
      <c r="B4" s="30"/>
      <c r="C4" s="30"/>
      <c r="D4" s="30"/>
      <c r="E4" s="30"/>
      <c r="F4" s="30"/>
      <c r="G4" s="39"/>
    </row>
    <row r="5" spans="1:7" ht="28.5" x14ac:dyDescent="0.45">
      <c r="A5" s="92" t="s">
        <v>167</v>
      </c>
      <c r="B5" s="30"/>
      <c r="C5" s="30"/>
      <c r="D5" s="30"/>
      <c r="E5" s="30"/>
      <c r="F5" s="30"/>
      <c r="G5" s="39"/>
    </row>
    <row r="6" spans="1:7" x14ac:dyDescent="0.45">
      <c r="A6" s="92" t="s">
        <v>168</v>
      </c>
      <c r="B6" s="47">
        <v>8126992675380</v>
      </c>
      <c r="C6" s="47">
        <v>18236152616078</v>
      </c>
      <c r="D6" s="47">
        <v>26268246676354</v>
      </c>
      <c r="E6" s="47">
        <v>22177303502481</v>
      </c>
      <c r="F6" s="30"/>
      <c r="G6" s="48">
        <f>AVERAGE(B6:E6)</f>
        <v>18702173867573.25</v>
      </c>
    </row>
    <row r="7" spans="1:7" x14ac:dyDescent="0.45">
      <c r="A7" s="91" t="s">
        <v>169</v>
      </c>
      <c r="B7" s="84">
        <v>6124790460291</v>
      </c>
      <c r="C7" s="84">
        <v>7662680796645</v>
      </c>
      <c r="D7" s="84">
        <v>9892867373309</v>
      </c>
      <c r="E7" s="84">
        <v>10702136439996</v>
      </c>
      <c r="F7" s="30"/>
      <c r="G7" s="183">
        <f>G8+G10+G14+G16+G18+G20</f>
        <v>15798691131406.865</v>
      </c>
    </row>
    <row r="8" spans="1:7" x14ac:dyDescent="0.45">
      <c r="A8" s="92" t="s">
        <v>170</v>
      </c>
      <c r="B8" s="47">
        <v>3949486943250</v>
      </c>
      <c r="C8" s="47">
        <v>4973095672343</v>
      </c>
      <c r="D8" s="47">
        <v>2958587125337</v>
      </c>
      <c r="E8" s="47">
        <v>5999539831497</v>
      </c>
      <c r="F8" s="30"/>
      <c r="G8" s="48">
        <f>IS!G4/WC!G9</f>
        <v>6687138613616.209</v>
      </c>
    </row>
    <row r="9" spans="1:7" x14ac:dyDescent="0.45">
      <c r="A9" s="93" t="s">
        <v>317</v>
      </c>
      <c r="B9" s="68"/>
      <c r="C9" s="68">
        <f>IS!C4/((WC!C8+WC!B8)/2)</f>
        <v>33.550777040218463</v>
      </c>
      <c r="D9" s="68">
        <f>IS!D4/((WC!D8+WC!C8)/2)</f>
        <v>35.656815348690927</v>
      </c>
      <c r="E9" s="68">
        <f>IS!E4/((WC!E8+WC!D8)/2)</f>
        <v>26.557566881301408</v>
      </c>
      <c r="F9" s="30"/>
      <c r="G9" s="69">
        <v>30</v>
      </c>
    </row>
    <row r="10" spans="1:7" x14ac:dyDescent="0.45">
      <c r="A10" s="92" t="s">
        <v>171</v>
      </c>
      <c r="B10" s="47">
        <v>1303037835829</v>
      </c>
      <c r="C10" s="47">
        <v>1722371823278</v>
      </c>
      <c r="D10" s="47">
        <v>5366251939739</v>
      </c>
      <c r="E10" s="47">
        <v>2583940446585</v>
      </c>
      <c r="F10" s="30"/>
      <c r="G10" s="48">
        <f>IS!G5/WC!G11</f>
        <v>5801769846056.2002</v>
      </c>
    </row>
    <row r="11" spans="1:7" x14ac:dyDescent="0.45">
      <c r="A11" s="93" t="s">
        <v>324</v>
      </c>
      <c r="B11" s="68"/>
      <c r="C11" s="68">
        <f>IS!C5/((WC!C10+WC!B10)/2)</f>
        <v>71.773011049617423</v>
      </c>
      <c r="D11" s="68">
        <f>IS!D5/((WC!D10+WC!C10)/2)</f>
        <v>35.167855535339989</v>
      </c>
      <c r="E11" s="68">
        <f>IS!E5/((WC!E10+WC!D10)/2)</f>
        <v>26.669841947586168</v>
      </c>
      <c r="F11" s="30"/>
      <c r="G11" s="69">
        <v>30</v>
      </c>
    </row>
    <row r="12" spans="1:7" x14ac:dyDescent="0.45">
      <c r="A12" s="92" t="s">
        <v>172</v>
      </c>
      <c r="B12" s="30"/>
      <c r="C12" s="30"/>
      <c r="D12" s="30"/>
      <c r="E12" s="30"/>
      <c r="F12" s="30"/>
      <c r="G12" s="39"/>
    </row>
    <row r="13" spans="1:7" ht="28.5" x14ac:dyDescent="0.45">
      <c r="A13" s="92" t="s">
        <v>173</v>
      </c>
      <c r="B13" s="30"/>
      <c r="C13" s="30"/>
      <c r="D13" s="30"/>
      <c r="E13" s="30"/>
      <c r="F13" s="30"/>
      <c r="G13" s="39"/>
    </row>
    <row r="14" spans="1:7" x14ac:dyDescent="0.45">
      <c r="A14" s="92" t="s">
        <v>174</v>
      </c>
      <c r="B14" s="30"/>
      <c r="C14" s="47">
        <v>23521740500</v>
      </c>
      <c r="D14" s="47">
        <v>124200000000</v>
      </c>
      <c r="E14" s="47">
        <v>203600000000</v>
      </c>
      <c r="F14" s="30"/>
      <c r="G14" s="48">
        <f>IS!G4/G15</f>
        <v>334356930680.81049</v>
      </c>
    </row>
    <row r="15" spans="1:7" x14ac:dyDescent="0.45">
      <c r="A15" s="93" t="s">
        <v>319</v>
      </c>
      <c r="B15" s="67"/>
      <c r="C15" s="68">
        <f>IS!C4/((WC!C14+WC!B14)/2)</f>
        <v>12726.931493810587</v>
      </c>
      <c r="D15" s="68">
        <f>IS!D4/((WC!D14+WC!C14)/2)</f>
        <v>1914.5357207679529</v>
      </c>
      <c r="E15" s="68">
        <f>IS!E4/((WC!E14+WC!D14)/2)</f>
        <v>725.76588098629657</v>
      </c>
      <c r="F15" s="30"/>
      <c r="G15" s="69">
        <v>600</v>
      </c>
    </row>
    <row r="16" spans="1:7" x14ac:dyDescent="0.45">
      <c r="A16" s="92" t="s">
        <v>175</v>
      </c>
      <c r="B16" s="47">
        <v>910365502671</v>
      </c>
      <c r="C16" s="47">
        <v>981799066828</v>
      </c>
      <c r="D16" s="47">
        <v>1482978249031</v>
      </c>
      <c r="E16" s="47">
        <v>1961601875298</v>
      </c>
      <c r="F16" s="30"/>
      <c r="G16" s="48">
        <f>IS!G4/G17</f>
        <v>2907451571137.4824</v>
      </c>
    </row>
    <row r="17" spans="1:7" x14ac:dyDescent="0.45">
      <c r="A17" s="93" t="s">
        <v>319</v>
      </c>
      <c r="B17" s="67"/>
      <c r="C17" s="68">
        <f>IS!C4/((WC!C16+WC!B16)/2)</f>
        <v>158.21011807548709</v>
      </c>
      <c r="D17" s="68">
        <f>IS!D4/((WC!D16+WC!C16)/2)</f>
        <v>114.74405703977312</v>
      </c>
      <c r="E17" s="68">
        <f>IS!E4/((WC!E16+WC!D16)/2)</f>
        <v>69.066779462315978</v>
      </c>
      <c r="F17" s="30"/>
      <c r="G17" s="69">
        <v>69</v>
      </c>
    </row>
    <row r="18" spans="1:7" ht="28.5" x14ac:dyDescent="0.45">
      <c r="A18" s="92" t="s">
        <v>176</v>
      </c>
      <c r="B18" s="47">
        <v>39336197606</v>
      </c>
      <c r="C18" s="47">
        <v>39275168162</v>
      </c>
      <c r="D18" s="47">
        <v>41074336139</v>
      </c>
      <c r="E18" s="47">
        <v>46628415158</v>
      </c>
      <c r="F18" s="30"/>
      <c r="G18" s="48">
        <f>G8*G19</f>
        <v>66871386136.162094</v>
      </c>
    </row>
    <row r="19" spans="1:7" x14ac:dyDescent="0.45">
      <c r="A19" s="94" t="s">
        <v>320</v>
      </c>
      <c r="B19" s="85">
        <f>B18/B8</f>
        <v>9.9598246990609297E-3</v>
      </c>
      <c r="C19" s="85">
        <f t="shared" ref="C19:E19" si="0">C18/C8</f>
        <v>7.8975291749205558E-3</v>
      </c>
      <c r="D19" s="85">
        <f t="shared" si="0"/>
        <v>1.3883091624121564E-2</v>
      </c>
      <c r="E19" s="85">
        <f t="shared" si="0"/>
        <v>7.7719985978266801E-3</v>
      </c>
      <c r="F19" s="30"/>
      <c r="G19" s="194">
        <v>0.01</v>
      </c>
    </row>
    <row r="20" spans="1:7" x14ac:dyDescent="0.45">
      <c r="A20" s="92" t="s">
        <v>177</v>
      </c>
      <c r="B20" s="47">
        <v>1236376147</v>
      </c>
      <c r="C20" s="47">
        <v>1167661858</v>
      </c>
      <c r="D20" s="47">
        <v>1924395341</v>
      </c>
      <c r="E20" s="47">
        <v>82701774</v>
      </c>
      <c r="F20" s="30"/>
      <c r="G20" s="48">
        <f>AVERAGE(B20:E20)</f>
        <v>1102783780</v>
      </c>
    </row>
    <row r="21" spans="1:7" x14ac:dyDescent="0.45">
      <c r="A21" s="91" t="s">
        <v>178</v>
      </c>
      <c r="B21" s="84">
        <v>26286822229202</v>
      </c>
      <c r="C21" s="84">
        <v>42134493932210</v>
      </c>
      <c r="D21" s="84">
        <v>34491111096123</v>
      </c>
      <c r="E21" s="84">
        <v>34504487406261</v>
      </c>
      <c r="F21" s="30"/>
      <c r="G21" s="183">
        <f>G22+G24</f>
        <v>56426890599546.586</v>
      </c>
    </row>
    <row r="22" spans="1:7" x14ac:dyDescent="0.45">
      <c r="A22" s="92" t="s">
        <v>179</v>
      </c>
      <c r="B22" s="47">
        <v>26373360826788</v>
      </c>
      <c r="C22" s="47">
        <v>42370012405544</v>
      </c>
      <c r="D22" s="47">
        <v>35727277739296</v>
      </c>
      <c r="E22" s="47">
        <v>34628367844950</v>
      </c>
      <c r="F22" s="47"/>
      <c r="G22" s="48">
        <f>IS!G5/WC!G23</f>
        <v>56146159800543.867</v>
      </c>
    </row>
    <row r="23" spans="1:7" x14ac:dyDescent="0.45">
      <c r="A23" s="95" t="s">
        <v>321</v>
      </c>
      <c r="B23" s="86"/>
      <c r="C23" s="86">
        <f>IS!C5/((WC!C22+WC!B22)/2)</f>
        <v>3.1587446277742082</v>
      </c>
      <c r="D23" s="86">
        <f>IS!D5/((WC!D22+WC!C22)/2)</f>
        <v>3.1920658960102353</v>
      </c>
      <c r="E23" s="86">
        <f>IS!E5/((WC!E22+WC!D22)/2)</f>
        <v>3.0136938213760307</v>
      </c>
      <c r="F23" s="30"/>
      <c r="G23" s="195">
        <v>3.1</v>
      </c>
    </row>
    <row r="24" spans="1:7" x14ac:dyDescent="0.45">
      <c r="A24" s="92" t="s">
        <v>180</v>
      </c>
      <c r="B24" s="47">
        <v>86538597586</v>
      </c>
      <c r="C24" s="47">
        <v>235518473334</v>
      </c>
      <c r="D24" s="47">
        <v>1236166643173</v>
      </c>
      <c r="E24" s="47">
        <v>123880438689</v>
      </c>
      <c r="F24" s="30"/>
      <c r="G24" s="48">
        <f>G22*G25</f>
        <v>280730799002.71936</v>
      </c>
    </row>
    <row r="25" spans="1:7" x14ac:dyDescent="0.45">
      <c r="A25" s="93" t="s">
        <v>322</v>
      </c>
      <c r="B25" s="85">
        <f>B24/B22</f>
        <v>3.2812881966147013E-3</v>
      </c>
      <c r="C25" s="85">
        <f t="shared" ref="C25:E25" si="1">C24/C22</f>
        <v>5.5586123289211751E-3</v>
      </c>
      <c r="D25" s="85">
        <f t="shared" si="1"/>
        <v>3.4600079306164301E-2</v>
      </c>
      <c r="E25" s="85">
        <f t="shared" si="1"/>
        <v>3.5774264396081262E-3</v>
      </c>
      <c r="F25" s="30"/>
      <c r="G25" s="194">
        <v>5.0000000000000001E-3</v>
      </c>
    </row>
    <row r="26" spans="1:7" x14ac:dyDescent="0.45">
      <c r="A26" s="91" t="s">
        <v>181</v>
      </c>
      <c r="B26" s="84">
        <v>2512553533909</v>
      </c>
      <c r="C26" s="84">
        <v>3650156741241</v>
      </c>
      <c r="D26" s="84">
        <v>1537894659443</v>
      </c>
      <c r="E26" s="84">
        <v>3080510663421</v>
      </c>
      <c r="F26" s="30"/>
      <c r="G26" s="183">
        <f>IS!G4*WC!G27</f>
        <v>4012283168169.7256</v>
      </c>
    </row>
    <row r="27" spans="1:7" x14ac:dyDescent="0.45">
      <c r="A27" s="94" t="s">
        <v>323</v>
      </c>
      <c r="B27" s="85">
        <f>B26/IS!B4</f>
        <v>2.7880551034141068E-2</v>
      </c>
      <c r="C27" s="85">
        <f>C26/IS!C4</f>
        <v>2.4386436817854313E-2</v>
      </c>
      <c r="D27" s="85">
        <f>D26/IS!D4</f>
        <v>1.0875486528793032E-2</v>
      </c>
      <c r="E27" s="85">
        <f>E26/IS!E4</f>
        <v>2.5896866334289767E-2</v>
      </c>
      <c r="F27" s="30"/>
      <c r="G27" s="194">
        <v>0.02</v>
      </c>
    </row>
    <row r="28" spans="1:7" x14ac:dyDescent="0.45">
      <c r="A28" s="61" t="s">
        <v>213</v>
      </c>
      <c r="B28" s="84">
        <v>72291648082726</v>
      </c>
      <c r="C28" s="84">
        <v>87455796846810</v>
      </c>
      <c r="D28" s="84">
        <v>74222579892349</v>
      </c>
      <c r="E28" s="84">
        <v>84946167324422</v>
      </c>
      <c r="F28" s="30"/>
      <c r="G28" s="183"/>
    </row>
    <row r="29" spans="1:7" x14ac:dyDescent="0.45">
      <c r="A29" s="61" t="s">
        <v>214</v>
      </c>
      <c r="B29" s="84">
        <v>51975217447498</v>
      </c>
      <c r="C29" s="84">
        <v>73459315876441</v>
      </c>
      <c r="D29" s="84">
        <v>62385390680685</v>
      </c>
      <c r="E29" s="84">
        <v>71513492904733</v>
      </c>
      <c r="F29" s="30"/>
      <c r="G29" s="183"/>
    </row>
    <row r="30" spans="1:7" x14ac:dyDescent="0.45">
      <c r="A30" s="96" t="s">
        <v>215</v>
      </c>
      <c r="B30" s="47">
        <v>10915752723952</v>
      </c>
      <c r="C30" s="47">
        <v>23729142569420</v>
      </c>
      <c r="D30" s="47">
        <v>11107160795326</v>
      </c>
      <c r="E30" s="47">
        <v>12387496434147</v>
      </c>
      <c r="F30" s="30"/>
      <c r="G30" s="48">
        <f>IS!G5/WC!G31</f>
        <v>21756636922710.75</v>
      </c>
    </row>
    <row r="31" spans="1:7" x14ac:dyDescent="0.45">
      <c r="A31" s="97" t="s">
        <v>318</v>
      </c>
      <c r="B31" s="68"/>
      <c r="C31" s="68">
        <f>IS!C5/((WC!C30+WC!B30)/2)</f>
        <v>6.2676697116255422</v>
      </c>
      <c r="D31" s="68">
        <f>IS!D5/((WC!D30+WC!C30)/2)</f>
        <v>7.1560892621701298</v>
      </c>
      <c r="E31" s="68">
        <f>IS!E5/((WC!E30+WC!D30)/2)</f>
        <v>9.0246208882835433</v>
      </c>
      <c r="F31" s="30"/>
      <c r="G31" s="69">
        <v>8</v>
      </c>
    </row>
    <row r="32" spans="1:7" x14ac:dyDescent="0.45">
      <c r="A32" s="96" t="s">
        <v>216</v>
      </c>
      <c r="B32" s="47">
        <v>1257272765123</v>
      </c>
      <c r="C32" s="47">
        <v>788002603134</v>
      </c>
      <c r="D32" s="47">
        <v>860793139245</v>
      </c>
      <c r="E32" s="47">
        <v>741733890580</v>
      </c>
      <c r="F32" s="30"/>
      <c r="G32" s="48">
        <f>IS!G5/WC!G33</f>
        <v>1338869964474.5078</v>
      </c>
    </row>
    <row r="33" spans="1:7" x14ac:dyDescent="0.45">
      <c r="A33" s="97" t="s">
        <v>325</v>
      </c>
      <c r="B33" s="47"/>
      <c r="C33" s="68">
        <f>IS!C5/((WC!C32+WC!B32)/2)</f>
        <v>106.16798317859605</v>
      </c>
      <c r="D33" s="68">
        <f>IS!D5/((WC!D32+WC!C32)/2)</f>
        <v>151.19622766763345</v>
      </c>
      <c r="E33" s="68">
        <f>IS!E5/((WC!E32+WC!D32)/2)</f>
        <v>132.31001440226456</v>
      </c>
      <c r="F33" s="30"/>
      <c r="G33" s="69">
        <v>130</v>
      </c>
    </row>
    <row r="34" spans="1:7" x14ac:dyDescent="0.45">
      <c r="A34" s="96" t="s">
        <v>217</v>
      </c>
      <c r="B34" s="47">
        <v>548579261453</v>
      </c>
      <c r="C34" s="47">
        <v>796022241121</v>
      </c>
      <c r="D34" s="47">
        <v>648407591981</v>
      </c>
      <c r="E34" s="47">
        <v>945404457633</v>
      </c>
      <c r="F34" s="30"/>
      <c r="G34" s="48">
        <f>E34*IS!$G$2/IS!$E$2</f>
        <v>1575847739037.9023</v>
      </c>
    </row>
    <row r="35" spans="1:7" x14ac:dyDescent="0.45">
      <c r="A35" s="96" t="s">
        <v>218</v>
      </c>
      <c r="B35" s="47">
        <v>313099678402</v>
      </c>
      <c r="C35" s="47">
        <v>816457005628</v>
      </c>
      <c r="D35" s="47">
        <v>306208839467</v>
      </c>
      <c r="E35" s="47">
        <v>403391467732</v>
      </c>
      <c r="F35" s="30"/>
      <c r="G35" s="48">
        <f>E35*IS!$G$2/IS!$E$2</f>
        <v>672393204030.58801</v>
      </c>
    </row>
    <row r="36" spans="1:7" x14ac:dyDescent="0.45">
      <c r="A36" s="96" t="s">
        <v>219</v>
      </c>
      <c r="B36" s="47">
        <v>640129684182</v>
      </c>
      <c r="C36" s="47">
        <v>772615123352</v>
      </c>
      <c r="D36" s="47">
        <v>460508546638</v>
      </c>
      <c r="E36" s="47">
        <v>477102216071</v>
      </c>
      <c r="F36" s="30"/>
      <c r="G36" s="48">
        <f>E36*IS!$G$2/IS!$E$2</f>
        <v>795257989757.9856</v>
      </c>
    </row>
    <row r="37" spans="1:7" x14ac:dyDescent="0.45">
      <c r="A37" s="96" t="s">
        <v>222</v>
      </c>
      <c r="B37" s="47">
        <v>34564307818</v>
      </c>
      <c r="C37" s="47">
        <v>16951911160</v>
      </c>
      <c r="D37" s="47">
        <v>16974936888</v>
      </c>
      <c r="E37" s="47">
        <v>9979596501</v>
      </c>
      <c r="F37" s="30"/>
      <c r="G37" s="48">
        <f>E37*IS!$G$2/IS!$E$2</f>
        <v>16634493793.254644</v>
      </c>
    </row>
    <row r="38" spans="1:7" x14ac:dyDescent="0.45">
      <c r="A38" s="96" t="s">
        <v>223</v>
      </c>
      <c r="B38" s="47">
        <v>328061400351</v>
      </c>
      <c r="C38" s="47">
        <v>1047158508079</v>
      </c>
      <c r="D38" s="47">
        <v>418512269668</v>
      </c>
      <c r="E38" s="47">
        <v>182970590524</v>
      </c>
      <c r="F38" s="30"/>
      <c r="G38" s="48">
        <f>E38*IS!$G$2/IS!$E$2</f>
        <v>304984590520.73199</v>
      </c>
    </row>
    <row r="39" spans="1:7" x14ac:dyDescent="0.45">
      <c r="A39" s="96" t="s">
        <v>224</v>
      </c>
      <c r="B39" s="47">
        <v>36798465672104</v>
      </c>
      <c r="C39" s="47">
        <v>43747643082356</v>
      </c>
      <c r="D39" s="47">
        <v>46748670400471</v>
      </c>
      <c r="E39" s="47">
        <v>54981883180636</v>
      </c>
      <c r="F39" s="30"/>
      <c r="G39" s="48">
        <f>Debt!E2*10^9</f>
        <v>108614958267563.97</v>
      </c>
    </row>
    <row r="40" spans="1:7" x14ac:dyDescent="0.45">
      <c r="A40" s="96" t="s">
        <v>225</v>
      </c>
      <c r="B40" s="47">
        <v>5846534626</v>
      </c>
      <c r="C40" s="47">
        <v>4755735476</v>
      </c>
      <c r="D40" s="47">
        <v>5198833687</v>
      </c>
      <c r="E40" s="47">
        <v>8054106025</v>
      </c>
      <c r="F40" s="30"/>
      <c r="G40" s="48">
        <f>E40*IS!$G$2/IS!$E$2</f>
        <v>13424989343.973209</v>
      </c>
    </row>
    <row r="41" spans="1:7" ht="14.65" thickBot="1" x14ac:dyDescent="0.5">
      <c r="A41" s="98" t="s">
        <v>226</v>
      </c>
      <c r="B41" s="89">
        <v>1133445419487</v>
      </c>
      <c r="C41" s="89">
        <v>1740567096715</v>
      </c>
      <c r="D41" s="89">
        <v>1812955327314</v>
      </c>
      <c r="E41" s="89">
        <v>1375476964884</v>
      </c>
      <c r="F41" s="32"/>
      <c r="G41" s="182">
        <f>E41*IS!$G$2/IS!$E$2</f>
        <v>2292714242788.7661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8C38-CB86-4728-AF33-A0BC69399CAD}">
  <dimension ref="A1:N104"/>
  <sheetViews>
    <sheetView zoomScale="70" zoomScaleNormal="70" workbookViewId="0">
      <selection activeCell="J12" sqref="J12"/>
    </sheetView>
  </sheetViews>
  <sheetFormatPr defaultRowHeight="14.25" x14ac:dyDescent="0.45"/>
  <cols>
    <col min="1" max="1" width="50.86328125" customWidth="1"/>
    <col min="2" max="4" width="28" customWidth="1"/>
    <col min="5" max="5" width="23.86328125" customWidth="1"/>
    <col min="6" max="6" width="18.53125" hidden="1" customWidth="1"/>
    <col min="7" max="7" width="21.19921875" customWidth="1"/>
    <col min="8" max="12" width="18.46484375" customWidth="1"/>
  </cols>
  <sheetData>
    <row r="1" spans="1:14" x14ac:dyDescent="0.45">
      <c r="A1" s="78" t="s">
        <v>162</v>
      </c>
      <c r="B1" s="189">
        <v>2020</v>
      </c>
      <c r="C1" s="189">
        <v>2021</v>
      </c>
      <c r="D1" s="189">
        <v>2022</v>
      </c>
      <c r="E1" s="189">
        <v>2023</v>
      </c>
      <c r="F1" s="196">
        <v>2024</v>
      </c>
      <c r="G1" s="197">
        <v>2025</v>
      </c>
      <c r="H1" s="180"/>
      <c r="I1" s="180"/>
      <c r="J1" s="180"/>
      <c r="K1" s="180"/>
      <c r="L1" s="180"/>
      <c r="M1" s="30"/>
      <c r="N1" s="30"/>
    </row>
    <row r="2" spans="1:14" x14ac:dyDescent="0.45">
      <c r="A2" s="87" t="s">
        <v>163</v>
      </c>
      <c r="B2" s="84">
        <v>56747258197010</v>
      </c>
      <c r="C2" s="84">
        <v>94154859648304</v>
      </c>
      <c r="D2" s="84">
        <v>80514708725456</v>
      </c>
      <c r="E2" s="84">
        <v>82716439173043</v>
      </c>
      <c r="F2" s="103"/>
      <c r="G2" s="183">
        <f>G3+G4+G8+G9+G12</f>
        <v>103305298074783.58</v>
      </c>
      <c r="H2" s="30"/>
      <c r="I2" s="30"/>
      <c r="J2" s="30"/>
      <c r="K2" s="30"/>
      <c r="L2" s="30"/>
      <c r="M2" s="30"/>
      <c r="N2" s="30"/>
    </row>
    <row r="3" spans="1:14" x14ac:dyDescent="0.45">
      <c r="A3" s="87" t="s">
        <v>164</v>
      </c>
      <c r="B3" s="84">
        <v>13696099298228</v>
      </c>
      <c r="C3" s="84">
        <v>22471375562130</v>
      </c>
      <c r="D3" s="84">
        <v>8324588920227</v>
      </c>
      <c r="E3" s="84">
        <v>12252001160884</v>
      </c>
      <c r="F3" s="103"/>
      <c r="G3" s="183">
        <v>8365259308087.1563</v>
      </c>
      <c r="H3" s="30"/>
      <c r="I3" s="47"/>
      <c r="J3" s="30"/>
      <c r="K3" s="30"/>
      <c r="L3" s="30"/>
      <c r="M3" s="30"/>
      <c r="N3" s="30"/>
    </row>
    <row r="4" spans="1:14" x14ac:dyDescent="0.45">
      <c r="A4" s="87" t="s">
        <v>165</v>
      </c>
      <c r="B4" s="84">
        <v>8126992675380</v>
      </c>
      <c r="C4" s="84">
        <v>18236152616078</v>
      </c>
      <c r="D4" s="84">
        <v>26268246676354</v>
      </c>
      <c r="E4" s="84">
        <v>22177303502481</v>
      </c>
      <c r="F4" s="103"/>
      <c r="G4" s="183">
        <f>WC!G3</f>
        <v>18702173867573.25</v>
      </c>
      <c r="H4" s="30"/>
      <c r="I4" s="30"/>
      <c r="J4" s="30"/>
      <c r="K4" s="30"/>
      <c r="L4" s="30"/>
      <c r="M4" s="30"/>
      <c r="N4" s="30"/>
    </row>
    <row r="5" spans="1:14" x14ac:dyDescent="0.45">
      <c r="A5" s="88" t="s">
        <v>166</v>
      </c>
      <c r="B5" s="30"/>
      <c r="C5" s="30"/>
      <c r="D5" s="30"/>
      <c r="E5" s="30"/>
      <c r="F5" s="30"/>
      <c r="G5" s="39"/>
      <c r="H5" s="30"/>
      <c r="I5" s="30"/>
      <c r="J5" s="30"/>
      <c r="K5" s="30"/>
      <c r="L5" s="30"/>
      <c r="M5" s="30"/>
      <c r="N5" s="30"/>
    </row>
    <row r="6" spans="1:14" x14ac:dyDescent="0.45">
      <c r="A6" s="88" t="s">
        <v>167</v>
      </c>
      <c r="B6" s="30"/>
      <c r="C6" s="30"/>
      <c r="D6" s="30"/>
      <c r="E6" s="30"/>
      <c r="F6" s="30"/>
      <c r="G6" s="39"/>
      <c r="H6" s="30"/>
      <c r="I6" s="30"/>
      <c r="J6" s="30"/>
      <c r="K6" s="30"/>
      <c r="L6" s="30"/>
      <c r="M6" s="30"/>
      <c r="N6" s="30"/>
    </row>
    <row r="7" spans="1:14" x14ac:dyDescent="0.45">
      <c r="A7" s="88" t="s">
        <v>168</v>
      </c>
      <c r="B7" s="47">
        <v>8126992675380</v>
      </c>
      <c r="C7" s="47">
        <v>18236152616078</v>
      </c>
      <c r="D7" s="47">
        <v>26268246676354</v>
      </c>
      <c r="E7" s="47">
        <v>22177303502481</v>
      </c>
      <c r="F7" s="30"/>
      <c r="G7" s="48">
        <f>G4</f>
        <v>18702173867573.25</v>
      </c>
    </row>
    <row r="8" spans="1:14" x14ac:dyDescent="0.45">
      <c r="A8" s="87" t="s">
        <v>169</v>
      </c>
      <c r="B8" s="84">
        <v>6124790460291</v>
      </c>
      <c r="C8" s="84">
        <v>7662680796645</v>
      </c>
      <c r="D8" s="84">
        <v>9892867373309</v>
      </c>
      <c r="E8" s="84">
        <v>10702136439996</v>
      </c>
      <c r="F8" s="103"/>
      <c r="G8" s="183">
        <f>WC!G7</f>
        <v>15798691131406.865</v>
      </c>
    </row>
    <row r="9" spans="1:14" x14ac:dyDescent="0.45">
      <c r="A9" s="87" t="s">
        <v>178</v>
      </c>
      <c r="B9" s="84">
        <v>26286822229202</v>
      </c>
      <c r="C9" s="84">
        <v>42134493932210</v>
      </c>
      <c r="D9" s="84">
        <v>34491111096123</v>
      </c>
      <c r="E9" s="84">
        <v>34504487406261</v>
      </c>
      <c r="F9" s="103"/>
      <c r="G9" s="183">
        <f>WC!G21</f>
        <v>56426890599546.586</v>
      </c>
    </row>
    <row r="10" spans="1:14" x14ac:dyDescent="0.45">
      <c r="A10" s="88" t="s">
        <v>179</v>
      </c>
      <c r="B10" s="47">
        <v>26373360826788</v>
      </c>
      <c r="C10" s="47">
        <v>42370012405544</v>
      </c>
      <c r="D10" s="47">
        <v>35727277739296</v>
      </c>
      <c r="E10" s="47">
        <v>34628367844950</v>
      </c>
      <c r="F10" s="30"/>
      <c r="G10" s="48">
        <f>WC!G22</f>
        <v>56146159800543.867</v>
      </c>
    </row>
    <row r="11" spans="1:14" x14ac:dyDescent="0.45">
      <c r="A11" s="88" t="s">
        <v>180</v>
      </c>
      <c r="B11" s="47">
        <v>-86538597586</v>
      </c>
      <c r="C11" s="47">
        <v>-235518473334</v>
      </c>
      <c r="D11" s="47">
        <v>-1236166643173</v>
      </c>
      <c r="E11" s="47">
        <v>-123880438689</v>
      </c>
      <c r="F11" s="30"/>
      <c r="G11" s="48">
        <f>-WC!G24</f>
        <v>-280730799002.71936</v>
      </c>
    </row>
    <row r="12" spans="1:14" x14ac:dyDescent="0.45">
      <c r="A12" s="87" t="s">
        <v>181</v>
      </c>
      <c r="B12" s="84">
        <v>2512553533909</v>
      </c>
      <c r="C12" s="84">
        <v>3650156741241</v>
      </c>
      <c r="D12" s="84">
        <v>1537894659443</v>
      </c>
      <c r="E12" s="84">
        <v>3080510663421</v>
      </c>
      <c r="F12" s="103"/>
      <c r="G12" s="183">
        <f>WC!G26</f>
        <v>4012283168169.7256</v>
      </c>
    </row>
    <row r="13" spans="1:14" x14ac:dyDescent="0.45">
      <c r="A13" s="87" t="s">
        <v>182</v>
      </c>
      <c r="B13" s="84">
        <v>74764176191827</v>
      </c>
      <c r="C13" s="84">
        <v>84081562709945</v>
      </c>
      <c r="D13" s="84">
        <v>89820810782676</v>
      </c>
      <c r="E13" s="84">
        <v>105066147390758</v>
      </c>
      <c r="F13" s="103"/>
      <c r="G13" s="183">
        <f>G14+G22+G32+G35+G44</f>
        <v>167540551671615.19</v>
      </c>
    </row>
    <row r="14" spans="1:14" x14ac:dyDescent="0.45">
      <c r="A14" s="87" t="s">
        <v>183</v>
      </c>
      <c r="B14" s="84">
        <v>305165547431</v>
      </c>
      <c r="C14" s="84">
        <v>809234947969</v>
      </c>
      <c r="D14" s="84">
        <v>894484456379</v>
      </c>
      <c r="E14" s="84">
        <v>1880922130348</v>
      </c>
      <c r="F14" s="103"/>
      <c r="G14" s="183">
        <f>SUM(G15:G21)</f>
        <v>721328881599</v>
      </c>
    </row>
    <row r="15" spans="1:14" x14ac:dyDescent="0.45">
      <c r="A15" s="88" t="s">
        <v>184</v>
      </c>
      <c r="B15" s="30"/>
      <c r="C15" s="30"/>
      <c r="D15" s="30"/>
      <c r="E15" s="30"/>
      <c r="F15" s="30"/>
      <c r="G15" s="39"/>
    </row>
    <row r="16" spans="1:14" x14ac:dyDescent="0.45">
      <c r="A16" s="88" t="s">
        <v>185</v>
      </c>
      <c r="B16" s="30"/>
      <c r="C16" s="30"/>
      <c r="D16" s="30"/>
      <c r="E16" s="47">
        <v>1004491555731</v>
      </c>
      <c r="F16" s="30"/>
      <c r="G16" s="48"/>
    </row>
    <row r="17" spans="1:7" x14ac:dyDescent="0.45">
      <c r="A17" s="88" t="s">
        <v>186</v>
      </c>
      <c r="B17" s="30"/>
      <c r="C17" s="30"/>
      <c r="D17" s="30"/>
      <c r="E17" s="30"/>
      <c r="F17" s="30"/>
      <c r="G17" s="39"/>
    </row>
    <row r="18" spans="1:7" x14ac:dyDescent="0.45">
      <c r="A18" s="88" t="s">
        <v>187</v>
      </c>
      <c r="B18" s="30"/>
      <c r="C18" s="30"/>
      <c r="D18" s="30"/>
      <c r="E18" s="30"/>
      <c r="F18" s="30"/>
      <c r="G18" s="39"/>
    </row>
    <row r="19" spans="1:7" x14ac:dyDescent="0.45">
      <c r="A19" s="88" t="s">
        <v>188</v>
      </c>
      <c r="B19" s="47">
        <v>96007238800</v>
      </c>
      <c r="C19" s="47">
        <v>118401369280</v>
      </c>
      <c r="D19" s="47">
        <v>101693561714</v>
      </c>
      <c r="E19" s="47">
        <v>95351026613</v>
      </c>
      <c r="F19" s="30"/>
      <c r="G19" s="48">
        <f>AVERAGE(B19:E19)</f>
        <v>102863299101.75</v>
      </c>
    </row>
    <row r="20" spans="1:7" x14ac:dyDescent="0.45">
      <c r="A20" s="88" t="s">
        <v>189</v>
      </c>
      <c r="B20" s="47">
        <v>209158308631</v>
      </c>
      <c r="C20" s="47">
        <v>690833578689</v>
      </c>
      <c r="D20" s="47">
        <v>792790894665</v>
      </c>
      <c r="E20" s="47">
        <v>781079548004</v>
      </c>
      <c r="F20" s="30"/>
      <c r="G20" s="48">
        <f>AVERAGE(B20:E20)</f>
        <v>618465582497.25</v>
      </c>
    </row>
    <row r="21" spans="1:7" x14ac:dyDescent="0.45">
      <c r="A21" s="88" t="s">
        <v>190</v>
      </c>
      <c r="B21" s="30"/>
      <c r="C21" s="30"/>
      <c r="D21" s="30"/>
      <c r="E21" s="30"/>
      <c r="F21" s="30"/>
      <c r="G21" s="39"/>
    </row>
    <row r="22" spans="1:7" x14ac:dyDescent="0.45">
      <c r="A22" s="87" t="s">
        <v>191</v>
      </c>
      <c r="B22" s="84">
        <v>65561657180137</v>
      </c>
      <c r="C22" s="84">
        <v>69280841784004</v>
      </c>
      <c r="D22" s="84">
        <v>70832915657865</v>
      </c>
      <c r="E22" s="84">
        <v>71998370737871</v>
      </c>
      <c r="F22" s="103"/>
      <c r="G22" s="183">
        <f>G23+G29+G32+G35+G38+G44</f>
        <v>154599949114725.69</v>
      </c>
    </row>
    <row r="23" spans="1:7" x14ac:dyDescent="0.45">
      <c r="A23" s="102" t="s">
        <v>192</v>
      </c>
      <c r="B23" s="54">
        <v>65307819877543</v>
      </c>
      <c r="C23" s="54">
        <v>68744125939109</v>
      </c>
      <c r="D23" s="54">
        <v>70199153681536</v>
      </c>
      <c r="E23" s="54">
        <v>71787251586301</v>
      </c>
      <c r="F23" s="107"/>
      <c r="G23" s="55">
        <f>SUM(G24:G25)</f>
        <v>141971816870588.19</v>
      </c>
    </row>
    <row r="24" spans="1:7" x14ac:dyDescent="0.45">
      <c r="A24" s="102" t="s">
        <v>148</v>
      </c>
      <c r="B24" s="47">
        <v>82616601097978</v>
      </c>
      <c r="C24" s="47">
        <v>91026106008677</v>
      </c>
      <c r="D24" s="47">
        <v>98976369133844</v>
      </c>
      <c r="E24" s="47">
        <v>106923132503430</v>
      </c>
      <c r="F24" s="30"/>
      <c r="G24" s="48">
        <f>'Dự toán TSCĐ'!E11*10^9</f>
        <v>197558757299999.97</v>
      </c>
    </row>
    <row r="25" spans="1:7" x14ac:dyDescent="0.45">
      <c r="A25" s="102" t="s">
        <v>262</v>
      </c>
      <c r="B25" s="47">
        <v>-17308781220435</v>
      </c>
      <c r="C25" s="47">
        <v>-22281980069568</v>
      </c>
      <c r="D25" s="47">
        <v>-28777215452308</v>
      </c>
      <c r="E25" s="47">
        <v>-35135880917129</v>
      </c>
      <c r="F25" s="30"/>
      <c r="G25" s="48">
        <f>-'Dự toán TSCĐ'!E25*10^9</f>
        <v>-55586940429411.766</v>
      </c>
    </row>
    <row r="26" spans="1:7" x14ac:dyDescent="0.45">
      <c r="A26" s="88" t="s">
        <v>193</v>
      </c>
      <c r="B26" s="30"/>
      <c r="C26" s="30"/>
      <c r="D26" s="30"/>
      <c r="E26" s="30"/>
      <c r="F26" s="30"/>
      <c r="G26" s="39"/>
    </row>
    <row r="27" spans="1:7" x14ac:dyDescent="0.45">
      <c r="A27" s="102" t="s">
        <v>148</v>
      </c>
      <c r="B27" s="30"/>
      <c r="C27" s="30"/>
      <c r="D27" s="30"/>
      <c r="E27" s="30"/>
      <c r="F27" s="30"/>
      <c r="G27" s="39"/>
    </row>
    <row r="28" spans="1:7" x14ac:dyDescent="0.45">
      <c r="A28" s="102" t="s">
        <v>262</v>
      </c>
      <c r="B28" s="30"/>
      <c r="C28" s="30"/>
      <c r="D28" s="30"/>
      <c r="E28" s="30"/>
      <c r="F28" s="30"/>
      <c r="G28" s="39"/>
    </row>
    <row r="29" spans="1:7" x14ac:dyDescent="0.45">
      <c r="A29" s="102" t="s">
        <v>194</v>
      </c>
      <c r="B29" s="54">
        <v>253837302594</v>
      </c>
      <c r="C29" s="54">
        <v>536715844895</v>
      </c>
      <c r="D29" s="54">
        <v>633761976329</v>
      </c>
      <c r="E29" s="54">
        <v>211119151570</v>
      </c>
      <c r="F29" s="107"/>
      <c r="G29" s="55">
        <f>AVERAGE(B29:E29)</f>
        <v>408858568847</v>
      </c>
    </row>
    <row r="30" spans="1:7" x14ac:dyDescent="0.45">
      <c r="A30" s="102" t="s">
        <v>148</v>
      </c>
      <c r="B30" s="47">
        <v>342995279178</v>
      </c>
      <c r="C30" s="47">
        <v>618321659402</v>
      </c>
      <c r="D30" s="47">
        <v>744538077973</v>
      </c>
      <c r="E30" s="47">
        <v>357031331749</v>
      </c>
      <c r="F30" s="30"/>
      <c r="G30" s="48">
        <f>AVERAGE(B30:E30)</f>
        <v>515721587075.5</v>
      </c>
    </row>
    <row r="31" spans="1:7" x14ac:dyDescent="0.45">
      <c r="A31" s="102" t="s">
        <v>262</v>
      </c>
      <c r="B31" s="47">
        <v>-89157976584</v>
      </c>
      <c r="C31" s="47">
        <v>-81605814507</v>
      </c>
      <c r="D31" s="47">
        <v>-110776101644</v>
      </c>
      <c r="E31" s="47">
        <v>-145912180179</v>
      </c>
      <c r="F31" s="30"/>
      <c r="G31" s="48">
        <f>G29-G30</f>
        <v>-106863018228.5</v>
      </c>
    </row>
    <row r="32" spans="1:7" x14ac:dyDescent="0.45">
      <c r="A32" s="87" t="s">
        <v>195</v>
      </c>
      <c r="B32" s="84">
        <v>564296973801</v>
      </c>
      <c r="C32" s="84">
        <v>548210755123</v>
      </c>
      <c r="D32" s="84">
        <v>629111776960</v>
      </c>
      <c r="E32" s="84">
        <v>593920277320</v>
      </c>
      <c r="F32" s="103"/>
      <c r="G32" s="183">
        <f>E32</f>
        <v>593920277320</v>
      </c>
    </row>
    <row r="33" spans="1:7" x14ac:dyDescent="0.45">
      <c r="A33" s="102" t="s">
        <v>148</v>
      </c>
      <c r="B33" s="47">
        <v>681931844756</v>
      </c>
      <c r="C33" s="47">
        <v>698820145314</v>
      </c>
      <c r="D33" s="47">
        <v>859667015615</v>
      </c>
      <c r="E33" s="47">
        <v>859667015615</v>
      </c>
      <c r="F33" s="30"/>
      <c r="G33" s="48">
        <f>E33</f>
        <v>859667015615</v>
      </c>
    </row>
    <row r="34" spans="1:7" x14ac:dyDescent="0.45">
      <c r="A34" s="102" t="s">
        <v>262</v>
      </c>
      <c r="B34" s="47">
        <v>-117634870955</v>
      </c>
      <c r="C34" s="47">
        <v>-150609390191</v>
      </c>
      <c r="D34" s="47">
        <v>-230555238655</v>
      </c>
      <c r="E34" s="47">
        <v>-265746738295</v>
      </c>
      <c r="F34" s="30"/>
      <c r="G34" s="48">
        <f>E34</f>
        <v>-265746738295</v>
      </c>
    </row>
    <row r="35" spans="1:7" x14ac:dyDescent="0.45">
      <c r="A35" s="87" t="s">
        <v>196</v>
      </c>
      <c r="B35" s="84">
        <v>6247213506994</v>
      </c>
      <c r="C35" s="84">
        <v>9698699397713</v>
      </c>
      <c r="D35" s="84">
        <v>13363274912355</v>
      </c>
      <c r="E35" s="84">
        <v>26098929377501</v>
      </c>
      <c r="F35" s="103"/>
      <c r="G35" s="183">
        <f>SUM(G36:G37)</f>
        <v>8309012220340.499</v>
      </c>
    </row>
    <row r="36" spans="1:7" x14ac:dyDescent="0.45">
      <c r="A36" s="88" t="s">
        <v>197</v>
      </c>
      <c r="B36" s="47">
        <v>918470731946</v>
      </c>
      <c r="C36" s="47">
        <v>1409414047105</v>
      </c>
      <c r="D36" s="47">
        <v>28953988212</v>
      </c>
      <c r="E36" s="47">
        <v>46356652469</v>
      </c>
      <c r="F36" s="30"/>
      <c r="G36" s="48">
        <f>AVERAGE(D36:E36)</f>
        <v>37655320340.5</v>
      </c>
    </row>
    <row r="37" spans="1:7" x14ac:dyDescent="0.45">
      <c r="A37" s="88" t="s">
        <v>198</v>
      </c>
      <c r="B37" s="47">
        <v>5328742775048</v>
      </c>
      <c r="C37" s="47">
        <v>8289285350608</v>
      </c>
      <c r="D37" s="47">
        <v>13334320924143</v>
      </c>
      <c r="E37" s="47">
        <v>26052572725032</v>
      </c>
      <c r="F37" s="30"/>
      <c r="G37" s="48">
        <f>'Dự toán TSCĐ'!E5*10^9</f>
        <v>8271356899999.999</v>
      </c>
    </row>
    <row r="38" spans="1:7" x14ac:dyDescent="0.45">
      <c r="A38" s="88" t="s">
        <v>199</v>
      </c>
      <c r="B38" s="47">
        <v>171085206311</v>
      </c>
      <c r="C38" s="47">
        <v>6715955617</v>
      </c>
      <c r="D38" s="47">
        <v>700000000</v>
      </c>
      <c r="E38" s="47">
        <v>40000000000</v>
      </c>
      <c r="F38" s="30"/>
      <c r="G38" s="48"/>
    </row>
    <row r="39" spans="1:7" x14ac:dyDescent="0.45">
      <c r="A39" s="88" t="s">
        <v>200</v>
      </c>
      <c r="B39" s="30"/>
      <c r="C39" s="30"/>
      <c r="D39" s="30"/>
      <c r="E39" s="30"/>
      <c r="F39" s="30"/>
      <c r="G39" s="39"/>
    </row>
    <row r="40" spans="1:7" x14ac:dyDescent="0.45">
      <c r="A40" s="88" t="s">
        <v>201</v>
      </c>
      <c r="B40" s="47">
        <v>385206311</v>
      </c>
      <c r="C40" s="47">
        <v>6015955617</v>
      </c>
      <c r="D40" s="30"/>
      <c r="E40" s="30"/>
      <c r="F40" s="30"/>
      <c r="G40" s="39"/>
    </row>
    <row r="41" spans="1:7" x14ac:dyDescent="0.45">
      <c r="A41" s="88" t="s">
        <v>202</v>
      </c>
      <c r="B41" s="47">
        <v>700000000</v>
      </c>
      <c r="C41" s="47">
        <v>700000000</v>
      </c>
      <c r="D41" s="47">
        <v>700000000</v>
      </c>
      <c r="E41" s="30"/>
      <c r="F41" s="30"/>
      <c r="G41" s="39"/>
    </row>
    <row r="42" spans="1:7" x14ac:dyDescent="0.45">
      <c r="A42" s="88" t="s">
        <v>203</v>
      </c>
      <c r="B42" s="30"/>
      <c r="C42" s="30"/>
      <c r="D42" s="30"/>
      <c r="E42" s="30"/>
      <c r="F42" s="30"/>
      <c r="G42" s="39"/>
    </row>
    <row r="43" spans="1:7" x14ac:dyDescent="0.45">
      <c r="A43" s="88" t="s">
        <v>204</v>
      </c>
      <c r="B43" s="47">
        <v>170000000000</v>
      </c>
      <c r="C43" s="30"/>
      <c r="D43" s="30"/>
      <c r="E43" s="47">
        <v>40000000000</v>
      </c>
      <c r="F43" s="30"/>
      <c r="G43" s="48"/>
    </row>
    <row r="44" spans="1:7" x14ac:dyDescent="0.45">
      <c r="A44" s="87" t="s">
        <v>205</v>
      </c>
      <c r="B44" s="84">
        <v>1914757777153</v>
      </c>
      <c r="C44" s="84">
        <v>3737859869519</v>
      </c>
      <c r="D44" s="84">
        <v>4100323979117</v>
      </c>
      <c r="E44" s="84">
        <v>4454004867718</v>
      </c>
      <c r="F44" s="103"/>
      <c r="G44" s="183">
        <f>SUM(G45:G49)</f>
        <v>3316341177630</v>
      </c>
    </row>
    <row r="45" spans="1:7" x14ac:dyDescent="0.45">
      <c r="A45" s="88" t="s">
        <v>206</v>
      </c>
      <c r="B45" s="47">
        <v>1646094518464</v>
      </c>
      <c r="C45" s="47">
        <v>3171382188206</v>
      </c>
      <c r="D45" s="47">
        <v>3929243956403</v>
      </c>
      <c r="E45" s="47">
        <v>4215007972679</v>
      </c>
      <c r="F45" s="30"/>
      <c r="G45" s="48">
        <f>AVERAGE(B45:E45)</f>
        <v>3240432158938</v>
      </c>
    </row>
    <row r="46" spans="1:7" x14ac:dyDescent="0.45">
      <c r="A46" s="88" t="s">
        <v>207</v>
      </c>
      <c r="B46" s="47">
        <v>225553308024</v>
      </c>
      <c r="C46" s="47">
        <v>529355730648</v>
      </c>
      <c r="D46" s="47">
        <v>83071062718</v>
      </c>
      <c r="E46" s="47">
        <v>163087876347</v>
      </c>
      <c r="F46" s="30"/>
      <c r="G46" s="48"/>
    </row>
    <row r="47" spans="1:7" x14ac:dyDescent="0.45">
      <c r="A47" s="88" t="s">
        <v>208</v>
      </c>
      <c r="B47" s="30"/>
      <c r="C47" s="30"/>
      <c r="D47" s="30"/>
      <c r="E47" s="30"/>
      <c r="F47" s="30"/>
      <c r="G47" s="39"/>
    </row>
    <row r="48" spans="1:7" x14ac:dyDescent="0.45">
      <c r="A48" s="88" t="s">
        <v>209</v>
      </c>
      <c r="B48" s="30"/>
      <c r="C48" s="30"/>
      <c r="D48" s="30"/>
      <c r="E48" s="30"/>
      <c r="F48" s="30"/>
      <c r="G48" s="39"/>
    </row>
    <row r="49" spans="1:9" x14ac:dyDescent="0.45">
      <c r="A49" s="88" t="s">
        <v>210</v>
      </c>
      <c r="B49" s="47">
        <v>43109950665</v>
      </c>
      <c r="C49" s="47">
        <v>37121950665</v>
      </c>
      <c r="D49" s="47">
        <v>88008959996</v>
      </c>
      <c r="E49" s="47">
        <v>75909018692</v>
      </c>
      <c r="F49" s="30"/>
      <c r="G49" s="48">
        <f>E49</f>
        <v>75909018692</v>
      </c>
    </row>
    <row r="50" spans="1:9" x14ac:dyDescent="0.45">
      <c r="A50" s="87" t="s">
        <v>211</v>
      </c>
      <c r="B50" s="84">
        <v>131511434388837</v>
      </c>
      <c r="C50" s="84">
        <v>178236422358249</v>
      </c>
      <c r="D50" s="84">
        <v>170335519508132</v>
      </c>
      <c r="E50" s="84">
        <v>187782586563801</v>
      </c>
      <c r="F50" s="103"/>
      <c r="G50" s="183">
        <f>G2+G13</f>
        <v>270845849746398.75</v>
      </c>
      <c r="I50" s="26"/>
    </row>
    <row r="51" spans="1:9" x14ac:dyDescent="0.45">
      <c r="A51" s="87" t="s">
        <v>212</v>
      </c>
      <c r="B51" s="30"/>
      <c r="C51" s="30"/>
      <c r="D51" s="30"/>
      <c r="E51" s="30"/>
      <c r="F51" s="30"/>
      <c r="G51" s="39"/>
    </row>
    <row r="52" spans="1:9" x14ac:dyDescent="0.45">
      <c r="A52" s="87" t="s">
        <v>213</v>
      </c>
      <c r="B52" s="84">
        <v>72291648082726</v>
      </c>
      <c r="C52" s="84">
        <v>87455796846810</v>
      </c>
      <c r="D52" s="84">
        <v>74222579892349</v>
      </c>
      <c r="E52" s="84">
        <v>84946167324422</v>
      </c>
      <c r="F52" s="103"/>
      <c r="G52" s="183">
        <f>G53+G68</f>
        <v>139431299929304.75</v>
      </c>
    </row>
    <row r="53" spans="1:9" x14ac:dyDescent="0.45">
      <c r="A53" s="87" t="s">
        <v>214</v>
      </c>
      <c r="B53" s="84">
        <v>51975217447498</v>
      </c>
      <c r="C53" s="84">
        <v>73459315876441</v>
      </c>
      <c r="D53" s="84">
        <v>62385390680685</v>
      </c>
      <c r="E53" s="84">
        <v>71513492904733</v>
      </c>
      <c r="F53" s="103"/>
      <c r="G53" s="183">
        <f>SUM(G54:G67)</f>
        <v>137381722404022.42</v>
      </c>
    </row>
    <row r="54" spans="1:9" x14ac:dyDescent="0.45">
      <c r="A54" s="88" t="s">
        <v>215</v>
      </c>
      <c r="B54" s="47">
        <v>10915752723952</v>
      </c>
      <c r="C54" s="47">
        <v>23729142569420</v>
      </c>
      <c r="D54" s="47">
        <v>11107160795326</v>
      </c>
      <c r="E54" s="47">
        <v>12387496434147</v>
      </c>
      <c r="F54" s="30"/>
      <c r="G54" s="48">
        <f>WC!G30</f>
        <v>21756636922710.75</v>
      </c>
    </row>
    <row r="55" spans="1:9" x14ac:dyDescent="0.45">
      <c r="A55" s="88" t="s">
        <v>216</v>
      </c>
      <c r="B55" s="47">
        <v>1257272765123</v>
      </c>
      <c r="C55" s="47">
        <v>788002603134</v>
      </c>
      <c r="D55" s="47">
        <v>860793139245</v>
      </c>
      <c r="E55" s="47">
        <v>741733890580</v>
      </c>
      <c r="F55" s="30"/>
      <c r="G55" s="48">
        <f>WC!G32</f>
        <v>1338869964474.5078</v>
      </c>
    </row>
    <row r="56" spans="1:9" x14ac:dyDescent="0.45">
      <c r="A56" s="88" t="s">
        <v>217</v>
      </c>
      <c r="B56" s="47">
        <v>548579261453</v>
      </c>
      <c r="C56" s="47">
        <v>796022241121</v>
      </c>
      <c r="D56" s="47">
        <v>648407591981</v>
      </c>
      <c r="E56" s="47">
        <v>945404457633</v>
      </c>
      <c r="F56" s="30"/>
      <c r="G56" s="48">
        <f>WC!G34</f>
        <v>1575847739037.9023</v>
      </c>
    </row>
    <row r="57" spans="1:9" x14ac:dyDescent="0.45">
      <c r="A57" s="88" t="s">
        <v>218</v>
      </c>
      <c r="B57" s="47">
        <v>313099678402</v>
      </c>
      <c r="C57" s="47">
        <v>816457005628</v>
      </c>
      <c r="D57" s="47">
        <v>306208839467</v>
      </c>
      <c r="E57" s="47">
        <v>403391467732</v>
      </c>
      <c r="F57" s="30"/>
      <c r="G57" s="48">
        <f>WC!G35</f>
        <v>672393204030.58801</v>
      </c>
    </row>
    <row r="58" spans="1:9" x14ac:dyDescent="0.45">
      <c r="A58" s="88" t="s">
        <v>219</v>
      </c>
      <c r="B58" s="47">
        <v>640129684182</v>
      </c>
      <c r="C58" s="47">
        <v>772615123352</v>
      </c>
      <c r="D58" s="47">
        <v>460508546638</v>
      </c>
      <c r="E58" s="47">
        <v>477102216071</v>
      </c>
      <c r="F58" s="30"/>
      <c r="G58" s="48">
        <f>WC!G36</f>
        <v>795257989757.9856</v>
      </c>
    </row>
    <row r="59" spans="1:9" x14ac:dyDescent="0.45">
      <c r="A59" s="88" t="s">
        <v>220</v>
      </c>
      <c r="B59" s="30"/>
      <c r="C59" s="30"/>
      <c r="D59" s="30"/>
      <c r="E59" s="30"/>
      <c r="F59" s="30"/>
      <c r="G59" s="39"/>
    </row>
    <row r="60" spans="1:9" x14ac:dyDescent="0.45">
      <c r="A60" s="88" t="s">
        <v>221</v>
      </c>
      <c r="B60" s="30"/>
      <c r="C60" s="30"/>
      <c r="D60" s="30"/>
      <c r="E60" s="30"/>
      <c r="F60" s="30"/>
      <c r="G60" s="39"/>
    </row>
    <row r="61" spans="1:9" x14ac:dyDescent="0.45">
      <c r="A61" s="88" t="s">
        <v>222</v>
      </c>
      <c r="B61" s="47">
        <v>34564307818</v>
      </c>
      <c r="C61" s="47">
        <v>16951911160</v>
      </c>
      <c r="D61" s="47">
        <v>16974936888</v>
      </c>
      <c r="E61" s="47">
        <v>9979596501</v>
      </c>
      <c r="F61" s="30"/>
      <c r="G61" s="48">
        <f>WC!G37</f>
        <v>16634493793.254644</v>
      </c>
    </row>
    <row r="62" spans="1:9" x14ac:dyDescent="0.45">
      <c r="A62" s="88" t="s">
        <v>223</v>
      </c>
      <c r="B62" s="47">
        <v>328061400351</v>
      </c>
      <c r="C62" s="47">
        <v>1047158508079</v>
      </c>
      <c r="D62" s="47">
        <v>418512269668</v>
      </c>
      <c r="E62" s="47">
        <v>182970590524</v>
      </c>
      <c r="F62" s="30"/>
      <c r="G62" s="48">
        <f>WC!G38</f>
        <v>304984590520.73199</v>
      </c>
    </row>
    <row r="63" spans="1:9" x14ac:dyDescent="0.45">
      <c r="A63" s="88" t="s">
        <v>224</v>
      </c>
      <c r="B63" s="47">
        <v>36798465672104</v>
      </c>
      <c r="C63" s="47">
        <v>43747643082356</v>
      </c>
      <c r="D63" s="47">
        <v>46748670400471</v>
      </c>
      <c r="E63" s="47">
        <v>54981883180636</v>
      </c>
      <c r="F63" s="30"/>
      <c r="G63" s="48">
        <f>WC!G39</f>
        <v>108614958267563.97</v>
      </c>
    </row>
    <row r="64" spans="1:9" x14ac:dyDescent="0.45">
      <c r="A64" s="88" t="s">
        <v>225</v>
      </c>
      <c r="B64" s="47">
        <v>5846534626</v>
      </c>
      <c r="C64" s="47">
        <v>4755735476</v>
      </c>
      <c r="D64" s="47">
        <v>5198833687</v>
      </c>
      <c r="E64" s="47">
        <v>8054106025</v>
      </c>
      <c r="F64" s="30"/>
      <c r="G64" s="48">
        <f>WC!G40</f>
        <v>13424989343.973209</v>
      </c>
    </row>
    <row r="65" spans="1:7" x14ac:dyDescent="0.45">
      <c r="A65" s="88" t="s">
        <v>226</v>
      </c>
      <c r="B65" s="47">
        <v>1133445419487</v>
      </c>
      <c r="C65" s="47">
        <v>1740567096715</v>
      </c>
      <c r="D65" s="47">
        <v>1812955327314</v>
      </c>
      <c r="E65" s="47">
        <v>1375476964884</v>
      </c>
      <c r="F65" s="30"/>
      <c r="G65" s="48">
        <f>WC!G41</f>
        <v>2292714242788.7661</v>
      </c>
    </row>
    <row r="66" spans="1:7" x14ac:dyDescent="0.45">
      <c r="A66" s="88" t="s">
        <v>227</v>
      </c>
      <c r="B66" s="30"/>
      <c r="C66" s="30"/>
      <c r="D66" s="30"/>
      <c r="E66" s="30"/>
      <c r="F66" s="30"/>
      <c r="G66" s="39"/>
    </row>
    <row r="67" spans="1:7" x14ac:dyDescent="0.45">
      <c r="A67" s="88" t="s">
        <v>228</v>
      </c>
      <c r="B67" s="30"/>
      <c r="C67" s="30"/>
      <c r="D67" s="30"/>
      <c r="E67" s="30"/>
      <c r="F67" s="30"/>
      <c r="G67" s="39"/>
    </row>
    <row r="68" spans="1:7" x14ac:dyDescent="0.45">
      <c r="A68" s="87" t="s">
        <v>229</v>
      </c>
      <c r="B68" s="84">
        <v>20316430635228</v>
      </c>
      <c r="C68" s="84">
        <v>13996480970369</v>
      </c>
      <c r="D68" s="84">
        <v>11837189211664</v>
      </c>
      <c r="E68" s="84">
        <v>13432674419689</v>
      </c>
      <c r="F68" s="103"/>
      <c r="G68" s="183">
        <f>SUM(G69:G81)</f>
        <v>2049577525282.3337</v>
      </c>
    </row>
    <row r="69" spans="1:7" x14ac:dyDescent="0.45">
      <c r="A69" s="88" t="s">
        <v>230</v>
      </c>
      <c r="B69" s="47">
        <v>2637987658239</v>
      </c>
      <c r="C69" s="30"/>
      <c r="D69" s="30"/>
      <c r="E69" s="47">
        <v>2324285289468</v>
      </c>
      <c r="F69" s="30"/>
      <c r="G69" s="48"/>
    </row>
    <row r="70" spans="1:7" x14ac:dyDescent="0.45">
      <c r="A70" s="88" t="s">
        <v>231</v>
      </c>
      <c r="B70" s="30"/>
      <c r="C70" s="30"/>
      <c r="D70" s="30"/>
      <c r="E70" s="30"/>
      <c r="F70" s="30"/>
      <c r="G70" s="39"/>
    </row>
    <row r="71" spans="1:7" x14ac:dyDescent="0.45">
      <c r="A71" s="88" t="s">
        <v>232</v>
      </c>
      <c r="B71" s="47">
        <v>223664493846</v>
      </c>
      <c r="C71" s="47">
        <v>410407940262</v>
      </c>
      <c r="D71" s="47">
        <v>531620146455</v>
      </c>
      <c r="E71" s="47">
        <v>610552512045</v>
      </c>
      <c r="F71" s="30"/>
      <c r="G71" s="48">
        <f>AVERAGE(C71:E71)</f>
        <v>517526866254</v>
      </c>
    </row>
    <row r="72" spans="1:7" x14ac:dyDescent="0.45">
      <c r="A72" s="88" t="s">
        <v>233</v>
      </c>
      <c r="B72" s="30"/>
      <c r="C72" s="30"/>
      <c r="D72" s="30"/>
      <c r="E72" s="30"/>
      <c r="F72" s="30"/>
      <c r="G72" s="39"/>
    </row>
    <row r="73" spans="1:7" x14ac:dyDescent="0.45">
      <c r="A73" s="88" t="s">
        <v>234</v>
      </c>
      <c r="B73" s="30"/>
      <c r="C73" s="30"/>
      <c r="D73" s="30"/>
      <c r="E73" s="30"/>
      <c r="F73" s="30"/>
      <c r="G73" s="39"/>
    </row>
    <row r="74" spans="1:7" x14ac:dyDescent="0.45">
      <c r="A74" s="88" t="s">
        <v>235</v>
      </c>
      <c r="B74" s="47">
        <v>16127650192</v>
      </c>
      <c r="C74" s="47">
        <v>8803217550</v>
      </c>
      <c r="D74" s="47">
        <v>4109316288</v>
      </c>
      <c r="E74" s="47">
        <v>174647128</v>
      </c>
      <c r="F74" s="30"/>
      <c r="G74" s="48">
        <f>E74</f>
        <v>174647128</v>
      </c>
    </row>
    <row r="75" spans="1:7" x14ac:dyDescent="0.45">
      <c r="A75" s="88" t="s">
        <v>236</v>
      </c>
      <c r="B75" s="47">
        <v>68736086170</v>
      </c>
      <c r="C75" s="47">
        <v>63027061241</v>
      </c>
      <c r="D75" s="47">
        <v>61033120562</v>
      </c>
      <c r="E75" s="47">
        <v>13361520783</v>
      </c>
      <c r="F75" s="30"/>
      <c r="G75" s="48">
        <f>E75</f>
        <v>13361520783</v>
      </c>
    </row>
    <row r="76" spans="1:7" x14ac:dyDescent="0.45">
      <c r="A76" s="88" t="s">
        <v>237</v>
      </c>
      <c r="B76" s="47">
        <v>17343247551512</v>
      </c>
      <c r="C76" s="47">
        <v>13464931998700</v>
      </c>
      <c r="D76" s="47">
        <v>11151651204402</v>
      </c>
      <c r="E76" s="47">
        <v>10399119292481</v>
      </c>
      <c r="F76" s="30"/>
      <c r="G76" s="48">
        <f>Debt!E5*10^9</f>
        <v>1433333333333.3337</v>
      </c>
    </row>
    <row r="77" spans="1:7" x14ac:dyDescent="0.45">
      <c r="A77" s="88" t="s">
        <v>238</v>
      </c>
      <c r="B77" s="30"/>
      <c r="C77" s="30"/>
      <c r="D77" s="30"/>
      <c r="E77" s="30"/>
      <c r="F77" s="30"/>
      <c r="G77" s="39"/>
    </row>
    <row r="78" spans="1:7" x14ac:dyDescent="0.45">
      <c r="A78" s="88" t="s">
        <v>239</v>
      </c>
      <c r="B78" s="30"/>
      <c r="C78" s="30"/>
      <c r="D78" s="30"/>
      <c r="E78" s="30"/>
      <c r="F78" s="30"/>
      <c r="G78" s="39"/>
    </row>
    <row r="79" spans="1:7" x14ac:dyDescent="0.45">
      <c r="A79" s="88" t="s">
        <v>240</v>
      </c>
      <c r="B79" s="47">
        <v>666262529</v>
      </c>
      <c r="C79" s="30"/>
      <c r="D79" s="47">
        <v>31207164756</v>
      </c>
      <c r="E79" s="47">
        <v>30012518415</v>
      </c>
      <c r="F79" s="30"/>
      <c r="G79" s="48">
        <f>E79</f>
        <v>30012518415</v>
      </c>
    </row>
    <row r="80" spans="1:7" x14ac:dyDescent="0.45">
      <c r="A80" s="88" t="s">
        <v>241</v>
      </c>
      <c r="B80" s="47">
        <v>26000932740</v>
      </c>
      <c r="C80" s="47">
        <v>49310752616</v>
      </c>
      <c r="D80" s="47">
        <v>57568259201</v>
      </c>
      <c r="E80" s="47">
        <v>55168639369</v>
      </c>
      <c r="F80" s="30"/>
      <c r="G80" s="48">
        <f>E80</f>
        <v>55168639369</v>
      </c>
    </row>
    <row r="81" spans="1:7" x14ac:dyDescent="0.45">
      <c r="A81" s="88" t="s">
        <v>242</v>
      </c>
      <c r="B81" s="30"/>
      <c r="C81" s="30"/>
      <c r="D81" s="30"/>
      <c r="E81" s="30"/>
      <c r="F81" s="30"/>
      <c r="G81" s="39"/>
    </row>
    <row r="82" spans="1:7" x14ac:dyDescent="0.45">
      <c r="A82" s="87" t="s">
        <v>243</v>
      </c>
      <c r="B82" s="84">
        <v>59219786306111</v>
      </c>
      <c r="C82" s="84">
        <v>90780625511439</v>
      </c>
      <c r="D82" s="84">
        <v>96112939615783</v>
      </c>
      <c r="E82" s="84">
        <v>102836419239379</v>
      </c>
      <c r="F82" s="103"/>
      <c r="G82" s="183">
        <f>G83</f>
        <v>131414549817094.03</v>
      </c>
    </row>
    <row r="83" spans="1:7" x14ac:dyDescent="0.45">
      <c r="A83" s="88" t="s">
        <v>244</v>
      </c>
      <c r="B83" s="47">
        <v>59219786306111</v>
      </c>
      <c r="C83" s="47">
        <v>90780625511439</v>
      </c>
      <c r="D83" s="47">
        <v>96112939615783</v>
      </c>
      <c r="E83" s="47">
        <v>102836419239379</v>
      </c>
      <c r="F83" s="30"/>
      <c r="G83" s="48">
        <f>G84+G87+G93+G96+G100</f>
        <v>131414549817094.03</v>
      </c>
    </row>
    <row r="84" spans="1:7" x14ac:dyDescent="0.45">
      <c r="A84" s="88" t="s">
        <v>245</v>
      </c>
      <c r="B84" s="47">
        <v>33132826590000</v>
      </c>
      <c r="C84" s="47">
        <v>44729227060000</v>
      </c>
      <c r="D84" s="47">
        <v>58147857000000</v>
      </c>
      <c r="E84" s="47">
        <v>58147857000000</v>
      </c>
      <c r="F84" s="30"/>
      <c r="G84" s="48">
        <f>E84</f>
        <v>58147857000000</v>
      </c>
    </row>
    <row r="85" spans="1:7" x14ac:dyDescent="0.45">
      <c r="A85" s="102" t="s">
        <v>263</v>
      </c>
      <c r="B85" s="47">
        <v>33132826590000</v>
      </c>
      <c r="C85" s="47">
        <v>44729227060000</v>
      </c>
      <c r="D85" s="47">
        <v>58147857000000</v>
      </c>
      <c r="E85" s="47">
        <v>58147857000000</v>
      </c>
      <c r="F85" s="30"/>
      <c r="G85" s="48">
        <f>E85</f>
        <v>58147857000000</v>
      </c>
    </row>
    <row r="86" spans="1:7" x14ac:dyDescent="0.45">
      <c r="A86" s="102" t="s">
        <v>264</v>
      </c>
      <c r="B86" s="30"/>
      <c r="C86" s="30"/>
      <c r="D86" s="30"/>
      <c r="E86" s="30"/>
      <c r="F86" s="30"/>
      <c r="G86" s="39"/>
    </row>
    <row r="87" spans="1:7" x14ac:dyDescent="0.45">
      <c r="A87" s="88" t="s">
        <v>246</v>
      </c>
      <c r="B87" s="47">
        <v>3211560416270</v>
      </c>
      <c r="C87" s="47">
        <v>3211560416270</v>
      </c>
      <c r="D87" s="47">
        <v>3211560416270</v>
      </c>
      <c r="E87" s="47">
        <v>3211560416270</v>
      </c>
      <c r="F87" s="30"/>
      <c r="G87" s="48">
        <f>E87</f>
        <v>3211560416270</v>
      </c>
    </row>
    <row r="88" spans="1:7" x14ac:dyDescent="0.45">
      <c r="A88" s="88" t="s">
        <v>247</v>
      </c>
      <c r="B88" s="30"/>
      <c r="C88" s="30"/>
      <c r="D88" s="30"/>
      <c r="E88" s="30"/>
      <c r="F88" s="30"/>
      <c r="G88" s="39"/>
    </row>
    <row r="89" spans="1:7" x14ac:dyDescent="0.45">
      <c r="A89" s="88" t="s">
        <v>248</v>
      </c>
      <c r="B89" s="30"/>
      <c r="C89" s="30"/>
      <c r="D89" s="30"/>
      <c r="E89" s="30"/>
      <c r="F89" s="30"/>
      <c r="G89" s="39"/>
    </row>
    <row r="90" spans="1:7" x14ac:dyDescent="0.45">
      <c r="A90" s="88" t="s">
        <v>249</v>
      </c>
      <c r="B90" s="30"/>
      <c r="C90" s="30"/>
      <c r="D90" s="30"/>
      <c r="E90" s="30"/>
      <c r="F90" s="30"/>
      <c r="G90" s="39"/>
    </row>
    <row r="91" spans="1:7" x14ac:dyDescent="0.45">
      <c r="A91" s="88" t="s">
        <v>250</v>
      </c>
      <c r="B91" s="30"/>
      <c r="C91" s="30"/>
      <c r="D91" s="30"/>
      <c r="E91" s="30"/>
      <c r="F91" s="30"/>
      <c r="G91" s="39"/>
    </row>
    <row r="92" spans="1:7" x14ac:dyDescent="0.45">
      <c r="A92" s="88" t="s">
        <v>251</v>
      </c>
      <c r="B92" s="47">
        <v>5568369072</v>
      </c>
      <c r="C92" s="47">
        <v>-1925960852</v>
      </c>
      <c r="D92" s="47">
        <v>-20652355005</v>
      </c>
      <c r="E92" s="30"/>
      <c r="F92" s="30"/>
      <c r="G92" s="39"/>
    </row>
    <row r="93" spans="1:7" x14ac:dyDescent="0.45">
      <c r="A93" s="88" t="s">
        <v>252</v>
      </c>
      <c r="B93" s="47">
        <v>928641612156</v>
      </c>
      <c r="C93" s="47">
        <v>923549304122</v>
      </c>
      <c r="D93" s="47">
        <v>834782434216</v>
      </c>
      <c r="E93" s="47">
        <v>818200313964</v>
      </c>
      <c r="F93" s="30"/>
      <c r="G93" s="48">
        <f>E93</f>
        <v>818200313964</v>
      </c>
    </row>
    <row r="94" spans="1:7" x14ac:dyDescent="0.45">
      <c r="A94" s="88" t="s">
        <v>253</v>
      </c>
      <c r="B94" s="30"/>
      <c r="C94" s="30"/>
      <c r="D94" s="30"/>
      <c r="E94" s="30"/>
      <c r="F94" s="30"/>
      <c r="G94" s="39"/>
    </row>
    <row r="95" spans="1:7" x14ac:dyDescent="0.45">
      <c r="A95" s="88" t="s">
        <v>254</v>
      </c>
      <c r="B95" s="30"/>
      <c r="C95" s="30"/>
      <c r="D95" s="30"/>
      <c r="E95" s="30"/>
      <c r="F95" s="30"/>
      <c r="G95" s="39"/>
    </row>
    <row r="96" spans="1:7" x14ac:dyDescent="0.45">
      <c r="A96" s="88" t="s">
        <v>255</v>
      </c>
      <c r="B96" s="47">
        <v>21792442633285</v>
      </c>
      <c r="C96" s="47">
        <v>41763425970912</v>
      </c>
      <c r="D96" s="47">
        <v>33833829973987</v>
      </c>
      <c r="E96" s="47">
        <v>40593031662654</v>
      </c>
      <c r="F96" s="30"/>
      <c r="G96" s="48">
        <f>G97+IS!G17</f>
        <v>69118215237079.781</v>
      </c>
    </row>
    <row r="97" spans="1:7" x14ac:dyDescent="0.45">
      <c r="A97" s="102" t="s">
        <v>265</v>
      </c>
      <c r="B97" s="47">
        <v>13450300052812</v>
      </c>
      <c r="C97" s="47">
        <v>34478143197460</v>
      </c>
      <c r="D97" s="47">
        <v>25350319419956</v>
      </c>
      <c r="E97" s="47">
        <v>33796166741483</v>
      </c>
      <c r="F97" s="30"/>
      <c r="G97" s="198">
        <v>49576479000000</v>
      </c>
    </row>
    <row r="98" spans="1:7" x14ac:dyDescent="0.45">
      <c r="A98" s="102" t="s">
        <v>266</v>
      </c>
      <c r="B98" s="47">
        <v>8342142580473</v>
      </c>
      <c r="C98" s="47">
        <v>7285282773452</v>
      </c>
      <c r="D98" s="47">
        <v>8483510554031</v>
      </c>
      <c r="E98" s="47">
        <v>6796864921171</v>
      </c>
      <c r="F98" s="30"/>
      <c r="G98" s="48">
        <f>G96-G97</f>
        <v>19541736237079.781</v>
      </c>
    </row>
    <row r="99" spans="1:7" x14ac:dyDescent="0.45">
      <c r="A99" s="88" t="s">
        <v>256</v>
      </c>
      <c r="B99" s="30"/>
      <c r="C99" s="30"/>
      <c r="D99" s="30"/>
      <c r="E99" s="30"/>
      <c r="F99" s="30"/>
      <c r="G99" s="39"/>
    </row>
    <row r="100" spans="1:7" x14ac:dyDescent="0.45">
      <c r="A100" s="88" t="s">
        <v>257</v>
      </c>
      <c r="B100" s="47">
        <v>148746685328</v>
      </c>
      <c r="C100" s="47">
        <v>154788720987</v>
      </c>
      <c r="D100" s="47">
        <v>105562146315</v>
      </c>
      <c r="E100" s="47">
        <v>65769846491</v>
      </c>
      <c r="F100" s="30"/>
      <c r="G100" s="48">
        <f>AVERAGE(B100:E100)</f>
        <v>118716849780.25</v>
      </c>
    </row>
    <row r="101" spans="1:7" x14ac:dyDescent="0.45">
      <c r="A101" s="88" t="s">
        <v>258</v>
      </c>
      <c r="B101" s="30"/>
      <c r="C101" s="30"/>
      <c r="D101" s="30"/>
      <c r="E101" s="30"/>
      <c r="F101" s="30"/>
      <c r="G101" s="39"/>
    </row>
    <row r="102" spans="1:7" x14ac:dyDescent="0.45">
      <c r="A102" s="88" t="s">
        <v>259</v>
      </c>
      <c r="B102" s="30"/>
      <c r="C102" s="30"/>
      <c r="D102" s="30"/>
      <c r="E102" s="30"/>
      <c r="F102" s="30"/>
      <c r="G102" s="39"/>
    </row>
    <row r="103" spans="1:7" x14ac:dyDescent="0.45">
      <c r="A103" s="88" t="s">
        <v>260</v>
      </c>
      <c r="B103" s="30"/>
      <c r="C103" s="30"/>
      <c r="D103" s="30"/>
      <c r="E103" s="30"/>
      <c r="F103" s="30"/>
      <c r="G103" s="39"/>
    </row>
    <row r="104" spans="1:7" ht="14.65" thickBot="1" x14ac:dyDescent="0.5">
      <c r="A104" s="192" t="s">
        <v>261</v>
      </c>
      <c r="B104" s="49">
        <v>131511434388837</v>
      </c>
      <c r="C104" s="49">
        <v>178236422358249</v>
      </c>
      <c r="D104" s="49">
        <v>170335519508132</v>
      </c>
      <c r="E104" s="49">
        <v>187782586563801</v>
      </c>
      <c r="F104" s="65"/>
      <c r="G104" s="50">
        <f>G52+G82</f>
        <v>270845849746398.78</v>
      </c>
    </row>
  </sheetData>
  <autoFilter ref="A2:A104" xr:uid="{6AEA8C38-CB86-4728-AF33-A0BC69399CAD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F905-0EF5-4404-9AD6-B2B7856EB155}">
  <dimension ref="A1:L22"/>
  <sheetViews>
    <sheetView topLeftCell="B1" workbookViewId="0">
      <selection activeCell="B10" sqref="B10"/>
    </sheetView>
  </sheetViews>
  <sheetFormatPr defaultRowHeight="14.25" x14ac:dyDescent="0.45"/>
  <cols>
    <col min="1" max="1" width="60.1328125" customWidth="1"/>
    <col min="2" max="4" width="28.3984375" customWidth="1"/>
    <col min="5" max="5" width="27.53125" customWidth="1"/>
    <col min="6" max="6" width="28.86328125" hidden="1" customWidth="1"/>
    <col min="7" max="7" width="28.86328125" customWidth="1"/>
  </cols>
  <sheetData>
    <row r="1" spans="1:12" ht="14.65" thickBot="1" x14ac:dyDescent="0.5">
      <c r="A1" s="36"/>
      <c r="B1" s="34">
        <v>2020</v>
      </c>
      <c r="C1" s="34">
        <v>2021</v>
      </c>
      <c r="D1" s="34">
        <v>2022</v>
      </c>
      <c r="E1" s="34">
        <v>2023</v>
      </c>
      <c r="F1" s="51">
        <v>2024</v>
      </c>
      <c r="G1" s="52">
        <v>2025</v>
      </c>
      <c r="H1" s="180"/>
      <c r="I1" s="180"/>
      <c r="J1" s="180"/>
      <c r="K1" s="180"/>
      <c r="L1" s="180"/>
    </row>
    <row r="2" spans="1:12" x14ac:dyDescent="0.45">
      <c r="A2" s="61" t="s">
        <v>267</v>
      </c>
      <c r="B2" s="191">
        <v>91279041771826</v>
      </c>
      <c r="C2" s="191">
        <v>150865359967200</v>
      </c>
      <c r="D2" s="191">
        <v>142770810676858</v>
      </c>
      <c r="E2" s="191">
        <v>120355231616139</v>
      </c>
      <c r="F2" s="191">
        <f>('Dự toán Tiêu thụ, sản xuất'!V7+'Dự toán Tiêu thụ, sản xuất'!V12+'Dự toán Tiêu thụ, sản xuất'!V17+'Dự toán Tiêu thụ, sản xuất'!V22+'Dự toán Tiêu thụ, sản xuất'!V27)*10^6</f>
        <v>139278244630069.41</v>
      </c>
      <c r="G2" s="199">
        <f>('Dự toán Tiêu thụ, sản xuất'!AA7+'Dự toán Tiêu thụ, sản xuất'!AA12+'Dự toán Tiêu thụ, sản xuất'!AA17+'Dự toán Tiêu thụ, sản xuất'!AA22+'Dự toán Tiêu thụ, sản xuất'!AA27)*10^6</f>
        <v>200614158408486.28</v>
      </c>
    </row>
    <row r="3" spans="1:12" x14ac:dyDescent="0.45">
      <c r="A3" s="96" t="s">
        <v>268</v>
      </c>
      <c r="B3" s="184">
        <v>1160538345109</v>
      </c>
      <c r="C3" s="184">
        <v>1185569987855</v>
      </c>
      <c r="D3" s="184">
        <v>1361536216226</v>
      </c>
      <c r="E3" s="184">
        <v>1402203722485</v>
      </c>
      <c r="F3" s="184"/>
      <c r="G3" s="111"/>
    </row>
    <row r="4" spans="1:12" x14ac:dyDescent="0.45">
      <c r="A4" s="96" t="s">
        <v>269</v>
      </c>
      <c r="B4" s="184">
        <v>90118503426717</v>
      </c>
      <c r="C4" s="184">
        <v>149679789979345</v>
      </c>
      <c r="D4" s="184">
        <v>141409274460632</v>
      </c>
      <c r="E4" s="184">
        <v>118953027893654</v>
      </c>
      <c r="F4" s="184">
        <f>F2</f>
        <v>139278244630069.41</v>
      </c>
      <c r="G4" s="111">
        <f>G2</f>
        <v>200614158408486.28</v>
      </c>
    </row>
    <row r="5" spans="1:12" x14ac:dyDescent="0.45">
      <c r="A5" s="96" t="s">
        <v>270</v>
      </c>
      <c r="B5" s="184">
        <v>71214453522563</v>
      </c>
      <c r="C5" s="184">
        <v>108571380446353</v>
      </c>
      <c r="D5" s="184">
        <v>124645848221080</v>
      </c>
      <c r="E5" s="184">
        <v>106015187198082</v>
      </c>
      <c r="F5" s="184"/>
      <c r="G5" s="111">
        <f>'Dự toán Tiêu thụ, sản xuất'!S51</f>
        <v>174053095381686</v>
      </c>
    </row>
    <row r="6" spans="1:12" x14ac:dyDescent="0.45">
      <c r="A6" s="61" t="s">
        <v>271</v>
      </c>
      <c r="B6" s="191">
        <v>18904049904154</v>
      </c>
      <c r="C6" s="191">
        <v>41108409532992</v>
      </c>
      <c r="D6" s="191">
        <v>16763426239552</v>
      </c>
      <c r="E6" s="191">
        <v>12937840695572</v>
      </c>
      <c r="F6" s="191"/>
      <c r="G6" s="199">
        <f>G4-G5</f>
        <v>26561063026800.281</v>
      </c>
    </row>
    <row r="7" spans="1:12" x14ac:dyDescent="0.45">
      <c r="A7" s="96" t="s">
        <v>272</v>
      </c>
      <c r="B7" s="184">
        <v>1004789766270</v>
      </c>
      <c r="C7" s="184">
        <v>3071440640188</v>
      </c>
      <c r="D7" s="184">
        <v>3743650707331</v>
      </c>
      <c r="E7" s="184">
        <v>3173086404949</v>
      </c>
      <c r="F7" s="184"/>
      <c r="G7" s="111">
        <f>AVERAGE(C7:E7)</f>
        <v>3329392584156</v>
      </c>
    </row>
    <row r="8" spans="1:12" x14ac:dyDescent="0.45">
      <c r="A8" s="96" t="s">
        <v>273</v>
      </c>
      <c r="B8" s="184">
        <v>2837406430588</v>
      </c>
      <c r="C8" s="184">
        <v>3731542257873</v>
      </c>
      <c r="D8" s="184">
        <v>7026723285241</v>
      </c>
      <c r="E8" s="184">
        <v>5191511844389</v>
      </c>
      <c r="F8" s="184"/>
      <c r="G8" s="111">
        <f>(5%*Debt!D3+8%*(Debt!D4+Debt!D5))*10^9</f>
        <v>4996333333333.334</v>
      </c>
    </row>
    <row r="9" spans="1:12" x14ac:dyDescent="0.45">
      <c r="A9" s="37" t="s">
        <v>287</v>
      </c>
      <c r="B9" s="184">
        <v>2191680923417</v>
      </c>
      <c r="C9" s="184">
        <v>2525823258237</v>
      </c>
      <c r="D9" s="184">
        <v>3083638131818</v>
      </c>
      <c r="E9" s="184">
        <v>3585077683881</v>
      </c>
      <c r="F9" s="184"/>
      <c r="G9" s="111">
        <f>G8</f>
        <v>4996333333333.334</v>
      </c>
    </row>
    <row r="10" spans="1:12" x14ac:dyDescent="0.45">
      <c r="A10" s="96" t="s">
        <v>274</v>
      </c>
      <c r="B10" s="184">
        <v>1964631764</v>
      </c>
      <c r="C10" s="184">
        <v>4465302865</v>
      </c>
      <c r="D10" s="184">
        <v>-1072667584</v>
      </c>
      <c r="E10" s="184"/>
      <c r="F10" s="184"/>
      <c r="G10" s="111"/>
    </row>
    <row r="11" spans="1:12" x14ac:dyDescent="0.45">
      <c r="A11" s="96" t="s">
        <v>275</v>
      </c>
      <c r="B11" s="184">
        <v>1090795558423</v>
      </c>
      <c r="C11" s="184">
        <v>2120068223228</v>
      </c>
      <c r="D11" s="184">
        <v>2665806087302</v>
      </c>
      <c r="E11" s="184">
        <v>1961362129952</v>
      </c>
      <c r="F11" s="184"/>
      <c r="G11" s="111">
        <f>E11*G2/E2</f>
        <v>3269297127768.8389</v>
      </c>
    </row>
    <row r="12" spans="1:12" x14ac:dyDescent="0.45">
      <c r="A12" s="96" t="s">
        <v>276</v>
      </c>
      <c r="B12" s="184">
        <v>690298504185</v>
      </c>
      <c r="C12" s="184">
        <v>1324261548679</v>
      </c>
      <c r="D12" s="184">
        <v>1019444279447</v>
      </c>
      <c r="E12" s="184">
        <v>1307290336873</v>
      </c>
      <c r="F12" s="184"/>
      <c r="G12" s="111">
        <f>E12*G2/E2</f>
        <v>2179057338893.074</v>
      </c>
    </row>
    <row r="13" spans="1:12" x14ac:dyDescent="0.45">
      <c r="A13" s="61" t="s">
        <v>286</v>
      </c>
      <c r="B13" s="191">
        <v>15292303808992</v>
      </c>
      <c r="C13" s="191">
        <v>37008443446265</v>
      </c>
      <c r="D13" s="191">
        <v>9794030627309</v>
      </c>
      <c r="E13" s="191">
        <v>7650762789307</v>
      </c>
      <c r="F13" s="191"/>
      <c r="G13" s="199">
        <f>G6+G7-G8-G11-G12</f>
        <v>19445767810961.031</v>
      </c>
    </row>
    <row r="14" spans="1:12" x14ac:dyDescent="0.45">
      <c r="A14" s="96" t="s">
        <v>277</v>
      </c>
      <c r="B14" s="184">
        <v>654081334225</v>
      </c>
      <c r="C14" s="184">
        <v>796666105925</v>
      </c>
      <c r="D14" s="184">
        <v>872024724926</v>
      </c>
      <c r="E14" s="184">
        <v>771973465495</v>
      </c>
      <c r="F14" s="184"/>
      <c r="G14" s="111">
        <f>AVERAGE(B14:E14)</f>
        <v>773686407642.75</v>
      </c>
    </row>
    <row r="15" spans="1:12" x14ac:dyDescent="0.45">
      <c r="A15" s="96" t="s">
        <v>278</v>
      </c>
      <c r="B15" s="184">
        <v>589418351516</v>
      </c>
      <c r="C15" s="184">
        <v>748331838000</v>
      </c>
      <c r="D15" s="184">
        <v>743114224951</v>
      </c>
      <c r="E15" s="184">
        <v>630007511629</v>
      </c>
      <c r="F15" s="184"/>
      <c r="G15" s="111">
        <f>AVERAGE(B15:E15)</f>
        <v>677717981524</v>
      </c>
    </row>
    <row r="16" spans="1:12" x14ac:dyDescent="0.45">
      <c r="A16" s="96" t="s">
        <v>279</v>
      </c>
      <c r="B16" s="184">
        <v>64662982709</v>
      </c>
      <c r="C16" s="184">
        <v>48334267925</v>
      </c>
      <c r="D16" s="184">
        <v>128910499975</v>
      </c>
      <c r="E16" s="184">
        <v>141965953866</v>
      </c>
      <c r="F16" s="184"/>
      <c r="G16" s="111">
        <f>G14-G15</f>
        <v>95968426118.75</v>
      </c>
    </row>
    <row r="17" spans="1:7" x14ac:dyDescent="0.45">
      <c r="A17" s="61" t="s">
        <v>280</v>
      </c>
      <c r="B17" s="191">
        <v>15356966791701</v>
      </c>
      <c r="C17" s="191">
        <v>37056777714190</v>
      </c>
      <c r="D17" s="191">
        <v>9922941127284</v>
      </c>
      <c r="E17" s="191">
        <v>7792728743173</v>
      </c>
      <c r="F17" s="191"/>
      <c r="G17" s="199">
        <f>G13+G16</f>
        <v>19541736237079.781</v>
      </c>
    </row>
    <row r="18" spans="1:7" x14ac:dyDescent="0.45">
      <c r="A18" s="96" t="s">
        <v>281</v>
      </c>
      <c r="B18" s="184">
        <v>1784567843866</v>
      </c>
      <c r="C18" s="184">
        <v>2855306347167</v>
      </c>
      <c r="D18" s="184">
        <v>1001020240086</v>
      </c>
      <c r="E18" s="184">
        <v>1073551888059</v>
      </c>
      <c r="F18" s="184"/>
      <c r="G18" s="111">
        <f>WC!G34</f>
        <v>1575847739037.9023</v>
      </c>
    </row>
    <row r="19" spans="1:7" x14ac:dyDescent="0.45">
      <c r="A19" s="96" t="s">
        <v>282</v>
      </c>
      <c r="B19" s="184">
        <v>66234890928</v>
      </c>
      <c r="C19" s="184">
        <v>-319483564275</v>
      </c>
      <c r="D19" s="184">
        <v>477491832682</v>
      </c>
      <c r="E19" s="184">
        <v>-81211459967</v>
      </c>
      <c r="F19" s="184"/>
      <c r="G19" s="111">
        <f>E19</f>
        <v>-81211459967</v>
      </c>
    </row>
    <row r="20" spans="1:7" x14ac:dyDescent="0.45">
      <c r="A20" s="96" t="s">
        <v>283</v>
      </c>
      <c r="B20" s="184">
        <v>13506164056907</v>
      </c>
      <c r="C20" s="184">
        <v>34520954931298</v>
      </c>
      <c r="D20" s="184">
        <v>8444429054516</v>
      </c>
      <c r="E20" s="184">
        <v>6800388315081</v>
      </c>
      <c r="F20" s="184"/>
      <c r="G20" s="111">
        <f>G17-G18-G19</f>
        <v>18047099958008.879</v>
      </c>
    </row>
    <row r="21" spans="1:7" x14ac:dyDescent="0.45">
      <c r="A21" s="96" t="s">
        <v>284</v>
      </c>
      <c r="B21" s="184">
        <v>13450300052812</v>
      </c>
      <c r="C21" s="184">
        <v>34478143197460</v>
      </c>
      <c r="D21" s="184">
        <v>8483510554031</v>
      </c>
      <c r="E21" s="184">
        <v>6835064334356</v>
      </c>
      <c r="F21" s="184"/>
      <c r="G21" s="111">
        <f>G20+G22</f>
        <v>18053329512794.629</v>
      </c>
    </row>
    <row r="22" spans="1:7" ht="14.65" thickBot="1" x14ac:dyDescent="0.5">
      <c r="A22" s="98" t="s">
        <v>285</v>
      </c>
      <c r="B22" s="188">
        <v>55864004095</v>
      </c>
      <c r="C22" s="188">
        <v>42811733838</v>
      </c>
      <c r="D22" s="188">
        <v>-39081499515</v>
      </c>
      <c r="E22" s="188">
        <v>-34676019275</v>
      </c>
      <c r="F22" s="188"/>
      <c r="G22" s="113">
        <f>AVERAGE(B22:E22)</f>
        <v>6229554785.75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F2FE-2679-42F9-8A00-9417EAD8FBE2}">
  <dimension ref="I1:R44"/>
  <sheetViews>
    <sheetView topLeftCell="A13" zoomScale="91" workbookViewId="0">
      <selection activeCell="M54" sqref="M54"/>
    </sheetView>
  </sheetViews>
  <sheetFormatPr defaultRowHeight="14.25" x14ac:dyDescent="0.45"/>
  <cols>
    <col min="10" max="11" width="14.1328125" customWidth="1"/>
    <col min="12" max="12" width="16.86328125" customWidth="1"/>
    <col min="13" max="13" width="15.73046875" customWidth="1"/>
    <col min="14" max="16" width="16.265625" customWidth="1"/>
    <col min="17" max="21" width="16.3984375" customWidth="1"/>
  </cols>
  <sheetData>
    <row r="1" spans="9:15" x14ac:dyDescent="0.45">
      <c r="I1" s="20"/>
      <c r="J1" s="20" t="s">
        <v>32</v>
      </c>
    </row>
    <row r="2" spans="9:15" x14ac:dyDescent="0.45">
      <c r="J2" s="20" t="s">
        <v>29</v>
      </c>
      <c r="K2" s="20" t="s">
        <v>34</v>
      </c>
      <c r="L2" s="20" t="s">
        <v>35</v>
      </c>
      <c r="M2" s="20" t="s">
        <v>36</v>
      </c>
    </row>
    <row r="3" spans="9:15" x14ac:dyDescent="0.45">
      <c r="J3" t="s">
        <v>30</v>
      </c>
      <c r="K3" s="21">
        <v>200</v>
      </c>
      <c r="L3" s="22">
        <v>0.7</v>
      </c>
      <c r="M3" s="21">
        <f>K3*L3</f>
        <v>140</v>
      </c>
    </row>
    <row r="4" spans="9:15" x14ac:dyDescent="0.45">
      <c r="J4" t="s">
        <v>31</v>
      </c>
      <c r="K4" s="21">
        <v>200</v>
      </c>
      <c r="L4" s="22">
        <v>0.5</v>
      </c>
      <c r="M4" s="21">
        <f>K4*L4</f>
        <v>100</v>
      </c>
    </row>
    <row r="5" spans="9:15" x14ac:dyDescent="0.45">
      <c r="J5" t="s">
        <v>33</v>
      </c>
      <c r="K5" s="21">
        <v>200</v>
      </c>
      <c r="L5" s="22">
        <v>0.5</v>
      </c>
      <c r="M5" s="21">
        <f>K5*L5</f>
        <v>100</v>
      </c>
    </row>
    <row r="7" spans="9:15" x14ac:dyDescent="0.45">
      <c r="J7" s="20" t="s">
        <v>37</v>
      </c>
    </row>
    <row r="8" spans="9:15" x14ac:dyDescent="0.45">
      <c r="J8" s="20" t="s">
        <v>29</v>
      </c>
      <c r="K8" s="20" t="s">
        <v>42</v>
      </c>
      <c r="L8" s="20" t="s">
        <v>38</v>
      </c>
      <c r="M8" s="20" t="s">
        <v>39</v>
      </c>
      <c r="N8" s="20" t="s">
        <v>40</v>
      </c>
    </row>
    <row r="9" spans="9:15" x14ac:dyDescent="0.45">
      <c r="J9" s="4" t="s">
        <v>30</v>
      </c>
      <c r="K9">
        <v>64200</v>
      </c>
      <c r="L9">
        <f>M3</f>
        <v>140</v>
      </c>
      <c r="M9">
        <v>2000</v>
      </c>
      <c r="N9">
        <f>K9/(L9+M9)*L9</f>
        <v>4200</v>
      </c>
    </row>
    <row r="10" spans="9:15" x14ac:dyDescent="0.45">
      <c r="J10" s="4" t="s">
        <v>31</v>
      </c>
      <c r="K10">
        <v>21000</v>
      </c>
      <c r="L10">
        <f>M4</f>
        <v>100</v>
      </c>
      <c r="M10">
        <v>2000</v>
      </c>
      <c r="N10">
        <f>K10/(L10+M10)*L10</f>
        <v>1000</v>
      </c>
    </row>
    <row r="11" spans="9:15" x14ac:dyDescent="0.45">
      <c r="J11" s="4" t="s">
        <v>33</v>
      </c>
      <c r="K11">
        <v>33600</v>
      </c>
      <c r="L11">
        <f>M5</f>
        <v>100</v>
      </c>
      <c r="M11">
        <v>2000</v>
      </c>
      <c r="N11">
        <f>K11/(L11+M11)*L11</f>
        <v>1600</v>
      </c>
    </row>
    <row r="13" spans="9:15" x14ac:dyDescent="0.45">
      <c r="J13" s="20" t="s">
        <v>43</v>
      </c>
    </row>
    <row r="14" spans="9:15" x14ac:dyDescent="0.45">
      <c r="J14" s="20" t="s">
        <v>29</v>
      </c>
      <c r="K14" s="20" t="s">
        <v>44</v>
      </c>
      <c r="L14" s="20" t="s">
        <v>45</v>
      </c>
      <c r="M14" s="20" t="s">
        <v>46</v>
      </c>
      <c r="N14" s="20" t="s">
        <v>47</v>
      </c>
      <c r="O14" s="20" t="s">
        <v>48</v>
      </c>
    </row>
    <row r="15" spans="9:15" x14ac:dyDescent="0.45">
      <c r="J15" s="4" t="s">
        <v>30</v>
      </c>
      <c r="K15">
        <v>0</v>
      </c>
      <c r="L15">
        <f>K9</f>
        <v>64200</v>
      </c>
      <c r="M15">
        <f>N9</f>
        <v>4200</v>
      </c>
      <c r="N15">
        <f>K15+L15-M15</f>
        <v>60000</v>
      </c>
      <c r="O15">
        <f>N15/M9</f>
        <v>30</v>
      </c>
    </row>
    <row r="16" spans="9:15" x14ac:dyDescent="0.45">
      <c r="J16" s="4" t="s">
        <v>31</v>
      </c>
      <c r="K16">
        <v>0</v>
      </c>
      <c r="L16">
        <f>K10</f>
        <v>21000</v>
      </c>
      <c r="M16">
        <f>N10</f>
        <v>1000</v>
      </c>
      <c r="N16">
        <f>K16+L16-M16</f>
        <v>20000</v>
      </c>
      <c r="O16">
        <f>N16/M10</f>
        <v>10</v>
      </c>
    </row>
    <row r="17" spans="10:17" x14ac:dyDescent="0.45">
      <c r="J17" s="4" t="s">
        <v>33</v>
      </c>
      <c r="K17">
        <v>0</v>
      </c>
      <c r="L17">
        <f>K11</f>
        <v>33600</v>
      </c>
      <c r="M17">
        <f>N11</f>
        <v>1600</v>
      </c>
      <c r="N17">
        <f>K17+L17-M17</f>
        <v>32000</v>
      </c>
      <c r="O17">
        <f>N17/M11</f>
        <v>16</v>
      </c>
    </row>
    <row r="18" spans="10:17" x14ac:dyDescent="0.45">
      <c r="J18" s="20" t="s">
        <v>49</v>
      </c>
      <c r="K18" s="20">
        <f>SUM(K15:K17)</f>
        <v>0</v>
      </c>
      <c r="L18" s="20">
        <f>SUM(L15:L17)</f>
        <v>118800</v>
      </c>
      <c r="M18" s="20">
        <f>SUM(M15:M17)</f>
        <v>6800</v>
      </c>
      <c r="N18" s="20">
        <f>SUM(N15:N17)</f>
        <v>112000</v>
      </c>
      <c r="O18" s="20">
        <f>SUM(O15:O17)</f>
        <v>56</v>
      </c>
    </row>
    <row r="20" spans="10:17" x14ac:dyDescent="0.45">
      <c r="J20" s="20" t="s">
        <v>50</v>
      </c>
    </row>
    <row r="21" spans="10:17" x14ac:dyDescent="0.45">
      <c r="J21" s="20"/>
      <c r="K21" s="20" t="s">
        <v>51</v>
      </c>
      <c r="L21" s="201" t="s">
        <v>52</v>
      </c>
      <c r="M21" s="201"/>
      <c r="N21" s="201"/>
      <c r="Q21" s="20"/>
    </row>
    <row r="22" spans="10:17" x14ac:dyDescent="0.45">
      <c r="J22" s="20" t="s">
        <v>29</v>
      </c>
      <c r="K22" s="20" t="s">
        <v>34</v>
      </c>
      <c r="L22" s="20" t="s">
        <v>34</v>
      </c>
      <c r="M22" s="20" t="s">
        <v>35</v>
      </c>
      <c r="N22" s="20" t="s">
        <v>36</v>
      </c>
    </row>
    <row r="23" spans="10:17" x14ac:dyDescent="0.45">
      <c r="J23" s="4" t="s">
        <v>30</v>
      </c>
      <c r="K23" s="21">
        <v>100</v>
      </c>
      <c r="L23" s="21">
        <v>100</v>
      </c>
      <c r="M23" s="23">
        <v>1</v>
      </c>
      <c r="N23">
        <f>L23*M23</f>
        <v>100</v>
      </c>
    </row>
    <row r="24" spans="10:17" x14ac:dyDescent="0.45">
      <c r="J24" s="4" t="s">
        <v>31</v>
      </c>
      <c r="K24" s="21">
        <v>100</v>
      </c>
      <c r="L24" s="21">
        <v>100</v>
      </c>
      <c r="M24" s="23">
        <v>0.6</v>
      </c>
      <c r="N24">
        <f>L24*M24</f>
        <v>60</v>
      </c>
    </row>
    <row r="25" spans="10:17" x14ac:dyDescent="0.45">
      <c r="J25" s="4" t="s">
        <v>33</v>
      </c>
      <c r="K25" s="21">
        <v>100</v>
      </c>
      <c r="L25" s="21">
        <v>100</v>
      </c>
      <c r="M25" s="23">
        <v>0.6</v>
      </c>
      <c r="N25">
        <f>L25*M25</f>
        <v>60</v>
      </c>
    </row>
    <row r="27" spans="10:17" x14ac:dyDescent="0.45">
      <c r="J27" s="20" t="s">
        <v>53</v>
      </c>
    </row>
    <row r="28" spans="10:17" x14ac:dyDescent="0.45">
      <c r="K28" s="20" t="s">
        <v>51</v>
      </c>
    </row>
    <row r="29" spans="10:17" x14ac:dyDescent="0.45">
      <c r="J29" s="20" t="s">
        <v>29</v>
      </c>
      <c r="K29" s="20" t="s">
        <v>54</v>
      </c>
      <c r="L29" s="20" t="s">
        <v>55</v>
      </c>
      <c r="M29" s="20" t="s">
        <v>56</v>
      </c>
      <c r="N29" s="20" t="s">
        <v>38</v>
      </c>
      <c r="O29" s="20" t="s">
        <v>57</v>
      </c>
      <c r="P29" s="20" t="s">
        <v>58</v>
      </c>
    </row>
    <row r="30" spans="10:17" x14ac:dyDescent="0.45">
      <c r="J30" s="4" t="s">
        <v>30</v>
      </c>
      <c r="K30">
        <f>O15</f>
        <v>30</v>
      </c>
      <c r="L30">
        <v>1400</v>
      </c>
      <c r="M30">
        <f>K30*L30</f>
        <v>42000</v>
      </c>
      <c r="N30">
        <f>N23</f>
        <v>100</v>
      </c>
      <c r="O30">
        <v>600</v>
      </c>
      <c r="P30" s="24">
        <f>M30/(N30+O30)*N30</f>
        <v>6000</v>
      </c>
    </row>
    <row r="31" spans="10:17" x14ac:dyDescent="0.45">
      <c r="J31" s="4" t="s">
        <v>31</v>
      </c>
      <c r="K31">
        <f>O16</f>
        <v>10</v>
      </c>
      <c r="L31">
        <v>1400</v>
      </c>
      <c r="M31">
        <f>K31*L31</f>
        <v>14000</v>
      </c>
      <c r="N31">
        <f>N24</f>
        <v>60</v>
      </c>
      <c r="O31">
        <f>O30</f>
        <v>600</v>
      </c>
      <c r="P31" s="24">
        <f>M31/(N31+O31)*N31</f>
        <v>1272.7272727272727</v>
      </c>
    </row>
    <row r="32" spans="10:17" x14ac:dyDescent="0.45">
      <c r="J32" s="4" t="s">
        <v>33</v>
      </c>
      <c r="K32">
        <f>O17</f>
        <v>16</v>
      </c>
      <c r="L32">
        <v>1400</v>
      </c>
      <c r="M32">
        <f>K32*L32</f>
        <v>22400</v>
      </c>
      <c r="N32">
        <f>N25</f>
        <v>60</v>
      </c>
      <c r="O32">
        <f>O30</f>
        <v>600</v>
      </c>
      <c r="P32" s="24">
        <f>M32/(N32+O32)*N32</f>
        <v>2036.3636363636363</v>
      </c>
    </row>
    <row r="34" spans="10:18" x14ac:dyDescent="0.45">
      <c r="K34" s="20" t="s">
        <v>52</v>
      </c>
    </row>
    <row r="35" spans="10:18" x14ac:dyDescent="0.45">
      <c r="J35" s="20" t="s">
        <v>29</v>
      </c>
      <c r="K35" s="20" t="s">
        <v>41</v>
      </c>
      <c r="L35" s="20" t="s">
        <v>59</v>
      </c>
      <c r="M35" s="20" t="s">
        <v>39</v>
      </c>
      <c r="N35" s="20" t="s">
        <v>60</v>
      </c>
    </row>
    <row r="36" spans="10:18" x14ac:dyDescent="0.45">
      <c r="J36" s="4" t="s">
        <v>30</v>
      </c>
      <c r="K36">
        <v>14000</v>
      </c>
      <c r="L36">
        <f>N23</f>
        <v>100</v>
      </c>
      <c r="M36">
        <f>O30</f>
        <v>600</v>
      </c>
      <c r="N36" s="24">
        <f>K36/(L36+M36)*L36</f>
        <v>2000</v>
      </c>
    </row>
    <row r="37" spans="10:18" x14ac:dyDescent="0.45">
      <c r="J37" s="4" t="s">
        <v>31</v>
      </c>
      <c r="K37">
        <v>7920</v>
      </c>
      <c r="L37">
        <f>N24</f>
        <v>60</v>
      </c>
      <c r="M37">
        <f>O30</f>
        <v>600</v>
      </c>
      <c r="N37" s="24">
        <f>K37/(L37+M37)*L37</f>
        <v>720</v>
      </c>
    </row>
    <row r="38" spans="10:18" x14ac:dyDescent="0.45">
      <c r="J38" s="4" t="s">
        <v>33</v>
      </c>
      <c r="K38">
        <v>19800</v>
      </c>
      <c r="L38">
        <f>N25</f>
        <v>60</v>
      </c>
      <c r="M38">
        <f>O30</f>
        <v>600</v>
      </c>
      <c r="N38" s="24">
        <f>K38/(L38+M38)*L38</f>
        <v>1800</v>
      </c>
    </row>
    <row r="40" spans="10:18" x14ac:dyDescent="0.45">
      <c r="J40" s="20" t="s">
        <v>61</v>
      </c>
    </row>
    <row r="41" spans="10:18" x14ac:dyDescent="0.45">
      <c r="J41" s="20" t="s">
        <v>29</v>
      </c>
      <c r="K41" s="20" t="s">
        <v>62</v>
      </c>
      <c r="L41" s="20" t="s">
        <v>63</v>
      </c>
      <c r="M41" s="20" t="s">
        <v>65</v>
      </c>
      <c r="N41" s="20" t="s">
        <v>64</v>
      </c>
      <c r="O41" s="20" t="s">
        <v>66</v>
      </c>
      <c r="P41" s="20" t="s">
        <v>67</v>
      </c>
      <c r="Q41" s="20" t="s">
        <v>39</v>
      </c>
      <c r="R41" s="20" t="s">
        <v>48</v>
      </c>
    </row>
    <row r="42" spans="10:18" x14ac:dyDescent="0.45">
      <c r="J42" s="4" t="s">
        <v>30</v>
      </c>
      <c r="K42">
        <v>0</v>
      </c>
      <c r="L42">
        <f>M30</f>
        <v>42000</v>
      </c>
      <c r="M42" s="24">
        <f>P30</f>
        <v>6000</v>
      </c>
      <c r="N42">
        <f>K36</f>
        <v>14000</v>
      </c>
      <c r="O42" s="24">
        <f>N36</f>
        <v>2000</v>
      </c>
      <c r="P42" s="24">
        <f>K42+L42+N42-M42-O42</f>
        <v>48000</v>
      </c>
      <c r="Q42">
        <f>O30</f>
        <v>600</v>
      </c>
      <c r="R42">
        <f>P42/Q42</f>
        <v>80</v>
      </c>
    </row>
    <row r="43" spans="10:18" x14ac:dyDescent="0.45">
      <c r="J43" s="4" t="s">
        <v>31</v>
      </c>
      <c r="K43">
        <v>0</v>
      </c>
      <c r="L43">
        <f>M31</f>
        <v>14000</v>
      </c>
      <c r="M43" s="24">
        <f>P31</f>
        <v>1272.7272727272727</v>
      </c>
      <c r="N43">
        <f>K37</f>
        <v>7920</v>
      </c>
      <c r="O43" s="24">
        <f>N37</f>
        <v>720</v>
      </c>
      <c r="P43" s="24">
        <f>K43+L43+N43-M43-O43</f>
        <v>19927.272727272728</v>
      </c>
      <c r="Q43">
        <f>O30</f>
        <v>600</v>
      </c>
      <c r="R43" s="24">
        <f>P43/Q43</f>
        <v>33.212121212121211</v>
      </c>
    </row>
    <row r="44" spans="10:18" x14ac:dyDescent="0.45">
      <c r="J44" s="4" t="s">
        <v>33</v>
      </c>
      <c r="K44">
        <v>0</v>
      </c>
      <c r="L44">
        <f>M32</f>
        <v>22400</v>
      </c>
      <c r="M44" s="24">
        <f>P32</f>
        <v>2036.3636363636363</v>
      </c>
      <c r="N44">
        <f>K38</f>
        <v>19800</v>
      </c>
      <c r="O44" s="24">
        <f>N38</f>
        <v>1800</v>
      </c>
      <c r="P44" s="24">
        <f>K44+L44+N44-M44-O44</f>
        <v>38363.63636363636</v>
      </c>
      <c r="Q44">
        <f>O30</f>
        <v>600</v>
      </c>
      <c r="R44" s="24">
        <f>P44/Q44</f>
        <v>63.939393939393931</v>
      </c>
    </row>
  </sheetData>
  <mergeCells count="1">
    <mergeCell ref="L21:N2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17"/>
  <sheetViews>
    <sheetView zoomScale="97" workbookViewId="0">
      <pane xSplit="1" ySplit="3" topLeftCell="AC4" activePane="bottomRight" state="frozen"/>
      <selection pane="topRight" activeCell="B1" sqref="B1"/>
      <selection pane="bottomLeft" activeCell="A4" sqref="A4"/>
      <selection pane="bottomRight" activeCell="AA3" sqref="AA3"/>
    </sheetView>
  </sheetViews>
  <sheetFormatPr defaultColWidth="14.3984375" defaultRowHeight="15" customHeight="1" x14ac:dyDescent="0.45"/>
  <cols>
    <col min="1" max="1" width="19.73046875" customWidth="1"/>
    <col min="2" max="2" width="11.1328125" customWidth="1"/>
    <col min="3" max="5" width="12.59765625" customWidth="1"/>
    <col min="6" max="6" width="13.265625" customWidth="1"/>
    <col min="7" max="7" width="14" customWidth="1"/>
    <col min="8" max="8" width="13.265625" customWidth="1"/>
    <col min="9" max="10" width="10.59765625" customWidth="1"/>
    <col min="11" max="11" width="11.73046875" customWidth="1"/>
    <col min="12" max="12" width="10.73046875" customWidth="1"/>
    <col min="13" max="13" width="16" customWidth="1"/>
    <col min="14" max="14" width="12.59765625" customWidth="1"/>
    <col min="15" max="16" width="11.73046875" customWidth="1"/>
    <col min="17" max="17" width="15.3984375" customWidth="1"/>
    <col min="18" max="20" width="11.73046875" customWidth="1"/>
    <col min="21" max="22" width="11.59765625" customWidth="1"/>
    <col min="23" max="23" width="12.59765625" customWidth="1"/>
    <col min="24" max="24" width="11.59765625" customWidth="1"/>
    <col min="25" max="25" width="11.73046875" customWidth="1"/>
    <col min="26" max="26" width="17" customWidth="1"/>
    <col min="27" max="27" width="10.1328125" customWidth="1"/>
    <col min="28" max="28" width="17.265625" customWidth="1"/>
    <col min="29" max="29" width="19.86328125" customWidth="1"/>
    <col min="30" max="31" width="11.73046875" customWidth="1"/>
    <col min="32" max="32" width="11.59765625" customWidth="1"/>
    <col min="33" max="34" width="10" customWidth="1"/>
    <col min="35" max="35" width="12.59765625" customWidth="1"/>
    <col min="36" max="36" width="10" customWidth="1"/>
    <col min="37" max="37" width="12.59765625" customWidth="1"/>
    <col min="38" max="38" width="8.73046875" customWidth="1"/>
    <col min="39" max="40" width="10.59765625" customWidth="1"/>
    <col min="41" max="41" width="8.73046875" customWidth="1"/>
    <col min="42" max="42" width="12.59765625" customWidth="1"/>
    <col min="43" max="43" width="11.59765625" customWidth="1"/>
    <col min="44" max="44" width="10.73046875" customWidth="1"/>
    <col min="45" max="45" width="8.73046875" customWidth="1"/>
    <col min="46" max="46" width="11.59765625" customWidth="1"/>
    <col min="47" max="47" width="12.59765625" customWidth="1"/>
    <col min="48" max="48" width="8.73046875" customWidth="1"/>
    <col min="49" max="49" width="16.73046875" customWidth="1"/>
    <col min="50" max="57" width="8.73046875" customWidth="1"/>
  </cols>
  <sheetData>
    <row r="1" spans="1:57" ht="14.25" customHeight="1" x14ac:dyDescent="0.45">
      <c r="AH1" s="1"/>
      <c r="AT1" s="2"/>
    </row>
    <row r="2" spans="1:57" ht="14.25" customHeight="1" x14ac:dyDescent="0.45">
      <c r="B2" s="202" t="s">
        <v>0</v>
      </c>
      <c r="C2" s="203"/>
      <c r="D2" s="3"/>
      <c r="E2" s="3"/>
      <c r="K2" s="16" t="s">
        <v>2</v>
      </c>
      <c r="L2" s="15"/>
      <c r="M2" s="204" t="s">
        <v>3</v>
      </c>
      <c r="N2" s="204"/>
      <c r="O2" s="205"/>
      <c r="P2" s="4"/>
      <c r="T2" s="16" t="s">
        <v>4</v>
      </c>
      <c r="U2" s="15"/>
      <c r="W2" s="3"/>
      <c r="AF2" s="16" t="s">
        <v>5</v>
      </c>
      <c r="AH2" s="1"/>
      <c r="AM2" s="16" t="s">
        <v>6</v>
      </c>
      <c r="AN2" s="15"/>
      <c r="AT2" s="19" t="s">
        <v>7</v>
      </c>
    </row>
    <row r="3" spans="1:57" ht="14.25" customHeight="1" x14ac:dyDescent="0.45">
      <c r="B3" s="16" t="s">
        <v>8</v>
      </c>
      <c r="C3" s="16" t="s">
        <v>9</v>
      </c>
      <c r="D3" s="4" t="s">
        <v>10</v>
      </c>
      <c r="E3" s="20" t="s">
        <v>24</v>
      </c>
      <c r="F3" s="4" t="s">
        <v>23</v>
      </c>
      <c r="G3" s="4" t="s">
        <v>21</v>
      </c>
      <c r="H3" s="4" t="s">
        <v>22</v>
      </c>
      <c r="I3" s="4" t="s">
        <v>11</v>
      </c>
      <c r="J3" s="4"/>
      <c r="K3" s="16" t="s">
        <v>12</v>
      </c>
      <c r="L3" s="16" t="s">
        <v>1</v>
      </c>
      <c r="M3" s="5" t="s">
        <v>87</v>
      </c>
      <c r="N3" s="20" t="s">
        <v>24</v>
      </c>
      <c r="O3" s="4" t="s">
        <v>1</v>
      </c>
      <c r="P3" s="4" t="s">
        <v>13</v>
      </c>
      <c r="Q3" s="4" t="s">
        <v>11</v>
      </c>
      <c r="T3" s="16" t="s">
        <v>12</v>
      </c>
      <c r="U3" s="15"/>
      <c r="V3" s="4" t="s">
        <v>1</v>
      </c>
      <c r="W3" s="20" t="s">
        <v>24</v>
      </c>
      <c r="X3" s="4" t="s">
        <v>12</v>
      </c>
      <c r="Y3" s="4" t="s">
        <v>1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11</v>
      </c>
      <c r="AE3" s="4"/>
      <c r="AF3" s="16" t="s">
        <v>1</v>
      </c>
      <c r="AG3" s="4" t="s">
        <v>18</v>
      </c>
      <c r="AH3" s="1" t="s">
        <v>13</v>
      </c>
      <c r="AI3" s="20" t="s">
        <v>77</v>
      </c>
      <c r="AJ3" s="4" t="s">
        <v>17</v>
      </c>
      <c r="AK3" s="4" t="s">
        <v>11</v>
      </c>
      <c r="AM3" s="16" t="s">
        <v>12</v>
      </c>
      <c r="AN3" s="16" t="s">
        <v>1</v>
      </c>
      <c r="AO3" s="4" t="s">
        <v>87</v>
      </c>
      <c r="AP3" s="20" t="s">
        <v>24</v>
      </c>
      <c r="AQ3" s="4" t="s">
        <v>1</v>
      </c>
      <c r="AR3" s="4" t="s">
        <v>19</v>
      </c>
      <c r="AT3" s="19" t="s">
        <v>12</v>
      </c>
      <c r="AU3" s="20" t="s">
        <v>24</v>
      </c>
      <c r="AW3" s="20" t="s">
        <v>80</v>
      </c>
      <c r="AX3" s="20" t="s">
        <v>81</v>
      </c>
    </row>
    <row r="4" spans="1:57" ht="14.25" customHeight="1" x14ac:dyDescent="0.45">
      <c r="A4" s="6">
        <v>44562</v>
      </c>
      <c r="B4" s="17">
        <v>411380</v>
      </c>
      <c r="C4" s="17">
        <v>381754</v>
      </c>
      <c r="D4" s="8"/>
      <c r="E4" s="7"/>
      <c r="F4" s="7"/>
      <c r="G4" s="8">
        <f>B4</f>
        <v>411380</v>
      </c>
      <c r="H4" s="8">
        <f>C4</f>
        <v>381754</v>
      </c>
      <c r="I4" s="8">
        <v>116685</v>
      </c>
      <c r="J4" s="8"/>
      <c r="K4" s="17"/>
      <c r="L4" s="17">
        <v>50469</v>
      </c>
      <c r="M4" s="8"/>
      <c r="N4" s="7"/>
      <c r="O4" s="8">
        <f>L4</f>
        <v>50469</v>
      </c>
      <c r="P4" s="8"/>
      <c r="Q4" s="8">
        <v>1976</v>
      </c>
      <c r="R4" s="7"/>
      <c r="S4" s="7"/>
      <c r="T4" s="17">
        <v>234143</v>
      </c>
      <c r="U4" s="17"/>
      <c r="V4" s="8">
        <v>228118</v>
      </c>
      <c r="W4" s="7"/>
      <c r="X4" s="8">
        <f>T4</f>
        <v>234143</v>
      </c>
      <c r="Y4" s="8">
        <f>V4</f>
        <v>228118</v>
      </c>
      <c r="Z4" s="8">
        <v>4914</v>
      </c>
      <c r="AA4" s="12">
        <v>3560.76</v>
      </c>
      <c r="AB4" s="8">
        <f t="shared" ref="AB4:AB30" si="0">Z4*AA4</f>
        <v>17497574.640000001</v>
      </c>
      <c r="AC4" s="8">
        <f t="shared" ref="AC4:AC30" si="1">AB4*Y4</f>
        <v>3991511731727.52</v>
      </c>
      <c r="AD4" s="8"/>
      <c r="AE4" s="8"/>
      <c r="AF4" s="17">
        <v>22000</v>
      </c>
      <c r="AG4" s="8">
        <f>AF4</f>
        <v>22000</v>
      </c>
      <c r="AH4" s="10"/>
      <c r="AI4" s="7"/>
      <c r="AJ4" s="8">
        <f t="shared" ref="AJ4:AJ30" si="2">AF4*AH4</f>
        <v>0</v>
      </c>
      <c r="AK4" s="8"/>
      <c r="AL4" s="7"/>
      <c r="AM4" s="17"/>
      <c r="AN4" s="17">
        <v>42627</v>
      </c>
      <c r="AO4" s="8"/>
      <c r="AP4" s="7"/>
      <c r="AQ4" s="8">
        <f>AN4</f>
        <v>42627</v>
      </c>
      <c r="AR4" s="8">
        <v>30962</v>
      </c>
      <c r="AS4" s="7"/>
      <c r="AT4" s="17">
        <v>707000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4.25" customHeight="1" x14ac:dyDescent="0.45">
      <c r="A5" s="6">
        <v>44593</v>
      </c>
      <c r="B5" s="17">
        <v>401006</v>
      </c>
      <c r="C5" s="17">
        <v>447200</v>
      </c>
      <c r="D5" s="8">
        <v>18550</v>
      </c>
      <c r="E5" s="9"/>
      <c r="F5" s="9"/>
      <c r="G5" s="8">
        <f t="shared" ref="G5:G15" si="3">G4+B5</f>
        <v>812386</v>
      </c>
      <c r="H5" s="8">
        <f t="shared" ref="H5:H15" si="4">C5+H4</f>
        <v>828954</v>
      </c>
      <c r="I5" s="8">
        <v>57179</v>
      </c>
      <c r="J5" s="8"/>
      <c r="K5" s="17"/>
      <c r="L5" s="17">
        <v>78538</v>
      </c>
      <c r="M5" s="8"/>
      <c r="N5" s="9"/>
      <c r="O5" s="8">
        <f t="shared" ref="O5:O15" si="5">L5+O4</f>
        <v>129007</v>
      </c>
      <c r="P5" s="8"/>
      <c r="Q5" s="8">
        <v>1163</v>
      </c>
      <c r="R5" s="7"/>
      <c r="S5" s="7"/>
      <c r="T5" s="17">
        <v>216832</v>
      </c>
      <c r="U5" s="17"/>
      <c r="V5" s="8">
        <v>238577</v>
      </c>
      <c r="W5" s="9"/>
      <c r="X5" s="8">
        <f t="shared" ref="X5:X15" si="6">T5+X4</f>
        <v>450975</v>
      </c>
      <c r="Y5" s="8">
        <f t="shared" ref="Y5:Y15" si="7">V5+Y4</f>
        <v>466695</v>
      </c>
      <c r="Z5" s="8">
        <v>5010</v>
      </c>
      <c r="AA5" s="12">
        <v>3613.77</v>
      </c>
      <c r="AB5" s="8">
        <f t="shared" si="0"/>
        <v>18104987.699999999</v>
      </c>
      <c r="AC5" s="8">
        <f t="shared" si="1"/>
        <v>8449507234651.5</v>
      </c>
      <c r="AD5" s="8"/>
      <c r="AE5" s="8"/>
      <c r="AF5" s="17">
        <v>22400</v>
      </c>
      <c r="AG5" s="8">
        <f>AF5+AG4</f>
        <v>44400</v>
      </c>
      <c r="AH5" s="10"/>
      <c r="AI5" s="9"/>
      <c r="AJ5" s="8">
        <f t="shared" si="2"/>
        <v>0</v>
      </c>
      <c r="AK5" s="8"/>
      <c r="AL5" s="7"/>
      <c r="AM5" s="17"/>
      <c r="AN5" s="17">
        <v>27361</v>
      </c>
      <c r="AO5" s="8"/>
      <c r="AP5" s="9"/>
      <c r="AQ5" s="8">
        <f t="shared" ref="AQ5:AQ15" si="8">AN5+AQ4</f>
        <v>69988</v>
      </c>
      <c r="AR5" s="8">
        <v>6993</v>
      </c>
      <c r="AS5" s="7"/>
      <c r="AT5" s="17">
        <v>693000</v>
      </c>
      <c r="AU5" s="9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ht="14.25" customHeight="1" x14ac:dyDescent="0.45">
      <c r="A6" s="6">
        <v>44621</v>
      </c>
      <c r="B6" s="17">
        <v>472792</v>
      </c>
      <c r="C6" s="17">
        <v>511348</v>
      </c>
      <c r="D6" s="8"/>
      <c r="E6" s="8">
        <f>SUM(B4:B6)</f>
        <v>1285178</v>
      </c>
      <c r="F6" s="8">
        <f>SUM(C4:C6)</f>
        <v>1340302</v>
      </c>
      <c r="G6" s="8">
        <f t="shared" si="3"/>
        <v>1285178</v>
      </c>
      <c r="H6" s="8">
        <f t="shared" si="4"/>
        <v>1340302</v>
      </c>
      <c r="I6" s="8">
        <v>196079</v>
      </c>
      <c r="J6" s="8"/>
      <c r="K6" s="17"/>
      <c r="L6" s="17">
        <v>88808</v>
      </c>
      <c r="M6" s="8"/>
      <c r="N6" s="8">
        <f>SUM(K4:K6)</f>
        <v>0</v>
      </c>
      <c r="O6" s="8">
        <f t="shared" si="5"/>
        <v>217815</v>
      </c>
      <c r="P6" s="8"/>
      <c r="Q6" s="8">
        <v>2120</v>
      </c>
      <c r="R6" s="7"/>
      <c r="S6" s="7"/>
      <c r="T6" s="17"/>
      <c r="U6" s="17"/>
      <c r="V6" s="8">
        <v>296000</v>
      </c>
      <c r="W6" s="8">
        <f>SUM(T4:T6)</f>
        <v>450975</v>
      </c>
      <c r="X6" s="8">
        <f t="shared" si="6"/>
        <v>450975</v>
      </c>
      <c r="Y6" s="8">
        <f t="shared" si="7"/>
        <v>762695</v>
      </c>
      <c r="Z6" s="8">
        <v>5277</v>
      </c>
      <c r="AA6" s="12">
        <v>3593.15</v>
      </c>
      <c r="AB6" s="8">
        <f t="shared" si="0"/>
        <v>18961052.550000001</v>
      </c>
      <c r="AC6" s="8">
        <f t="shared" si="1"/>
        <v>14461499974622.25</v>
      </c>
      <c r="AD6" s="8"/>
      <c r="AE6" s="8"/>
      <c r="AF6" s="17">
        <f>AG7-AG5-AF7</f>
        <v>24859</v>
      </c>
      <c r="AG6" s="8">
        <f>AG5+AF6</f>
        <v>69259</v>
      </c>
      <c r="AH6" s="10"/>
      <c r="AI6" s="8">
        <f>SUM(AF4:AF6)</f>
        <v>69259</v>
      </c>
      <c r="AJ6" s="8">
        <f t="shared" si="2"/>
        <v>0</v>
      </c>
      <c r="AK6" s="8"/>
      <c r="AL6" s="7"/>
      <c r="AM6" s="17"/>
      <c r="AN6" s="17">
        <v>35718</v>
      </c>
      <c r="AO6" s="8"/>
      <c r="AP6" s="8">
        <f>SUM(AM4:AM6)</f>
        <v>0</v>
      </c>
      <c r="AQ6" s="8">
        <f t="shared" si="8"/>
        <v>105706</v>
      </c>
      <c r="AR6" s="8">
        <v>20316</v>
      </c>
      <c r="AS6" s="7"/>
      <c r="AT6" s="17">
        <v>762000</v>
      </c>
      <c r="AU6" s="8">
        <f>SUM(AT4:AT6)</f>
        <v>2162000</v>
      </c>
      <c r="AV6" s="7"/>
      <c r="AW6" s="8">
        <f>AI6+W6+E6</f>
        <v>1805412</v>
      </c>
      <c r="AX6" s="7">
        <f>AU6/AW6</f>
        <v>1.1975105959193801</v>
      </c>
      <c r="AY6" s="7"/>
      <c r="AZ6" s="7"/>
      <c r="BA6" s="7"/>
      <c r="BB6" s="7"/>
      <c r="BC6" s="7"/>
      <c r="BD6" s="7"/>
      <c r="BE6" s="7"/>
    </row>
    <row r="7" spans="1:57" ht="14.25" customHeight="1" x14ac:dyDescent="0.45">
      <c r="A7" s="6">
        <v>44652</v>
      </c>
      <c r="B7" s="17">
        <v>401069</v>
      </c>
      <c r="C7" s="17">
        <v>297776</v>
      </c>
      <c r="D7" s="8"/>
      <c r="E7" s="8"/>
      <c r="F7" s="8"/>
      <c r="G7" s="8">
        <f t="shared" si="3"/>
        <v>1686247</v>
      </c>
      <c r="H7" s="8">
        <f t="shared" si="4"/>
        <v>1638078</v>
      </c>
      <c r="I7" s="8">
        <v>93366</v>
      </c>
      <c r="J7" s="8"/>
      <c r="K7" s="17"/>
      <c r="L7" s="17">
        <v>43625</v>
      </c>
      <c r="M7" s="8"/>
      <c r="N7" s="8"/>
      <c r="O7" s="8">
        <f t="shared" si="5"/>
        <v>261440</v>
      </c>
      <c r="P7" s="8"/>
      <c r="Q7" s="8">
        <v>3209</v>
      </c>
      <c r="R7" s="7"/>
      <c r="S7" s="7"/>
      <c r="T7" s="17">
        <v>252551</v>
      </c>
      <c r="U7" s="17"/>
      <c r="V7" s="8">
        <v>255696</v>
      </c>
      <c r="W7" s="8"/>
      <c r="X7" s="8">
        <f t="shared" si="6"/>
        <v>703526</v>
      </c>
      <c r="Y7" s="8">
        <f t="shared" si="7"/>
        <v>1018391</v>
      </c>
      <c r="Z7" s="8">
        <v>5160</v>
      </c>
      <c r="AA7" s="12">
        <v>3474.84</v>
      </c>
      <c r="AB7" s="8">
        <f t="shared" si="0"/>
        <v>17930174.400000002</v>
      </c>
      <c r="AC7" s="8">
        <f t="shared" si="1"/>
        <v>18259928237390.402</v>
      </c>
      <c r="AD7" s="8"/>
      <c r="AE7" s="8"/>
      <c r="AF7" s="17">
        <v>42600</v>
      </c>
      <c r="AG7" s="8">
        <v>111859</v>
      </c>
      <c r="AH7" s="10"/>
      <c r="AI7" s="8"/>
      <c r="AJ7" s="8">
        <f t="shared" si="2"/>
        <v>0</v>
      </c>
      <c r="AK7" s="8"/>
      <c r="AL7" s="7"/>
      <c r="AM7" s="17"/>
      <c r="AN7" s="17">
        <v>30791</v>
      </c>
      <c r="AO7" s="8"/>
      <c r="AP7" s="8"/>
      <c r="AQ7" s="8">
        <f t="shared" si="8"/>
        <v>136497</v>
      </c>
      <c r="AR7" s="8">
        <v>21648</v>
      </c>
      <c r="AS7" s="7"/>
      <c r="AT7" s="17">
        <v>737000</v>
      </c>
      <c r="AU7" s="8"/>
      <c r="AV7" s="7"/>
      <c r="AW7" s="7"/>
      <c r="AX7" s="7"/>
      <c r="AY7" s="7"/>
      <c r="AZ7" s="7"/>
      <c r="BA7" s="7"/>
      <c r="BB7" s="7"/>
      <c r="BC7" s="7"/>
      <c r="BD7" s="7"/>
      <c r="BE7" s="7"/>
    </row>
    <row r="8" spans="1:57" ht="14.25" customHeight="1" x14ac:dyDescent="0.45">
      <c r="A8" s="6">
        <v>44682</v>
      </c>
      <c r="B8" s="17">
        <v>401748</v>
      </c>
      <c r="C8" s="17">
        <v>385447</v>
      </c>
      <c r="D8" s="8">
        <v>19800</v>
      </c>
      <c r="E8" s="8"/>
      <c r="F8" s="8"/>
      <c r="G8" s="8">
        <f t="shared" si="3"/>
        <v>2087995</v>
      </c>
      <c r="H8" s="8">
        <f t="shared" si="4"/>
        <v>2023525</v>
      </c>
      <c r="I8" s="8">
        <v>167000</v>
      </c>
      <c r="J8" s="8"/>
      <c r="K8" s="17"/>
      <c r="L8" s="17">
        <v>51014</v>
      </c>
      <c r="M8" s="8"/>
      <c r="N8" s="8"/>
      <c r="O8" s="8">
        <f t="shared" si="5"/>
        <v>312454</v>
      </c>
      <c r="P8" s="8"/>
      <c r="Q8" s="8">
        <v>1997</v>
      </c>
      <c r="R8" s="7"/>
      <c r="S8" s="7"/>
      <c r="T8" s="17">
        <v>249435</v>
      </c>
      <c r="U8" s="17">
        <f>SUM(T7:T9)</f>
        <v>747163</v>
      </c>
      <c r="V8" s="8">
        <v>204298</v>
      </c>
      <c r="W8" s="8"/>
      <c r="X8" s="8">
        <f t="shared" si="6"/>
        <v>952961</v>
      </c>
      <c r="Y8" s="8">
        <f t="shared" si="7"/>
        <v>1222689</v>
      </c>
      <c r="Z8" s="8">
        <v>4883</v>
      </c>
      <c r="AA8" s="12">
        <v>3480.17</v>
      </c>
      <c r="AB8" s="8">
        <f t="shared" si="0"/>
        <v>16993670.109999999</v>
      </c>
      <c r="AC8" s="8">
        <f t="shared" si="1"/>
        <v>20777973513125.789</v>
      </c>
      <c r="AD8" s="8"/>
      <c r="AE8" s="8"/>
      <c r="AF8" s="17">
        <v>63000</v>
      </c>
      <c r="AG8" s="8">
        <f t="shared" ref="AG8:AG15" si="9">AF8+AG7</f>
        <v>174859</v>
      </c>
      <c r="AH8" s="10"/>
      <c r="AI8" s="8"/>
      <c r="AJ8" s="8">
        <f t="shared" si="2"/>
        <v>0</v>
      </c>
      <c r="AK8" s="8"/>
      <c r="AL8" s="7"/>
      <c r="AM8" s="17"/>
      <c r="AN8" s="17">
        <v>16368</v>
      </c>
      <c r="AO8" s="8"/>
      <c r="AP8" s="8"/>
      <c r="AQ8" s="8">
        <f t="shared" si="8"/>
        <v>152865</v>
      </c>
      <c r="AR8" s="8">
        <v>8058</v>
      </c>
      <c r="AS8" s="7"/>
      <c r="AT8" s="17">
        <v>780000</v>
      </c>
      <c r="AU8" s="8"/>
      <c r="AV8" s="7"/>
      <c r="AW8" s="7"/>
      <c r="AX8" s="7"/>
      <c r="AY8" s="7"/>
      <c r="AZ8" s="7"/>
      <c r="BA8" s="7"/>
      <c r="BB8" s="7"/>
      <c r="BC8" s="7"/>
      <c r="BD8" s="7"/>
      <c r="BE8" s="7"/>
    </row>
    <row r="9" spans="1:57" ht="14.25" customHeight="1" x14ac:dyDescent="0.45">
      <c r="A9" s="6">
        <v>44713</v>
      </c>
      <c r="B9" s="17">
        <v>318606</v>
      </c>
      <c r="C9" s="17">
        <v>347898</v>
      </c>
      <c r="D9" s="8"/>
      <c r="E9" s="8">
        <f>SUM(B7:B9)</f>
        <v>1121423</v>
      </c>
      <c r="F9" s="8">
        <f>SUM(C7:C9)</f>
        <v>1031121</v>
      </c>
      <c r="G9" s="8">
        <f t="shared" si="3"/>
        <v>2406601</v>
      </c>
      <c r="H9" s="8">
        <f t="shared" si="4"/>
        <v>2371423</v>
      </c>
      <c r="I9" s="8">
        <v>117962</v>
      </c>
      <c r="J9" s="8"/>
      <c r="K9" s="17"/>
      <c r="L9" s="17">
        <v>64517</v>
      </c>
      <c r="M9" s="8"/>
      <c r="N9" s="8">
        <f>SUM(K7:K9)</f>
        <v>0</v>
      </c>
      <c r="O9" s="8">
        <f t="shared" si="5"/>
        <v>376971</v>
      </c>
      <c r="P9" s="8"/>
      <c r="Q9" s="8">
        <v>2586</v>
      </c>
      <c r="R9" s="7"/>
      <c r="S9" s="7"/>
      <c r="T9" s="17">
        <v>245177</v>
      </c>
      <c r="U9" s="17"/>
      <c r="V9" s="8">
        <v>202317</v>
      </c>
      <c r="W9" s="8">
        <f>SUM(T7:T9)</f>
        <v>747163</v>
      </c>
      <c r="X9" s="8">
        <f t="shared" si="6"/>
        <v>1198138</v>
      </c>
      <c r="Y9" s="8">
        <f t="shared" si="7"/>
        <v>1425006</v>
      </c>
      <c r="Z9" s="8">
        <v>4442</v>
      </c>
      <c r="AA9" s="12">
        <v>3473.13</v>
      </c>
      <c r="AB9" s="8">
        <f t="shared" si="0"/>
        <v>15427643.460000001</v>
      </c>
      <c r="AC9" s="8">
        <f t="shared" si="1"/>
        <v>21984484496360.762</v>
      </c>
      <c r="AD9" s="8"/>
      <c r="AE9" s="8"/>
      <c r="AF9" s="17">
        <v>10000</v>
      </c>
      <c r="AG9" s="8">
        <f t="shared" si="9"/>
        <v>184859</v>
      </c>
      <c r="AH9" s="10"/>
      <c r="AI9" s="8">
        <f>SUM(AF7:AF9)</f>
        <v>115600</v>
      </c>
      <c r="AJ9" s="8">
        <f t="shared" si="2"/>
        <v>0</v>
      </c>
      <c r="AK9" s="8"/>
      <c r="AL9" s="7"/>
      <c r="AM9" s="17"/>
      <c r="AN9" s="17">
        <v>16368</v>
      </c>
      <c r="AO9" s="8"/>
      <c r="AP9" s="8">
        <f>SUM(AM7:AM9)</f>
        <v>0</v>
      </c>
      <c r="AQ9" s="8">
        <f t="shared" si="8"/>
        <v>169233</v>
      </c>
      <c r="AR9" s="8">
        <v>8058</v>
      </c>
      <c r="AS9" s="7"/>
      <c r="AT9" s="17">
        <v>670000</v>
      </c>
      <c r="AU9" s="8">
        <f>SUM(AT7:AT9)</f>
        <v>2187000</v>
      </c>
      <c r="AV9" s="7"/>
      <c r="AW9" s="8">
        <f>AI9+W9+E9</f>
        <v>1984186</v>
      </c>
      <c r="AX9" s="7">
        <f>AU9/AW9</f>
        <v>1.102215215710624</v>
      </c>
      <c r="AY9" s="7"/>
      <c r="AZ9" s="7"/>
      <c r="BA9" s="7"/>
      <c r="BB9" s="7"/>
      <c r="BC9" s="7"/>
      <c r="BD9" s="7"/>
      <c r="BE9" s="7"/>
    </row>
    <row r="10" spans="1:57" ht="14.25" customHeight="1" x14ac:dyDescent="0.45">
      <c r="A10" s="6">
        <v>44743</v>
      </c>
      <c r="B10" s="17">
        <v>411694</v>
      </c>
      <c r="C10" s="17">
        <v>372731</v>
      </c>
      <c r="D10" s="8"/>
      <c r="E10" s="9"/>
      <c r="F10" s="9"/>
      <c r="G10" s="8">
        <f t="shared" si="3"/>
        <v>2818295</v>
      </c>
      <c r="H10" s="8">
        <f t="shared" si="4"/>
        <v>2744154</v>
      </c>
      <c r="I10" s="8">
        <v>146749</v>
      </c>
      <c r="J10" s="8"/>
      <c r="K10" s="17"/>
      <c r="L10" s="17">
        <v>60635</v>
      </c>
      <c r="M10" s="8"/>
      <c r="N10" s="9"/>
      <c r="O10" s="8">
        <f t="shared" si="5"/>
        <v>437606</v>
      </c>
      <c r="P10" s="8"/>
      <c r="Q10" s="8">
        <v>1520</v>
      </c>
      <c r="R10" s="7"/>
      <c r="S10" s="7"/>
      <c r="T10" s="17">
        <v>224342</v>
      </c>
      <c r="U10" s="17"/>
      <c r="V10" s="8">
        <v>149919</v>
      </c>
      <c r="W10" s="9"/>
      <c r="X10" s="8">
        <f t="shared" si="6"/>
        <v>1422480</v>
      </c>
      <c r="Y10" s="8">
        <f t="shared" si="7"/>
        <v>1574925</v>
      </c>
      <c r="Z10" s="8">
        <v>3982</v>
      </c>
      <c r="AA10" s="12">
        <v>3460.75</v>
      </c>
      <c r="AB10" s="8">
        <f t="shared" si="0"/>
        <v>13780706.5</v>
      </c>
      <c r="AC10" s="8">
        <f t="shared" si="1"/>
        <v>21703579184512.5</v>
      </c>
      <c r="AD10" s="8"/>
      <c r="AE10" s="8"/>
      <c r="AF10" s="17">
        <v>4000</v>
      </c>
      <c r="AG10" s="8">
        <f t="shared" si="9"/>
        <v>188859</v>
      </c>
      <c r="AH10" s="10"/>
      <c r="AI10" s="9"/>
      <c r="AJ10" s="8">
        <f t="shared" si="2"/>
        <v>0</v>
      </c>
      <c r="AK10" s="8"/>
      <c r="AL10" s="7"/>
      <c r="AM10" s="17"/>
      <c r="AN10" s="17">
        <v>17803</v>
      </c>
      <c r="AO10" s="8"/>
      <c r="AP10" s="9"/>
      <c r="AQ10" s="8">
        <f t="shared" si="8"/>
        <v>187036</v>
      </c>
      <c r="AR10" s="8">
        <v>5501</v>
      </c>
      <c r="AS10" s="7"/>
      <c r="AT10" s="17">
        <v>550000</v>
      </c>
      <c r="AU10" s="9"/>
      <c r="AV10" s="7"/>
      <c r="AW10" s="7"/>
      <c r="AX10" s="7"/>
      <c r="AY10" s="7"/>
      <c r="AZ10" s="7"/>
      <c r="BA10" s="7"/>
      <c r="BB10" s="7"/>
      <c r="BC10" s="7"/>
      <c r="BD10" s="7"/>
      <c r="BE10" s="7"/>
    </row>
    <row r="11" spans="1:57" ht="14.25" customHeight="1" x14ac:dyDescent="0.45">
      <c r="A11" s="6">
        <v>44774</v>
      </c>
      <c r="B11" s="17">
        <v>345406</v>
      </c>
      <c r="C11" s="17">
        <v>386990</v>
      </c>
      <c r="D11" s="8">
        <v>16520</v>
      </c>
      <c r="E11" s="8"/>
      <c r="F11" s="8"/>
      <c r="G11" s="8">
        <f t="shared" si="3"/>
        <v>3163701</v>
      </c>
      <c r="H11" s="8">
        <f t="shared" si="4"/>
        <v>3131144</v>
      </c>
      <c r="I11" s="8">
        <v>94397</v>
      </c>
      <c r="J11" s="8"/>
      <c r="K11" s="17"/>
      <c r="L11" s="17">
        <v>63687</v>
      </c>
      <c r="M11" s="8"/>
      <c r="N11" s="8"/>
      <c r="O11" s="8">
        <f t="shared" si="5"/>
        <v>501293</v>
      </c>
      <c r="P11" s="8"/>
      <c r="Q11" s="8">
        <v>1350</v>
      </c>
      <c r="R11" s="7"/>
      <c r="S11" s="7"/>
      <c r="T11" s="17">
        <v>173508</v>
      </c>
      <c r="U11" s="17"/>
      <c r="V11" s="8">
        <v>233511</v>
      </c>
      <c r="W11" s="8"/>
      <c r="X11" s="8">
        <f t="shared" si="6"/>
        <v>1595988</v>
      </c>
      <c r="Y11" s="8">
        <f t="shared" si="7"/>
        <v>1808436</v>
      </c>
      <c r="Z11" s="8">
        <v>4021</v>
      </c>
      <c r="AA11" s="12">
        <v>3388.36</v>
      </c>
      <c r="AB11" s="8">
        <f t="shared" si="0"/>
        <v>13624595.560000001</v>
      </c>
      <c r="AC11" s="8">
        <f t="shared" si="1"/>
        <v>24639209096144.16</v>
      </c>
      <c r="AD11" s="8"/>
      <c r="AE11" s="8"/>
      <c r="AF11" s="17">
        <v>9000</v>
      </c>
      <c r="AG11" s="8">
        <f t="shared" si="9"/>
        <v>197859</v>
      </c>
      <c r="AH11" s="10"/>
      <c r="AI11" s="8"/>
      <c r="AJ11" s="8">
        <f t="shared" si="2"/>
        <v>0</v>
      </c>
      <c r="AK11" s="8"/>
      <c r="AL11" s="7"/>
      <c r="AM11" s="17"/>
      <c r="AN11" s="17">
        <v>28623</v>
      </c>
      <c r="AO11" s="8"/>
      <c r="AP11" s="8"/>
      <c r="AQ11" s="8">
        <f t="shared" si="8"/>
        <v>215659</v>
      </c>
      <c r="AR11" s="8">
        <v>15415</v>
      </c>
      <c r="AS11" s="7"/>
      <c r="AT11" s="17">
        <v>600000</v>
      </c>
      <c r="AU11" s="8"/>
      <c r="AV11" s="7"/>
      <c r="AW11" s="7"/>
      <c r="AX11" s="7"/>
      <c r="AY11" s="7"/>
      <c r="AZ11" s="7"/>
      <c r="BA11" s="7"/>
      <c r="BB11" s="7"/>
      <c r="BC11" s="7"/>
      <c r="BD11" s="7"/>
      <c r="BE11" s="7"/>
    </row>
    <row r="12" spans="1:57" ht="14.25" customHeight="1" x14ac:dyDescent="0.45">
      <c r="A12" s="6">
        <v>44805</v>
      </c>
      <c r="B12" s="17">
        <v>395794</v>
      </c>
      <c r="C12" s="17">
        <v>317430</v>
      </c>
      <c r="D12" s="8"/>
      <c r="E12" s="8">
        <f>SUM(B10:B12)</f>
        <v>1152894</v>
      </c>
      <c r="F12" s="8">
        <f>SUM(C10:C12)</f>
        <v>1077151</v>
      </c>
      <c r="G12" s="8">
        <f t="shared" si="3"/>
        <v>3559495</v>
      </c>
      <c r="H12" s="8">
        <f t="shared" si="4"/>
        <v>3448574</v>
      </c>
      <c r="I12" s="8">
        <v>51001</v>
      </c>
      <c r="J12" s="8"/>
      <c r="K12" s="17"/>
      <c r="L12" s="17">
        <v>75770</v>
      </c>
      <c r="M12" s="8"/>
      <c r="N12" s="8">
        <f>SUM(K10:K12)</f>
        <v>0</v>
      </c>
      <c r="O12" s="8">
        <f t="shared" si="5"/>
        <v>577063</v>
      </c>
      <c r="P12" s="8"/>
      <c r="Q12" s="8">
        <v>1110</v>
      </c>
      <c r="R12" s="7"/>
      <c r="S12" s="7"/>
      <c r="T12" s="17">
        <v>212275</v>
      </c>
      <c r="U12" s="17">
        <f>SUM(T10:T12)</f>
        <v>610125</v>
      </c>
      <c r="V12" s="8">
        <v>228204</v>
      </c>
      <c r="W12" s="8">
        <f>SUM(T10:T12)</f>
        <v>610125</v>
      </c>
      <c r="X12" s="8">
        <f t="shared" si="6"/>
        <v>1808263</v>
      </c>
      <c r="Y12" s="8">
        <f t="shared" si="7"/>
        <v>2036640</v>
      </c>
      <c r="Z12" s="8">
        <v>4047</v>
      </c>
      <c r="AA12" s="12">
        <v>3296.99</v>
      </c>
      <c r="AB12" s="8">
        <f t="shared" si="0"/>
        <v>13342918.529999999</v>
      </c>
      <c r="AC12" s="8">
        <f t="shared" si="1"/>
        <v>27174721594939.199</v>
      </c>
      <c r="AD12" s="8"/>
      <c r="AE12" s="8"/>
      <c r="AF12" s="17">
        <v>9000</v>
      </c>
      <c r="AG12" s="8">
        <f t="shared" si="9"/>
        <v>206859</v>
      </c>
      <c r="AH12" s="10">
        <v>13.695</v>
      </c>
      <c r="AI12" s="8">
        <f>SUM(AF10:AF12)</f>
        <v>22000</v>
      </c>
      <c r="AJ12" s="8">
        <f t="shared" si="2"/>
        <v>123255</v>
      </c>
      <c r="AK12" s="8"/>
      <c r="AL12" s="7"/>
      <c r="AM12" s="17"/>
      <c r="AN12" s="17">
        <v>22266</v>
      </c>
      <c r="AO12" s="8"/>
      <c r="AP12" s="8">
        <f>SUM(AM10:AM12)</f>
        <v>0</v>
      </c>
      <c r="AQ12" s="8">
        <f t="shared" si="8"/>
        <v>237925</v>
      </c>
      <c r="AR12" s="8">
        <v>5141</v>
      </c>
      <c r="AS12" s="7"/>
      <c r="AT12" s="17">
        <v>540000</v>
      </c>
      <c r="AU12" s="8">
        <f>SUM(AT10:AT12)</f>
        <v>1690000</v>
      </c>
      <c r="AV12" s="7"/>
      <c r="AW12" s="8">
        <f>AI12+W12+E12</f>
        <v>1785019</v>
      </c>
      <c r="AX12" s="7">
        <f>AU12/AW12</f>
        <v>0.9467686338352701</v>
      </c>
      <c r="AY12" s="7"/>
      <c r="AZ12" s="7"/>
      <c r="BA12" s="7"/>
      <c r="BB12" s="7"/>
      <c r="BC12" s="7"/>
      <c r="BD12" s="7"/>
      <c r="BE12" s="7"/>
    </row>
    <row r="13" spans="1:57" ht="14.25" customHeight="1" x14ac:dyDescent="0.45">
      <c r="A13" s="6">
        <v>44835</v>
      </c>
      <c r="B13" s="17">
        <v>228900</v>
      </c>
      <c r="C13" s="17">
        <v>209891</v>
      </c>
      <c r="D13" s="8"/>
      <c r="E13" s="8"/>
      <c r="F13" s="8"/>
      <c r="G13" s="8">
        <f t="shared" si="3"/>
        <v>3788395</v>
      </c>
      <c r="H13" s="8">
        <f t="shared" si="4"/>
        <v>3658465</v>
      </c>
      <c r="I13" s="8">
        <v>39099</v>
      </c>
      <c r="J13" s="8"/>
      <c r="K13" s="17"/>
      <c r="L13" s="17">
        <v>57591</v>
      </c>
      <c r="M13" s="8"/>
      <c r="N13" s="8"/>
      <c r="O13" s="8">
        <f t="shared" si="5"/>
        <v>634654</v>
      </c>
      <c r="P13" s="8"/>
      <c r="Q13" s="8">
        <v>889</v>
      </c>
      <c r="R13" s="7"/>
      <c r="S13" s="7"/>
      <c r="T13" s="17">
        <v>243328</v>
      </c>
      <c r="U13" s="17"/>
      <c r="V13" s="8">
        <v>267578</v>
      </c>
      <c r="W13" s="8"/>
      <c r="X13" s="8">
        <f t="shared" si="6"/>
        <v>2051591</v>
      </c>
      <c r="Y13" s="8">
        <f t="shared" si="7"/>
        <v>2304218</v>
      </c>
      <c r="Z13" s="8">
        <v>3761</v>
      </c>
      <c r="AA13" s="12">
        <v>3424.02</v>
      </c>
      <c r="AB13" s="8">
        <f t="shared" si="0"/>
        <v>12877739.220000001</v>
      </c>
      <c r="AC13" s="8">
        <f t="shared" si="1"/>
        <v>29673118510029.961</v>
      </c>
      <c r="AD13" s="8">
        <v>27257</v>
      </c>
      <c r="AE13" s="8"/>
      <c r="AF13" s="17">
        <v>15000</v>
      </c>
      <c r="AG13" s="8">
        <f t="shared" si="9"/>
        <v>221859</v>
      </c>
      <c r="AH13" s="10">
        <v>12.98</v>
      </c>
      <c r="AI13" s="8"/>
      <c r="AJ13" s="8">
        <f t="shared" si="2"/>
        <v>194700</v>
      </c>
      <c r="AK13" s="8"/>
      <c r="AL13" s="7"/>
      <c r="AM13" s="17"/>
      <c r="AN13" s="17">
        <v>27415</v>
      </c>
      <c r="AO13" s="8"/>
      <c r="AP13" s="8"/>
      <c r="AQ13" s="8">
        <f t="shared" si="8"/>
        <v>265340</v>
      </c>
      <c r="AR13" s="8">
        <v>15474</v>
      </c>
      <c r="AS13" s="7"/>
      <c r="AT13" s="17">
        <v>567000</v>
      </c>
      <c r="AU13" s="8"/>
      <c r="AV13" s="7"/>
      <c r="AW13" s="7"/>
      <c r="AX13" s="7"/>
      <c r="AY13" s="7"/>
      <c r="AZ13" s="7"/>
      <c r="BA13" s="7"/>
      <c r="BB13" s="7"/>
      <c r="BC13" s="7"/>
      <c r="BD13" s="7"/>
      <c r="BE13" s="7"/>
    </row>
    <row r="14" spans="1:57" ht="14.25" customHeight="1" x14ac:dyDescent="0.45">
      <c r="A14" s="6">
        <v>44866</v>
      </c>
      <c r="B14" s="17">
        <v>172334</v>
      </c>
      <c r="C14" s="17">
        <v>252723</v>
      </c>
      <c r="D14" s="8">
        <v>15950</v>
      </c>
      <c r="E14" s="8"/>
      <c r="F14" s="8"/>
      <c r="G14" s="8">
        <f t="shared" si="3"/>
        <v>3960729</v>
      </c>
      <c r="H14" s="8">
        <f t="shared" si="4"/>
        <v>3911188</v>
      </c>
      <c r="I14" s="8">
        <v>28921</v>
      </c>
      <c r="J14" s="8"/>
      <c r="K14" s="17"/>
      <c r="L14" s="17">
        <v>53473</v>
      </c>
      <c r="M14" s="8"/>
      <c r="N14" s="8"/>
      <c r="O14" s="8">
        <f t="shared" si="5"/>
        <v>688127</v>
      </c>
      <c r="P14" s="8"/>
      <c r="Q14" s="8">
        <v>1098</v>
      </c>
      <c r="R14" s="7"/>
      <c r="S14" s="7"/>
      <c r="T14" s="17">
        <v>165193</v>
      </c>
      <c r="U14" s="17"/>
      <c r="V14" s="8">
        <v>180814</v>
      </c>
      <c r="W14" s="8"/>
      <c r="X14" s="8">
        <f t="shared" si="6"/>
        <v>2216784</v>
      </c>
      <c r="Y14" s="8">
        <f t="shared" si="7"/>
        <v>2485032</v>
      </c>
      <c r="Z14" s="8">
        <v>3931</v>
      </c>
      <c r="AA14" s="12">
        <v>3437.75</v>
      </c>
      <c r="AB14" s="8">
        <f t="shared" si="0"/>
        <v>13513795.25</v>
      </c>
      <c r="AC14" s="8">
        <f t="shared" si="1"/>
        <v>33582213637698</v>
      </c>
      <c r="AD14" s="8">
        <v>7528</v>
      </c>
      <c r="AE14" s="8"/>
      <c r="AF14" s="17">
        <v>11000</v>
      </c>
      <c r="AG14" s="8">
        <f t="shared" si="9"/>
        <v>232859</v>
      </c>
      <c r="AH14" s="10">
        <v>13.53</v>
      </c>
      <c r="AI14" s="8"/>
      <c r="AJ14" s="8">
        <f t="shared" si="2"/>
        <v>148830</v>
      </c>
      <c r="AK14" s="8"/>
      <c r="AL14" s="7"/>
      <c r="AM14" s="17"/>
      <c r="AN14" s="17">
        <v>22757</v>
      </c>
      <c r="AO14" s="8"/>
      <c r="AP14" s="8"/>
      <c r="AQ14" s="8">
        <f t="shared" si="8"/>
        <v>288097</v>
      </c>
      <c r="AR14" s="8">
        <v>9034</v>
      </c>
      <c r="AS14" s="7"/>
      <c r="AT14" s="17">
        <v>384000</v>
      </c>
      <c r="AU14" s="8"/>
      <c r="AV14" s="7"/>
      <c r="AW14" s="7"/>
      <c r="AX14" s="7"/>
      <c r="AY14" s="7"/>
      <c r="AZ14" s="7"/>
      <c r="BA14" s="7"/>
      <c r="BB14" s="7"/>
      <c r="BC14" s="7"/>
      <c r="BD14" s="7"/>
      <c r="BE14" s="7"/>
    </row>
    <row r="15" spans="1:57" ht="14.25" customHeight="1" x14ac:dyDescent="0.45">
      <c r="A15" s="6">
        <v>44896</v>
      </c>
      <c r="B15" s="17">
        <v>302580</v>
      </c>
      <c r="C15" s="17">
        <v>358126</v>
      </c>
      <c r="D15" s="8"/>
      <c r="E15" s="8">
        <f>SUM(B13:B15)</f>
        <v>703814</v>
      </c>
      <c r="F15" s="8">
        <f>SUM(C13:C15)</f>
        <v>820740</v>
      </c>
      <c r="G15" s="8">
        <f t="shared" si="3"/>
        <v>4263309</v>
      </c>
      <c r="H15" s="8">
        <f t="shared" si="4"/>
        <v>4269314</v>
      </c>
      <c r="I15" s="8">
        <v>50107</v>
      </c>
      <c r="J15" s="8"/>
      <c r="K15" s="17"/>
      <c r="L15" s="17">
        <v>61170</v>
      </c>
      <c r="M15" s="8"/>
      <c r="N15" s="8">
        <f>SUM(K13:K15)</f>
        <v>0</v>
      </c>
      <c r="O15" s="8">
        <f t="shared" si="5"/>
        <v>749297</v>
      </c>
      <c r="P15" s="8"/>
      <c r="Q15" s="8">
        <v>1470</v>
      </c>
      <c r="R15" s="7"/>
      <c r="S15" s="7"/>
      <c r="T15" s="17">
        <v>278</v>
      </c>
      <c r="U15" s="17">
        <f>SUM(T13:T15)</f>
        <v>408799</v>
      </c>
      <c r="V15" s="8">
        <v>144852</v>
      </c>
      <c r="W15" s="8">
        <f>SUM(T13:T15)</f>
        <v>408799</v>
      </c>
      <c r="X15" s="8">
        <f t="shared" si="6"/>
        <v>2217062</v>
      </c>
      <c r="Y15" s="8">
        <f t="shared" si="7"/>
        <v>2629884</v>
      </c>
      <c r="Z15" s="8">
        <v>4163</v>
      </c>
      <c r="AA15" s="12">
        <v>3391.85</v>
      </c>
      <c r="AB15" s="8">
        <f t="shared" si="0"/>
        <v>14120271.549999999</v>
      </c>
      <c r="AC15" s="8">
        <f t="shared" si="1"/>
        <v>37134676225000.195</v>
      </c>
      <c r="AD15" s="8">
        <v>11940</v>
      </c>
      <c r="AE15" s="8"/>
      <c r="AF15" s="17">
        <v>56000</v>
      </c>
      <c r="AG15" s="8">
        <f t="shared" si="9"/>
        <v>288859</v>
      </c>
      <c r="AH15" s="10">
        <v>14.244999999999999</v>
      </c>
      <c r="AI15" s="8">
        <f>SUM(AF13:AF15)</f>
        <v>82000</v>
      </c>
      <c r="AJ15" s="8">
        <f t="shared" si="2"/>
        <v>797720</v>
      </c>
      <c r="AK15" s="8"/>
      <c r="AL15" s="7"/>
      <c r="AM15" s="17"/>
      <c r="AN15" s="17">
        <v>29287</v>
      </c>
      <c r="AO15" s="8"/>
      <c r="AP15" s="8">
        <f>SUM(AM13:AM15)</f>
        <v>0</v>
      </c>
      <c r="AQ15" s="8">
        <f t="shared" si="8"/>
        <v>317384</v>
      </c>
      <c r="AR15" s="8">
        <v>13715</v>
      </c>
      <c r="AS15" s="7"/>
      <c r="AT15" s="17">
        <v>388000</v>
      </c>
      <c r="AU15" s="8">
        <f>SUM(AT13:AT15)</f>
        <v>1339000</v>
      </c>
      <c r="AV15" s="7"/>
      <c r="AW15" s="8">
        <f>AI15+W15+E15</f>
        <v>1194613</v>
      </c>
      <c r="AX15" s="7">
        <f>AU15/AW15</f>
        <v>1.1208650835040301</v>
      </c>
      <c r="AY15" s="7"/>
      <c r="AZ15" s="7"/>
      <c r="BA15" s="7"/>
      <c r="BB15" s="7"/>
      <c r="BC15" s="7"/>
      <c r="BD15" s="7"/>
      <c r="BE15" s="7"/>
    </row>
    <row r="16" spans="1:57" ht="14.25" customHeight="1" x14ac:dyDescent="0.45">
      <c r="A16" s="11">
        <v>44927</v>
      </c>
      <c r="B16" s="17">
        <v>326469</v>
      </c>
      <c r="C16" s="17">
        <v>304279</v>
      </c>
      <c r="D16" s="8"/>
      <c r="E16" s="8"/>
      <c r="F16" s="8"/>
      <c r="G16" s="8">
        <f>B16</f>
        <v>326469</v>
      </c>
      <c r="H16" s="8">
        <f>C16</f>
        <v>304279</v>
      </c>
      <c r="I16" s="8">
        <v>46826</v>
      </c>
      <c r="J16" s="8"/>
      <c r="K16" s="17"/>
      <c r="L16" s="17">
        <v>53347</v>
      </c>
      <c r="M16" s="8"/>
      <c r="N16" s="8"/>
      <c r="O16" s="8">
        <f>L16</f>
        <v>53347</v>
      </c>
      <c r="P16" s="8">
        <v>21400</v>
      </c>
      <c r="Q16" s="8">
        <v>1300</v>
      </c>
      <c r="R16" s="8"/>
      <c r="S16" s="8"/>
      <c r="T16" s="17">
        <v>140256</v>
      </c>
      <c r="U16" s="17"/>
      <c r="V16" s="8">
        <v>85488</v>
      </c>
      <c r="W16" s="8"/>
      <c r="X16" s="8">
        <f>T16</f>
        <v>140256</v>
      </c>
      <c r="Y16" s="8">
        <f>V16</f>
        <v>85488</v>
      </c>
      <c r="Z16" s="8">
        <v>4283</v>
      </c>
      <c r="AA16" s="12">
        <v>3477.67</v>
      </c>
      <c r="AB16" s="8">
        <f t="shared" si="0"/>
        <v>14894860.609999999</v>
      </c>
      <c r="AC16" s="8">
        <f t="shared" si="1"/>
        <v>1273331843827.6799</v>
      </c>
      <c r="AD16" s="8">
        <v>4659</v>
      </c>
      <c r="AE16" s="8"/>
      <c r="AF16" s="17">
        <v>12000</v>
      </c>
      <c r="AG16" s="8">
        <f>AF16</f>
        <v>12000</v>
      </c>
      <c r="AH16" s="10">
        <v>15.73</v>
      </c>
      <c r="AI16" s="8"/>
      <c r="AJ16" s="8">
        <f t="shared" si="2"/>
        <v>188760</v>
      </c>
      <c r="AK16" s="8"/>
      <c r="AL16" s="7"/>
      <c r="AM16" s="17"/>
      <c r="AN16" s="17">
        <v>29287</v>
      </c>
      <c r="AO16" s="8"/>
      <c r="AP16" s="8"/>
      <c r="AQ16" s="8">
        <f>AN16</f>
        <v>29287</v>
      </c>
      <c r="AR16" s="8">
        <v>13715</v>
      </c>
      <c r="AS16" s="7"/>
      <c r="AT16" s="17">
        <v>392000</v>
      </c>
      <c r="AU16" s="8"/>
      <c r="AV16" s="7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14.25" customHeight="1" x14ac:dyDescent="0.45">
      <c r="A17" s="11">
        <v>44958</v>
      </c>
      <c r="B17" s="17">
        <v>273372</v>
      </c>
      <c r="C17" s="17">
        <v>282832</v>
      </c>
      <c r="D17" s="8">
        <v>17235</v>
      </c>
      <c r="E17" s="8"/>
      <c r="F17" s="8"/>
      <c r="G17" s="8">
        <f t="shared" ref="G17:G27" si="10">G16+B17</f>
        <v>599841</v>
      </c>
      <c r="H17" s="8">
        <f t="shared" ref="H17:H27" si="11">H16+C17</f>
        <v>587111</v>
      </c>
      <c r="I17" s="8">
        <v>38407</v>
      </c>
      <c r="J17" s="8"/>
      <c r="K17" s="17"/>
      <c r="L17" s="17">
        <v>53948</v>
      </c>
      <c r="M17" s="8"/>
      <c r="N17" s="8"/>
      <c r="O17" s="8">
        <f t="shared" ref="O17:O27" si="12">L17+O16</f>
        <v>107295</v>
      </c>
      <c r="P17" s="8">
        <v>21700</v>
      </c>
      <c r="Q17" s="8">
        <v>3449</v>
      </c>
      <c r="R17" s="8"/>
      <c r="S17" s="8"/>
      <c r="T17" s="17">
        <v>189695</v>
      </c>
      <c r="U17" s="17"/>
      <c r="V17" s="8">
        <v>186204</v>
      </c>
      <c r="W17" s="8"/>
      <c r="X17" s="8">
        <f t="shared" ref="X17:X27" si="13">T17+X16</f>
        <v>329951</v>
      </c>
      <c r="Y17" s="8">
        <f t="shared" ref="Y17:Y27" si="14">V17+Y16</f>
        <v>271692</v>
      </c>
      <c r="Z17" s="8">
        <v>4325</v>
      </c>
      <c r="AA17" s="12">
        <v>3420.66</v>
      </c>
      <c r="AB17" s="8">
        <f t="shared" si="0"/>
        <v>14794354.5</v>
      </c>
      <c r="AC17" s="8">
        <f t="shared" si="1"/>
        <v>4019507762814</v>
      </c>
      <c r="AD17" s="8">
        <v>20826</v>
      </c>
      <c r="AE17" s="8"/>
      <c r="AF17" s="17">
        <v>7000</v>
      </c>
      <c r="AG17" s="8">
        <f t="shared" ref="AG17:AG27" si="15">AG16+AF17</f>
        <v>19000</v>
      </c>
      <c r="AH17" s="10">
        <v>15.51</v>
      </c>
      <c r="AI17" s="8"/>
      <c r="AJ17" s="8">
        <f t="shared" si="2"/>
        <v>108570</v>
      </c>
      <c r="AK17" s="8"/>
      <c r="AL17" s="7"/>
      <c r="AM17" s="17"/>
      <c r="AN17" s="17">
        <v>26783</v>
      </c>
      <c r="AO17" s="8"/>
      <c r="AP17" s="8"/>
      <c r="AQ17" s="8">
        <f t="shared" ref="AQ17:AQ27" si="16">AQ16+AN17</f>
        <v>56070</v>
      </c>
      <c r="AR17" s="8">
        <v>4177</v>
      </c>
      <c r="AS17" s="7"/>
      <c r="AT17" s="17">
        <v>416000</v>
      </c>
      <c r="AU17" s="8"/>
      <c r="AV17" s="7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14.25" customHeight="1" x14ac:dyDescent="0.45">
      <c r="A18" s="11">
        <v>44986</v>
      </c>
      <c r="B18" s="17">
        <v>275879</v>
      </c>
      <c r="C18" s="17">
        <v>282505</v>
      </c>
      <c r="D18" s="8"/>
      <c r="E18" s="8">
        <f>SUM(B16:B18)</f>
        <v>875720</v>
      </c>
      <c r="F18" s="8">
        <f>SUM(C16:C18)</f>
        <v>869616</v>
      </c>
      <c r="G18" s="8">
        <f t="shared" si="10"/>
        <v>875720</v>
      </c>
      <c r="H18" s="8">
        <f t="shared" si="11"/>
        <v>869616</v>
      </c>
      <c r="I18" s="8">
        <v>41934</v>
      </c>
      <c r="J18" s="8"/>
      <c r="K18" s="17"/>
      <c r="L18" s="17">
        <v>52758</v>
      </c>
      <c r="M18" s="8"/>
      <c r="N18" s="8">
        <f>SUM(K16:K18)</f>
        <v>0</v>
      </c>
      <c r="O18" s="8">
        <f t="shared" si="12"/>
        <v>160053</v>
      </c>
      <c r="P18" s="8">
        <v>22000</v>
      </c>
      <c r="Q18" s="8">
        <v>2227</v>
      </c>
      <c r="R18" s="8"/>
      <c r="S18" s="8"/>
      <c r="T18" s="17">
        <v>216341</v>
      </c>
      <c r="U18" s="17">
        <f>SUM(T16:T18)</f>
        <v>546292</v>
      </c>
      <c r="V18" s="8">
        <v>210469</v>
      </c>
      <c r="W18" s="8">
        <f>SUM(T16:T18)</f>
        <v>546292</v>
      </c>
      <c r="X18" s="8">
        <f t="shared" si="13"/>
        <v>546292</v>
      </c>
      <c r="Y18" s="8">
        <f t="shared" si="14"/>
        <v>482161</v>
      </c>
      <c r="Z18" s="8">
        <v>4423</v>
      </c>
      <c r="AA18" s="12">
        <v>3410.72</v>
      </c>
      <c r="AB18" s="8">
        <f t="shared" si="0"/>
        <v>15085614.559999999</v>
      </c>
      <c r="AC18" s="8">
        <f t="shared" si="1"/>
        <v>7273695001864.1592</v>
      </c>
      <c r="AD18" s="8">
        <v>30119</v>
      </c>
      <c r="AE18" s="8"/>
      <c r="AF18" s="17">
        <v>8000</v>
      </c>
      <c r="AG18" s="8">
        <f t="shared" si="15"/>
        <v>27000</v>
      </c>
      <c r="AH18" s="10">
        <v>15.125</v>
      </c>
      <c r="AI18" s="8">
        <f>SUM(AF16:AF18)</f>
        <v>27000</v>
      </c>
      <c r="AJ18" s="8">
        <f t="shared" si="2"/>
        <v>121000</v>
      </c>
      <c r="AK18" s="8"/>
      <c r="AL18" s="7"/>
      <c r="AM18" s="17"/>
      <c r="AN18" s="17">
        <v>21919</v>
      </c>
      <c r="AO18" s="8"/>
      <c r="AP18" s="8">
        <f>SUM(AM16:AM18)</f>
        <v>0</v>
      </c>
      <c r="AQ18" s="8">
        <f t="shared" si="16"/>
        <v>77989</v>
      </c>
      <c r="AR18" s="8">
        <v>6237</v>
      </c>
      <c r="AS18" s="7"/>
      <c r="AT18" s="17">
        <v>440000</v>
      </c>
      <c r="AU18" s="8">
        <f>SUM(AT16:AT18)</f>
        <v>1248000</v>
      </c>
      <c r="AV18" s="7"/>
      <c r="AW18" s="8">
        <f>AI18+W18+E18</f>
        <v>1449012</v>
      </c>
      <c r="AX18" s="7">
        <f>AU18/AW18</f>
        <v>0.86127651116760939</v>
      </c>
      <c r="AY18" s="7"/>
      <c r="AZ18" s="7"/>
      <c r="BA18" s="7"/>
      <c r="BB18" s="7"/>
      <c r="BC18" s="7"/>
      <c r="BD18" s="7"/>
      <c r="BE18" s="7"/>
    </row>
    <row r="19" spans="1:57" ht="14.25" customHeight="1" x14ac:dyDescent="0.45">
      <c r="A19" s="11">
        <v>45017</v>
      </c>
      <c r="B19" s="17">
        <v>214572</v>
      </c>
      <c r="C19" s="17">
        <v>214204</v>
      </c>
      <c r="D19" s="8"/>
      <c r="E19" s="8"/>
      <c r="F19" s="8"/>
      <c r="G19" s="8">
        <f t="shared" si="10"/>
        <v>1090292</v>
      </c>
      <c r="H19" s="8">
        <f t="shared" si="11"/>
        <v>1083820</v>
      </c>
      <c r="I19" s="8">
        <v>20866</v>
      </c>
      <c r="J19" s="8"/>
      <c r="K19" s="17"/>
      <c r="L19" s="17">
        <v>49209</v>
      </c>
      <c r="M19" s="8"/>
      <c r="N19" s="8"/>
      <c r="O19" s="8">
        <f t="shared" si="12"/>
        <v>209262</v>
      </c>
      <c r="P19" s="8">
        <v>21400</v>
      </c>
      <c r="Q19" s="8">
        <v>1835</v>
      </c>
      <c r="R19" s="8"/>
      <c r="S19" s="8"/>
      <c r="T19" s="17">
        <v>269778</v>
      </c>
      <c r="U19" s="17"/>
      <c r="V19" s="8">
        <v>239409</v>
      </c>
      <c r="W19" s="8"/>
      <c r="X19" s="8">
        <f t="shared" si="13"/>
        <v>816070</v>
      </c>
      <c r="Y19" s="8">
        <f t="shared" si="14"/>
        <v>721570</v>
      </c>
      <c r="Z19" s="8">
        <v>4006</v>
      </c>
      <c r="AA19" s="12">
        <v>3387.62</v>
      </c>
      <c r="AB19" s="8">
        <f t="shared" si="0"/>
        <v>13570805.719999999</v>
      </c>
      <c r="AC19" s="8">
        <f t="shared" si="1"/>
        <v>9792286283380.3984</v>
      </c>
      <c r="AD19" s="8">
        <v>113775</v>
      </c>
      <c r="AE19" s="8"/>
      <c r="AF19" s="17">
        <v>4000</v>
      </c>
      <c r="AG19" s="8">
        <f t="shared" si="15"/>
        <v>31000</v>
      </c>
      <c r="AH19" s="10">
        <v>13.31</v>
      </c>
      <c r="AI19" s="8"/>
      <c r="AJ19" s="8">
        <f t="shared" si="2"/>
        <v>53240</v>
      </c>
      <c r="AK19" s="8"/>
      <c r="AL19" s="7"/>
      <c r="AM19" s="17"/>
      <c r="AN19" s="17">
        <v>32818</v>
      </c>
      <c r="AO19" s="8"/>
      <c r="AP19" s="8"/>
      <c r="AQ19" s="8">
        <f t="shared" si="16"/>
        <v>110807</v>
      </c>
      <c r="AR19" s="8">
        <v>20395</v>
      </c>
      <c r="AS19" s="7"/>
      <c r="AT19" s="17">
        <v>525000</v>
      </c>
      <c r="AU19" s="8"/>
      <c r="AV19" s="7"/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14.25" customHeight="1" x14ac:dyDescent="0.45">
      <c r="A20" s="11">
        <v>45047</v>
      </c>
      <c r="B20" s="17">
        <v>316545</v>
      </c>
      <c r="C20" s="17">
        <v>284214</v>
      </c>
      <c r="D20" s="8">
        <v>16310</v>
      </c>
      <c r="E20" s="8"/>
      <c r="F20" s="8"/>
      <c r="G20" s="8">
        <f t="shared" si="10"/>
        <v>1406837</v>
      </c>
      <c r="H20" s="8">
        <f t="shared" si="11"/>
        <v>1368034</v>
      </c>
      <c r="I20" s="8">
        <v>73025</v>
      </c>
      <c r="J20" s="8"/>
      <c r="K20" s="17"/>
      <c r="L20" s="17">
        <v>57471</v>
      </c>
      <c r="M20" s="8"/>
      <c r="N20" s="8"/>
      <c r="O20" s="8">
        <f t="shared" si="12"/>
        <v>266733</v>
      </c>
      <c r="P20" s="8">
        <v>20000</v>
      </c>
      <c r="Q20" s="8">
        <v>1678</v>
      </c>
      <c r="R20" s="8"/>
      <c r="S20" s="8"/>
      <c r="T20" s="17">
        <v>260833</v>
      </c>
      <c r="U20" s="17"/>
      <c r="V20" s="8">
        <v>243344</v>
      </c>
      <c r="W20" s="8"/>
      <c r="X20" s="8">
        <f t="shared" si="13"/>
        <v>1076903</v>
      </c>
      <c r="Y20" s="8">
        <f t="shared" si="14"/>
        <v>964914</v>
      </c>
      <c r="Z20" s="8">
        <v>3747</v>
      </c>
      <c r="AA20" s="12">
        <v>3323.92</v>
      </c>
      <c r="AB20" s="8">
        <f t="shared" si="0"/>
        <v>12454728.24</v>
      </c>
      <c r="AC20" s="8">
        <f t="shared" si="1"/>
        <v>12017741644971.359</v>
      </c>
      <c r="AD20" s="8">
        <v>132849</v>
      </c>
      <c r="AE20" s="8"/>
      <c r="AF20" s="17">
        <v>3000</v>
      </c>
      <c r="AG20" s="8">
        <f t="shared" si="15"/>
        <v>34000</v>
      </c>
      <c r="AH20" s="10">
        <v>13.42</v>
      </c>
      <c r="AI20" s="8"/>
      <c r="AJ20" s="8">
        <f t="shared" si="2"/>
        <v>40260</v>
      </c>
      <c r="AK20" s="8"/>
      <c r="AL20" s="7"/>
      <c r="AM20" s="17"/>
      <c r="AN20" s="17">
        <v>34136</v>
      </c>
      <c r="AO20" s="8"/>
      <c r="AP20" s="8"/>
      <c r="AQ20" s="8">
        <f t="shared" si="16"/>
        <v>144943</v>
      </c>
      <c r="AR20" s="8">
        <v>21065</v>
      </c>
      <c r="AS20" s="7"/>
      <c r="AT20" s="17">
        <v>565000</v>
      </c>
      <c r="AU20" s="8"/>
      <c r="AV20" s="7"/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14.25" customHeight="1" x14ac:dyDescent="0.45">
      <c r="A21" s="11">
        <v>45078</v>
      </c>
      <c r="B21" s="17">
        <v>200251</v>
      </c>
      <c r="C21" s="17">
        <v>286036</v>
      </c>
      <c r="D21" s="8"/>
      <c r="E21" s="8">
        <f>SUM(B19:B21)</f>
        <v>731368</v>
      </c>
      <c r="F21" s="8">
        <f>SUM(C19:C21)</f>
        <v>784454</v>
      </c>
      <c r="G21" s="8">
        <f t="shared" si="10"/>
        <v>1607088</v>
      </c>
      <c r="H21" s="8">
        <f t="shared" si="11"/>
        <v>1654070</v>
      </c>
      <c r="I21" s="8">
        <v>52511</v>
      </c>
      <c r="J21" s="8"/>
      <c r="K21" s="17"/>
      <c r="L21" s="17">
        <v>58304</v>
      </c>
      <c r="M21" s="8"/>
      <c r="N21" s="8">
        <f>SUM(K19:K21)</f>
        <v>0</v>
      </c>
      <c r="O21" s="8">
        <f t="shared" si="12"/>
        <v>325037</v>
      </c>
      <c r="P21" s="8">
        <v>19400</v>
      </c>
      <c r="Q21" s="8">
        <v>2600</v>
      </c>
      <c r="R21" s="8"/>
      <c r="S21" s="8"/>
      <c r="T21" s="17">
        <v>240228</v>
      </c>
      <c r="U21" s="17">
        <f>SUM(T19:T21)</f>
        <v>770839</v>
      </c>
      <c r="V21" s="8">
        <v>251468</v>
      </c>
      <c r="W21" s="8">
        <f>SUM(T19:T21)</f>
        <v>770839</v>
      </c>
      <c r="X21" s="8">
        <f t="shared" si="13"/>
        <v>1317131</v>
      </c>
      <c r="Y21" s="8">
        <f t="shared" si="14"/>
        <v>1216382</v>
      </c>
      <c r="Z21" s="8">
        <v>3915</v>
      </c>
      <c r="AA21" s="12">
        <v>3250.12</v>
      </c>
      <c r="AB21" s="8">
        <f t="shared" si="0"/>
        <v>12724219.799999999</v>
      </c>
      <c r="AC21" s="8">
        <f t="shared" si="1"/>
        <v>15477511928763.6</v>
      </c>
      <c r="AD21" s="8">
        <v>97950</v>
      </c>
      <c r="AE21" s="8"/>
      <c r="AF21" s="17">
        <v>3000</v>
      </c>
      <c r="AG21" s="8">
        <f t="shared" si="15"/>
        <v>37000</v>
      </c>
      <c r="AH21" s="10">
        <v>13.42</v>
      </c>
      <c r="AI21" s="8">
        <f>SUM(AF19:AF21)</f>
        <v>10000</v>
      </c>
      <c r="AJ21" s="8">
        <f t="shared" si="2"/>
        <v>40260</v>
      </c>
      <c r="AK21" s="8"/>
      <c r="AL21" s="7"/>
      <c r="AM21" s="17"/>
      <c r="AN21" s="17">
        <v>38954</v>
      </c>
      <c r="AO21" s="8"/>
      <c r="AP21" s="8">
        <f>SUM(AM19:AM21)</f>
        <v>0</v>
      </c>
      <c r="AQ21" s="8">
        <f t="shared" si="16"/>
        <v>183897</v>
      </c>
      <c r="AR21" s="8">
        <v>27614</v>
      </c>
      <c r="AS21" s="7"/>
      <c r="AT21" s="17">
        <v>520000</v>
      </c>
      <c r="AU21" s="8">
        <f>SUM(AT19:AT21)</f>
        <v>1610000</v>
      </c>
      <c r="AV21" s="7"/>
      <c r="AW21" s="8">
        <f>AI21+W21+E21</f>
        <v>1512207</v>
      </c>
      <c r="AX21" s="7">
        <f>AU21/AW21</f>
        <v>1.0646690565511203</v>
      </c>
      <c r="AY21" s="7"/>
      <c r="AZ21" s="7"/>
      <c r="BA21" s="7"/>
      <c r="BB21" s="7"/>
      <c r="BC21" s="7"/>
      <c r="BD21" s="7"/>
      <c r="BE21" s="7"/>
    </row>
    <row r="22" spans="1:57" ht="14.25" customHeight="1" x14ac:dyDescent="0.45">
      <c r="A22" s="11">
        <v>45108</v>
      </c>
      <c r="B22" s="17">
        <v>345779</v>
      </c>
      <c r="C22" s="17">
        <v>261114</v>
      </c>
      <c r="D22" s="8"/>
      <c r="E22" s="8"/>
      <c r="F22" s="8"/>
      <c r="G22" s="8">
        <f t="shared" si="10"/>
        <v>1952867</v>
      </c>
      <c r="H22" s="8">
        <f t="shared" si="11"/>
        <v>1915184</v>
      </c>
      <c r="I22" s="8">
        <v>27758</v>
      </c>
      <c r="J22" s="8"/>
      <c r="K22" s="17"/>
      <c r="L22" s="17">
        <v>74047</v>
      </c>
      <c r="M22" s="8"/>
      <c r="N22" s="8"/>
      <c r="O22" s="8">
        <f t="shared" si="12"/>
        <v>399084</v>
      </c>
      <c r="P22" s="8">
        <v>19900</v>
      </c>
      <c r="Q22" s="8">
        <v>2080</v>
      </c>
      <c r="R22" s="8"/>
      <c r="S22" s="8"/>
      <c r="T22" s="17">
        <v>268510</v>
      </c>
      <c r="U22" s="17"/>
      <c r="V22" s="8">
        <v>291046</v>
      </c>
      <c r="W22" s="8"/>
      <c r="X22" s="8">
        <f t="shared" si="13"/>
        <v>1585641</v>
      </c>
      <c r="Y22" s="8">
        <f t="shared" si="14"/>
        <v>1507428</v>
      </c>
      <c r="Z22" s="8">
        <v>4087</v>
      </c>
      <c r="AA22" s="12">
        <v>3314.26</v>
      </c>
      <c r="AB22" s="8">
        <f t="shared" si="0"/>
        <v>13545380.620000001</v>
      </c>
      <c r="AC22" s="8">
        <f t="shared" si="1"/>
        <v>20418686017245.363</v>
      </c>
      <c r="AD22" s="8">
        <v>181451</v>
      </c>
      <c r="AE22" s="8"/>
      <c r="AF22" s="17">
        <v>3000</v>
      </c>
      <c r="AG22" s="8">
        <f t="shared" si="15"/>
        <v>40000</v>
      </c>
      <c r="AH22" s="10">
        <v>13.42</v>
      </c>
      <c r="AI22" s="8"/>
      <c r="AJ22" s="8">
        <f t="shared" si="2"/>
        <v>40260</v>
      </c>
      <c r="AK22" s="8"/>
      <c r="AL22" s="7"/>
      <c r="AM22" s="17"/>
      <c r="AN22" s="17">
        <v>32187</v>
      </c>
      <c r="AO22" s="8"/>
      <c r="AP22" s="8"/>
      <c r="AQ22" s="8">
        <f t="shared" si="16"/>
        <v>216084</v>
      </c>
      <c r="AR22" s="8">
        <v>15077</v>
      </c>
      <c r="AS22" s="7"/>
      <c r="AT22" s="17">
        <v>630000</v>
      </c>
      <c r="AU22" s="8"/>
      <c r="AV22" s="7"/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4.25" customHeight="1" x14ac:dyDescent="0.45">
      <c r="A23" s="11">
        <v>45139</v>
      </c>
      <c r="B23" s="17">
        <v>366963</v>
      </c>
      <c r="C23" s="17">
        <v>306943</v>
      </c>
      <c r="D23" s="8">
        <v>14920</v>
      </c>
      <c r="E23" s="8"/>
      <c r="F23" s="8"/>
      <c r="G23" s="8">
        <f t="shared" si="10"/>
        <v>2319830</v>
      </c>
      <c r="H23" s="8">
        <f t="shared" si="11"/>
        <v>2222127</v>
      </c>
      <c r="I23" s="8">
        <v>98206</v>
      </c>
      <c r="J23" s="8"/>
      <c r="K23" s="17"/>
      <c r="L23" s="17">
        <v>40695</v>
      </c>
      <c r="M23" s="8"/>
      <c r="N23" s="8"/>
      <c r="O23" s="8">
        <f t="shared" si="12"/>
        <v>439779</v>
      </c>
      <c r="P23" s="8">
        <v>19800</v>
      </c>
      <c r="Q23" s="8">
        <v>2134</v>
      </c>
      <c r="R23" s="8"/>
      <c r="S23" s="8"/>
      <c r="T23" s="17">
        <v>252718</v>
      </c>
      <c r="U23" s="17"/>
      <c r="V23" s="8">
        <v>241402</v>
      </c>
      <c r="W23" s="8"/>
      <c r="X23" s="8">
        <f t="shared" si="13"/>
        <v>1838359</v>
      </c>
      <c r="Y23" s="8">
        <f t="shared" si="14"/>
        <v>1748830</v>
      </c>
      <c r="Z23" s="8">
        <v>3973</v>
      </c>
      <c r="AA23" s="12">
        <v>3312.19</v>
      </c>
      <c r="AB23" s="8">
        <f t="shared" si="0"/>
        <v>13159330.870000001</v>
      </c>
      <c r="AC23" s="8">
        <f t="shared" si="1"/>
        <v>23013432605382.102</v>
      </c>
      <c r="AD23" s="8">
        <v>114165</v>
      </c>
      <c r="AE23" s="8"/>
      <c r="AF23" s="17">
        <v>11000</v>
      </c>
      <c r="AG23" s="8">
        <f t="shared" si="15"/>
        <v>51000</v>
      </c>
      <c r="AH23" s="10">
        <v>13.09</v>
      </c>
      <c r="AI23" s="8"/>
      <c r="AJ23" s="8">
        <f t="shared" si="2"/>
        <v>143990</v>
      </c>
      <c r="AK23" s="8"/>
      <c r="AL23" s="7"/>
      <c r="AM23" s="17"/>
      <c r="AN23" s="17">
        <v>11952</v>
      </c>
      <c r="AO23" s="8"/>
      <c r="AP23" s="8"/>
      <c r="AQ23" s="8">
        <f t="shared" si="16"/>
        <v>228036</v>
      </c>
      <c r="AR23" s="8">
        <v>519</v>
      </c>
      <c r="AS23" s="7"/>
      <c r="AT23" s="17">
        <v>686000</v>
      </c>
      <c r="AU23" s="8"/>
      <c r="AV23" s="7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14.25" customHeight="1" x14ac:dyDescent="0.45">
      <c r="A24" s="11">
        <v>45170</v>
      </c>
      <c r="B24" s="17">
        <v>340371</v>
      </c>
      <c r="C24" s="17">
        <v>352930</v>
      </c>
      <c r="D24" s="8"/>
      <c r="E24" s="8">
        <f>SUM(B22:B24)</f>
        <v>1053113</v>
      </c>
      <c r="F24" s="8">
        <f>SUM(C22:C24)</f>
        <v>920987</v>
      </c>
      <c r="G24" s="8">
        <f t="shared" si="10"/>
        <v>2660201</v>
      </c>
      <c r="H24" s="8">
        <f t="shared" si="11"/>
        <v>2575057</v>
      </c>
      <c r="I24" s="8">
        <v>90051</v>
      </c>
      <c r="J24" s="8"/>
      <c r="K24" s="17"/>
      <c r="L24" s="17">
        <v>47906</v>
      </c>
      <c r="M24" s="8"/>
      <c r="N24" s="8">
        <f>SUM(K22:K24)</f>
        <v>0</v>
      </c>
      <c r="O24" s="8">
        <f t="shared" si="12"/>
        <v>487685</v>
      </c>
      <c r="P24" s="8">
        <v>18700</v>
      </c>
      <c r="Q24" s="8">
        <v>5150</v>
      </c>
      <c r="R24" s="8"/>
      <c r="S24" s="8"/>
      <c r="T24" s="17">
        <v>255630</v>
      </c>
      <c r="U24" s="17">
        <f>SUM(T22:T24)</f>
        <v>776858</v>
      </c>
      <c r="V24" s="8">
        <v>234074</v>
      </c>
      <c r="W24" s="8">
        <f>SUM(T22:T24)</f>
        <v>776858</v>
      </c>
      <c r="X24" s="8">
        <f t="shared" si="13"/>
        <v>2093989</v>
      </c>
      <c r="Y24" s="8">
        <f t="shared" si="14"/>
        <v>1982904</v>
      </c>
      <c r="Z24" s="8">
        <v>3925</v>
      </c>
      <c r="AA24" s="12">
        <v>3328.77</v>
      </c>
      <c r="AB24" s="8">
        <f t="shared" si="0"/>
        <v>13065422.25</v>
      </c>
      <c r="AC24" s="8">
        <f t="shared" si="1"/>
        <v>25907478041214</v>
      </c>
      <c r="AD24" s="8">
        <v>109442</v>
      </c>
      <c r="AE24" s="8"/>
      <c r="AF24" s="17">
        <v>10000</v>
      </c>
      <c r="AG24" s="8">
        <f t="shared" si="15"/>
        <v>61000</v>
      </c>
      <c r="AH24" s="10">
        <v>13.31</v>
      </c>
      <c r="AI24" s="8">
        <f>SUM(AF22:AF24)</f>
        <v>24000</v>
      </c>
      <c r="AJ24" s="8">
        <f t="shared" si="2"/>
        <v>133100</v>
      </c>
      <c r="AK24" s="8"/>
      <c r="AL24" s="7"/>
      <c r="AM24" s="18"/>
      <c r="AN24" s="17">
        <v>20970</v>
      </c>
      <c r="AO24" s="7"/>
      <c r="AP24" s="8">
        <f>SUM(AM22:AM24)</f>
        <v>0</v>
      </c>
      <c r="AQ24" s="8">
        <f t="shared" si="16"/>
        <v>249006</v>
      </c>
      <c r="AR24" s="8">
        <v>9907</v>
      </c>
      <c r="AS24" s="7"/>
      <c r="AT24" s="17">
        <v>635000</v>
      </c>
      <c r="AU24" s="8">
        <f>SUM(AT22:AT24)</f>
        <v>1951000</v>
      </c>
      <c r="AV24" s="7"/>
      <c r="AW24" s="8">
        <f>AI24+W24+E24</f>
        <v>1853971</v>
      </c>
      <c r="AX24" s="7">
        <f>AU24/AW24</f>
        <v>1.052335770084861</v>
      </c>
      <c r="AY24" s="7"/>
      <c r="AZ24" s="7"/>
      <c r="BA24" s="7"/>
      <c r="BB24" s="7"/>
      <c r="BC24" s="7"/>
      <c r="BD24" s="7"/>
      <c r="BE24" s="7"/>
    </row>
    <row r="25" spans="1:57" ht="14.25" customHeight="1" x14ac:dyDescent="0.45">
      <c r="A25" s="11">
        <v>45200</v>
      </c>
      <c r="B25" s="17">
        <v>335948</v>
      </c>
      <c r="C25" s="17">
        <v>339342</v>
      </c>
      <c r="D25" s="8"/>
      <c r="E25" s="8"/>
      <c r="F25" s="8"/>
      <c r="G25" s="8">
        <f t="shared" si="10"/>
        <v>2996149</v>
      </c>
      <c r="H25" s="8">
        <f t="shared" si="11"/>
        <v>2914399</v>
      </c>
      <c r="I25" s="8">
        <v>110633</v>
      </c>
      <c r="J25" s="8"/>
      <c r="K25" s="17"/>
      <c r="L25" s="17">
        <v>54237</v>
      </c>
      <c r="M25" s="8"/>
      <c r="N25" s="8"/>
      <c r="O25" s="8">
        <f t="shared" si="12"/>
        <v>541922</v>
      </c>
      <c r="P25" s="8">
        <v>17800</v>
      </c>
      <c r="Q25" s="8">
        <v>2065</v>
      </c>
      <c r="R25" s="8"/>
      <c r="S25" s="8"/>
      <c r="T25" s="17"/>
      <c r="U25" s="17"/>
      <c r="V25" s="8">
        <v>273687</v>
      </c>
      <c r="W25" s="8"/>
      <c r="X25" s="8">
        <f t="shared" si="13"/>
        <v>2093989</v>
      </c>
      <c r="Y25" s="8">
        <f t="shared" si="14"/>
        <v>2256591</v>
      </c>
      <c r="Z25" s="8">
        <v>3878</v>
      </c>
      <c r="AA25" s="12">
        <v>3359.31</v>
      </c>
      <c r="AB25" s="8">
        <f t="shared" si="0"/>
        <v>13027404.18</v>
      </c>
      <c r="AC25" s="8">
        <f t="shared" si="1"/>
        <v>29397523025950.379</v>
      </c>
      <c r="AD25" s="8">
        <v>130108</v>
      </c>
      <c r="AE25" s="8"/>
      <c r="AF25" s="17">
        <v>23000</v>
      </c>
      <c r="AG25" s="8">
        <f t="shared" si="15"/>
        <v>84000</v>
      </c>
      <c r="AH25" s="10">
        <v>12.98</v>
      </c>
      <c r="AI25" s="8"/>
      <c r="AJ25" s="8">
        <f t="shared" si="2"/>
        <v>298540</v>
      </c>
      <c r="AK25" s="8"/>
      <c r="AL25" s="7"/>
      <c r="AM25" s="18"/>
      <c r="AN25" s="17">
        <v>26277</v>
      </c>
      <c r="AO25" s="7"/>
      <c r="AP25" s="8"/>
      <c r="AQ25" s="8">
        <f t="shared" si="16"/>
        <v>275283</v>
      </c>
      <c r="AR25" s="8">
        <v>12490</v>
      </c>
      <c r="AS25" s="7"/>
      <c r="AT25" s="17">
        <v>619000</v>
      </c>
      <c r="AU25" s="8"/>
      <c r="AV25" s="7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14.25" customHeight="1" x14ac:dyDescent="0.45">
      <c r="A26" s="11">
        <v>45231</v>
      </c>
      <c r="B26" s="17">
        <v>330823</v>
      </c>
      <c r="C26" s="17">
        <v>410343</v>
      </c>
      <c r="D26" s="8">
        <v>14810</v>
      </c>
      <c r="E26" s="8"/>
      <c r="F26" s="8"/>
      <c r="G26" s="8">
        <f t="shared" si="10"/>
        <v>3326972</v>
      </c>
      <c r="H26" s="8">
        <f t="shared" si="11"/>
        <v>3324742</v>
      </c>
      <c r="I26" s="8">
        <v>95175</v>
      </c>
      <c r="J26" s="8"/>
      <c r="K26" s="17"/>
      <c r="L26" s="17">
        <v>73172</v>
      </c>
      <c r="M26" s="8"/>
      <c r="N26" s="8"/>
      <c r="O26" s="8">
        <f t="shared" si="12"/>
        <v>615094</v>
      </c>
      <c r="P26" s="8">
        <v>18400</v>
      </c>
      <c r="Q26" s="8">
        <v>1514</v>
      </c>
      <c r="R26" s="8"/>
      <c r="S26" s="8"/>
      <c r="T26" s="17">
        <v>266562</v>
      </c>
      <c r="U26" s="17"/>
      <c r="V26" s="8">
        <v>269939</v>
      </c>
      <c r="W26" s="8"/>
      <c r="X26" s="8">
        <f t="shared" si="13"/>
        <v>2360551</v>
      </c>
      <c r="Y26" s="8">
        <f t="shared" si="14"/>
        <v>2526530</v>
      </c>
      <c r="Z26" s="8">
        <v>4020</v>
      </c>
      <c r="AA26" s="12">
        <v>3391.49</v>
      </c>
      <c r="AB26" s="8">
        <f t="shared" si="0"/>
        <v>13633789.799999999</v>
      </c>
      <c r="AC26" s="8">
        <f t="shared" si="1"/>
        <v>34446178943393.996</v>
      </c>
      <c r="AD26" s="8">
        <v>124934</v>
      </c>
      <c r="AE26" s="8"/>
      <c r="AF26" s="17">
        <v>29000</v>
      </c>
      <c r="AG26" s="8">
        <f t="shared" si="15"/>
        <v>113000</v>
      </c>
      <c r="AH26" s="10">
        <v>13.53</v>
      </c>
      <c r="AI26" s="8"/>
      <c r="AJ26" s="8">
        <f t="shared" si="2"/>
        <v>392370</v>
      </c>
      <c r="AK26" s="8"/>
      <c r="AL26" s="7"/>
      <c r="AM26" s="18"/>
      <c r="AN26" s="17">
        <v>37824</v>
      </c>
      <c r="AO26" s="7"/>
      <c r="AP26" s="8"/>
      <c r="AQ26" s="8">
        <f t="shared" si="16"/>
        <v>313107</v>
      </c>
      <c r="AR26" s="8">
        <v>8237</v>
      </c>
      <c r="AS26" s="7"/>
      <c r="AT26" s="17">
        <v>623000</v>
      </c>
      <c r="AU26" s="8"/>
      <c r="AV26" s="7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14.25" customHeight="1" x14ac:dyDescent="0.45">
      <c r="A27" s="11">
        <v>45261</v>
      </c>
      <c r="B27" s="17">
        <v>384567</v>
      </c>
      <c r="C27" s="17">
        <v>463111</v>
      </c>
      <c r="D27" s="8"/>
      <c r="E27" s="8">
        <f>SUM(B25:B27)</f>
        <v>1051338</v>
      </c>
      <c r="F27" s="8">
        <f>SUM(C25:C27)</f>
        <v>1212796</v>
      </c>
      <c r="G27" s="8">
        <f t="shared" si="10"/>
        <v>3711539</v>
      </c>
      <c r="H27" s="8">
        <f t="shared" si="11"/>
        <v>3787853</v>
      </c>
      <c r="I27" s="8">
        <v>113328</v>
      </c>
      <c r="J27" s="8"/>
      <c r="K27" s="17"/>
      <c r="L27" s="17">
        <v>68586</v>
      </c>
      <c r="M27" s="8">
        <f>SUM(L16:L27)</f>
        <v>683680</v>
      </c>
      <c r="N27" s="8">
        <f>SUM(K25:K27)</f>
        <v>0</v>
      </c>
      <c r="O27" s="8">
        <f t="shared" si="12"/>
        <v>683680</v>
      </c>
      <c r="P27" s="8">
        <v>18900</v>
      </c>
      <c r="Q27" s="8">
        <v>2106</v>
      </c>
      <c r="R27" s="8"/>
      <c r="S27" s="8"/>
      <c r="T27" s="17">
        <v>286507</v>
      </c>
      <c r="U27" s="17">
        <f>SUM(T25:T27)</f>
        <v>553069</v>
      </c>
      <c r="V27" s="8">
        <v>269507</v>
      </c>
      <c r="W27" s="8">
        <f>SUM(T25:T27)</f>
        <v>553069</v>
      </c>
      <c r="X27" s="8">
        <f t="shared" si="13"/>
        <v>2647058</v>
      </c>
      <c r="Y27" s="8">
        <f t="shared" si="14"/>
        <v>2796037</v>
      </c>
      <c r="Z27" s="8">
        <v>4103</v>
      </c>
      <c r="AA27" s="12">
        <v>3418.09</v>
      </c>
      <c r="AB27" s="8">
        <f t="shared" si="0"/>
        <v>14024423.270000001</v>
      </c>
      <c r="AC27" s="8">
        <f t="shared" si="1"/>
        <v>39212806366580.992</v>
      </c>
      <c r="AD27" s="8">
        <v>103955</v>
      </c>
      <c r="AE27" s="8"/>
      <c r="AF27" s="17">
        <v>27000</v>
      </c>
      <c r="AG27" s="8">
        <f t="shared" si="15"/>
        <v>140000</v>
      </c>
      <c r="AH27" s="10">
        <v>13.64</v>
      </c>
      <c r="AI27" s="8">
        <f>SUM(AF25:AF27)</f>
        <v>79000</v>
      </c>
      <c r="AJ27" s="8">
        <f t="shared" si="2"/>
        <v>368280</v>
      </c>
      <c r="AK27" s="8"/>
      <c r="AL27" s="7"/>
      <c r="AM27" s="18"/>
      <c r="AN27" s="17">
        <v>24453</v>
      </c>
      <c r="AO27" s="8">
        <f>SUM(AN16:AN27)</f>
        <v>337560</v>
      </c>
      <c r="AP27" s="8">
        <f>SUM(AM25:AM27)</f>
        <v>0</v>
      </c>
      <c r="AQ27" s="8">
        <f t="shared" si="16"/>
        <v>337560</v>
      </c>
      <c r="AR27" s="8">
        <v>8135</v>
      </c>
      <c r="AS27" s="7"/>
      <c r="AT27" s="17">
        <v>648000</v>
      </c>
      <c r="AU27" s="8">
        <f>SUM(AT25:AT27)</f>
        <v>1890000</v>
      </c>
      <c r="AV27" s="7"/>
      <c r="AW27" s="8">
        <f>AI27+W27+E27</f>
        <v>1683407</v>
      </c>
      <c r="AX27" s="7">
        <f>AU27/AW27</f>
        <v>1.1227231441950758</v>
      </c>
      <c r="AY27" s="7"/>
      <c r="AZ27" s="7"/>
      <c r="BA27" s="7"/>
      <c r="BB27" s="7"/>
      <c r="BC27" s="7"/>
      <c r="BD27" s="7"/>
      <c r="BE27" s="7"/>
    </row>
    <row r="28" spans="1:57" ht="14.25" customHeight="1" x14ac:dyDescent="0.45">
      <c r="A28" s="6">
        <v>45292</v>
      </c>
      <c r="B28" s="17">
        <v>390117</v>
      </c>
      <c r="C28" s="17">
        <v>363216</v>
      </c>
      <c r="D28" s="8"/>
      <c r="E28" s="8"/>
      <c r="F28" s="8"/>
      <c r="G28" s="8">
        <f>B28</f>
        <v>390117</v>
      </c>
      <c r="H28" s="8">
        <f>C28</f>
        <v>363216</v>
      </c>
      <c r="I28" s="8">
        <v>100487</v>
      </c>
      <c r="J28" s="8"/>
      <c r="K28" s="17"/>
      <c r="L28" s="17">
        <v>46686</v>
      </c>
      <c r="M28" s="8"/>
      <c r="N28" s="8"/>
      <c r="O28" s="8">
        <f>L28</f>
        <v>46686</v>
      </c>
      <c r="P28" s="8">
        <v>19100</v>
      </c>
      <c r="Q28" s="8">
        <v>1790</v>
      </c>
      <c r="R28" s="8"/>
      <c r="S28" s="8"/>
      <c r="T28" s="17">
        <v>275814</v>
      </c>
      <c r="U28" s="17"/>
      <c r="V28" s="8">
        <v>275814</v>
      </c>
      <c r="W28" s="8"/>
      <c r="X28" s="8">
        <f>T28</f>
        <v>275814</v>
      </c>
      <c r="Y28" s="8">
        <f>V28</f>
        <v>275814</v>
      </c>
      <c r="Z28" s="8">
        <v>4093</v>
      </c>
      <c r="AA28" s="12">
        <v>3401.85</v>
      </c>
      <c r="AB28" s="8">
        <f t="shared" si="0"/>
        <v>13923772.049999999</v>
      </c>
      <c r="AC28" s="8">
        <f t="shared" si="1"/>
        <v>3840371264198.6997</v>
      </c>
      <c r="AD28" s="8">
        <v>168645</v>
      </c>
      <c r="AE28" s="8"/>
      <c r="AF28" s="17">
        <v>200</v>
      </c>
      <c r="AG28" s="8">
        <f>AF28</f>
        <v>200</v>
      </c>
      <c r="AH28" s="12">
        <v>14.3</v>
      </c>
      <c r="AI28" s="8"/>
      <c r="AJ28" s="8">
        <f t="shared" si="2"/>
        <v>2860</v>
      </c>
      <c r="AK28" s="8"/>
      <c r="AL28" s="7"/>
      <c r="AM28" s="18"/>
      <c r="AN28" s="17">
        <v>33877</v>
      </c>
      <c r="AO28" s="7"/>
      <c r="AP28" s="8"/>
      <c r="AQ28" s="8">
        <f>AN28</f>
        <v>33877</v>
      </c>
      <c r="AR28" s="8">
        <v>20509</v>
      </c>
      <c r="AS28" s="7"/>
      <c r="AT28" s="17">
        <v>693000</v>
      </c>
      <c r="AU28" s="8"/>
      <c r="AV28" s="7"/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14.25" customHeight="1" x14ac:dyDescent="0.45">
      <c r="A29" s="6">
        <v>45323</v>
      </c>
      <c r="B29" s="17">
        <v>365914</v>
      </c>
      <c r="C29" s="17">
        <v>212115</v>
      </c>
      <c r="D29" s="8" t="s">
        <v>20</v>
      </c>
      <c r="E29" s="8"/>
      <c r="F29" s="8"/>
      <c r="G29" s="8">
        <f>B29+G28</f>
        <v>756031</v>
      </c>
      <c r="H29" s="8">
        <f>C29+H28</f>
        <v>575331</v>
      </c>
      <c r="I29" s="8">
        <v>81734</v>
      </c>
      <c r="J29" s="8"/>
      <c r="K29" s="17"/>
      <c r="L29" s="17">
        <v>40948</v>
      </c>
      <c r="M29" s="8"/>
      <c r="N29" s="8"/>
      <c r="O29" s="8">
        <f>L29+O28</f>
        <v>87634</v>
      </c>
      <c r="P29" s="8">
        <v>19100</v>
      </c>
      <c r="Q29" s="8">
        <v>2346</v>
      </c>
      <c r="R29" s="8"/>
      <c r="S29" s="8"/>
      <c r="T29" s="17">
        <v>272349</v>
      </c>
      <c r="U29" s="17"/>
      <c r="V29" s="8">
        <v>266799</v>
      </c>
      <c r="W29" s="8"/>
      <c r="X29" s="8">
        <f>T29+X28</f>
        <v>548163</v>
      </c>
      <c r="Y29" s="8">
        <f>V29+Y28</f>
        <v>542613</v>
      </c>
      <c r="Z29" s="8">
        <v>4045</v>
      </c>
      <c r="AA29" s="12">
        <v>3426.55</v>
      </c>
      <c r="AB29" s="8">
        <f t="shared" si="0"/>
        <v>13860394.75</v>
      </c>
      <c r="AC29" s="8">
        <f t="shared" si="1"/>
        <v>7520830376481.75</v>
      </c>
      <c r="AD29" s="8">
        <v>87357</v>
      </c>
      <c r="AE29" s="8"/>
      <c r="AF29" s="17">
        <v>38552</v>
      </c>
      <c r="AG29" s="8">
        <f>AF29+AG28</f>
        <v>38752</v>
      </c>
      <c r="AH29" s="12">
        <v>14.025</v>
      </c>
      <c r="AI29" s="8"/>
      <c r="AJ29" s="8">
        <f t="shared" si="2"/>
        <v>540691.80000000005</v>
      </c>
      <c r="AK29" s="8">
        <v>25000</v>
      </c>
      <c r="AL29" s="7"/>
      <c r="AM29" s="18"/>
      <c r="AN29" s="17">
        <v>32257</v>
      </c>
      <c r="AO29" s="7"/>
      <c r="AP29" s="8"/>
      <c r="AQ29" s="8">
        <f>AN29+AQ28</f>
        <v>66134</v>
      </c>
      <c r="AR29" s="8">
        <v>21375</v>
      </c>
      <c r="AS29" s="7"/>
      <c r="AT29" s="17">
        <v>690000</v>
      </c>
      <c r="AU29" s="8"/>
      <c r="AV29" s="7"/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14.25" customHeight="1" x14ac:dyDescent="0.45">
      <c r="A30" s="6">
        <v>45352</v>
      </c>
      <c r="B30" s="17">
        <v>334185</v>
      </c>
      <c r="C30" s="17">
        <v>381083</v>
      </c>
      <c r="D30" s="8"/>
      <c r="E30" s="8">
        <f>SUM(B28:B30)</f>
        <v>1090216</v>
      </c>
      <c r="F30" s="8">
        <f>SUM(C28:C30)</f>
        <v>956414</v>
      </c>
      <c r="G30" s="8">
        <f>B30+G29</f>
        <v>1090216</v>
      </c>
      <c r="H30" s="8">
        <f>C30+H29</f>
        <v>956414</v>
      </c>
      <c r="I30" s="8">
        <v>143981</v>
      </c>
      <c r="J30" s="8"/>
      <c r="K30" s="17">
        <v>41325</v>
      </c>
      <c r="L30" s="17">
        <v>42048</v>
      </c>
      <c r="M30" s="8"/>
      <c r="N30" s="8">
        <f>SUM(K28:K30)</f>
        <v>41325</v>
      </c>
      <c r="O30" s="8">
        <f>L30+O29</f>
        <v>129682</v>
      </c>
      <c r="P30" s="8">
        <v>18700</v>
      </c>
      <c r="Q30" s="8">
        <v>3955</v>
      </c>
      <c r="R30" s="8"/>
      <c r="S30" s="8"/>
      <c r="T30" s="17">
        <v>262942</v>
      </c>
      <c r="U30" s="17">
        <f>SUM(T28:T30)</f>
        <v>811105</v>
      </c>
      <c r="V30" s="8">
        <v>262943</v>
      </c>
      <c r="W30" s="8">
        <f>SUM(T28:T30)</f>
        <v>811105</v>
      </c>
      <c r="X30" s="8">
        <f>T30+X29</f>
        <v>811105</v>
      </c>
      <c r="Y30" s="8">
        <f>V30+Y29</f>
        <v>805556</v>
      </c>
      <c r="Z30" s="8">
        <v>3743</v>
      </c>
      <c r="AA30" s="12">
        <v>3432.58</v>
      </c>
      <c r="AB30" s="8">
        <f t="shared" si="0"/>
        <v>12848146.939999999</v>
      </c>
      <c r="AC30" s="8">
        <f t="shared" si="1"/>
        <v>10349901856398.639</v>
      </c>
      <c r="AD30" s="8">
        <v>75468</v>
      </c>
      <c r="AE30" s="8"/>
      <c r="AF30" s="17">
        <v>49000</v>
      </c>
      <c r="AG30" s="8">
        <f>AF30+AG29</f>
        <v>87752</v>
      </c>
      <c r="AH30" s="12">
        <v>13.09</v>
      </c>
      <c r="AI30" s="8">
        <f>SUM(AF28:AF30)</f>
        <v>87752</v>
      </c>
      <c r="AJ30" s="8">
        <f t="shared" si="2"/>
        <v>641410</v>
      </c>
      <c r="AK30" s="8"/>
      <c r="AL30" s="7"/>
      <c r="AM30" s="18"/>
      <c r="AN30" s="17">
        <v>31829</v>
      </c>
      <c r="AO30" s="7"/>
      <c r="AP30" s="8">
        <f>SUM(AM28:AM30)</f>
        <v>0</v>
      </c>
      <c r="AQ30" s="8">
        <f>AN30+AQ29</f>
        <v>97963</v>
      </c>
      <c r="AR30" s="8">
        <v>19494</v>
      </c>
      <c r="AS30" s="7"/>
      <c r="AT30" s="17">
        <v>741000</v>
      </c>
      <c r="AU30" s="8">
        <f>SUM(AT28:AT30)</f>
        <v>2124000</v>
      </c>
      <c r="AV30" s="7"/>
      <c r="AW30" s="8">
        <f>AI30+W30+E30</f>
        <v>1989073</v>
      </c>
      <c r="AX30" s="7">
        <f>AU30/AW30</f>
        <v>1.0678341116691041</v>
      </c>
      <c r="AY30" s="7"/>
      <c r="AZ30" s="7"/>
      <c r="BA30" s="7"/>
      <c r="BB30" s="7"/>
      <c r="BC30" s="7"/>
      <c r="BD30" s="7"/>
      <c r="BE30" s="7"/>
    </row>
    <row r="31" spans="1:57" ht="14.25" customHeight="1" x14ac:dyDescent="0.4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3"/>
      <c r="AI31" s="2"/>
      <c r="AJ31" s="2"/>
      <c r="AK31" s="2"/>
      <c r="AN31" s="2"/>
      <c r="AP31" s="2"/>
      <c r="AR31" s="2"/>
      <c r="AT31" s="2"/>
      <c r="AU31" s="2"/>
    </row>
    <row r="32" spans="1:57" ht="14.25" customHeight="1" x14ac:dyDescent="0.45">
      <c r="B32" s="2">
        <v>550</v>
      </c>
      <c r="C32" s="2" t="s">
        <v>83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2"/>
      <c r="S32" s="2"/>
      <c r="T32" s="2">
        <v>550</v>
      </c>
      <c r="U32" s="2" t="s">
        <v>83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420</v>
      </c>
      <c r="AG32" s="2" t="s">
        <v>83</v>
      </c>
      <c r="AH32" s="13"/>
      <c r="AI32" s="2"/>
      <c r="AJ32" s="2"/>
      <c r="AK32" s="2"/>
      <c r="AN32" s="2"/>
      <c r="AP32" s="2"/>
      <c r="AR32" s="2"/>
      <c r="AT32" s="2">
        <v>420</v>
      </c>
      <c r="AU32" s="2" t="s">
        <v>83</v>
      </c>
    </row>
    <row r="33" spans="2:47" ht="14.25" customHeight="1" x14ac:dyDescent="0.45">
      <c r="B33" s="2"/>
      <c r="C33" s="2"/>
      <c r="D33" s="2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3"/>
      <c r="AI33" s="2"/>
      <c r="AJ33" s="2"/>
      <c r="AK33" s="2"/>
      <c r="AN33" s="2"/>
      <c r="AP33" s="2"/>
      <c r="AR33" s="2"/>
      <c r="AT33" s="2"/>
      <c r="AU33" s="2"/>
    </row>
    <row r="34" spans="2:47" ht="14.25" customHeight="1" x14ac:dyDescent="0.45">
      <c r="B34" s="2" t="s">
        <v>113</v>
      </c>
      <c r="C34" s="2">
        <f>SUM(C16:C27)</f>
        <v>3787853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2"/>
      <c r="S34" s="2"/>
      <c r="T34" s="2"/>
      <c r="U34" s="2" t="s">
        <v>113</v>
      </c>
      <c r="V34" s="2">
        <f>SUM(V16:V27)</f>
        <v>2796037</v>
      </c>
      <c r="W34" s="2"/>
      <c r="X34" s="14"/>
      <c r="Y34" s="2"/>
      <c r="Z34" s="2"/>
      <c r="AA34" s="2"/>
      <c r="AB34" s="2"/>
      <c r="AC34" s="2"/>
      <c r="AD34" s="2"/>
      <c r="AE34" s="2"/>
      <c r="AF34" s="2"/>
      <c r="AG34" s="2"/>
      <c r="AH34" s="13"/>
      <c r="AI34" s="2"/>
      <c r="AJ34" s="2"/>
      <c r="AK34" s="2"/>
      <c r="AN34" s="2"/>
      <c r="AP34" s="2"/>
      <c r="AR34" s="2"/>
      <c r="AT34" s="2"/>
      <c r="AU34" s="2"/>
    </row>
    <row r="35" spans="2:47" ht="14.25" customHeight="1" x14ac:dyDescent="0.4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3"/>
      <c r="AI35" s="2"/>
      <c r="AJ35" s="2"/>
      <c r="AK35" s="2"/>
      <c r="AN35" s="2"/>
      <c r="AP35" s="2"/>
      <c r="AR35" s="2"/>
      <c r="AT35" s="2"/>
      <c r="AU35" s="2"/>
    </row>
    <row r="36" spans="2:47" ht="14.25" customHeight="1" x14ac:dyDescent="0.4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3"/>
      <c r="AI36" s="2"/>
      <c r="AJ36" s="2"/>
      <c r="AK36" s="2"/>
      <c r="AN36" s="2"/>
      <c r="AP36" s="2"/>
      <c r="AR36" s="2"/>
      <c r="AT36" s="2"/>
      <c r="AU36" s="2"/>
    </row>
    <row r="37" spans="2:47" ht="14.25" customHeight="1" x14ac:dyDescent="0.4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3"/>
      <c r="AI37" s="2"/>
      <c r="AJ37" s="2"/>
      <c r="AK37" s="2"/>
      <c r="AN37" s="2"/>
      <c r="AP37" s="2"/>
      <c r="AR37" s="2"/>
      <c r="AT37" s="2"/>
      <c r="AU37" s="2"/>
    </row>
    <row r="38" spans="2:47" ht="14.25" customHeight="1" x14ac:dyDescent="0.4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3"/>
      <c r="AI38" s="2"/>
      <c r="AJ38" s="2"/>
      <c r="AK38" s="2"/>
      <c r="AN38" s="2"/>
      <c r="AP38" s="2"/>
      <c r="AR38" s="2"/>
      <c r="AT38" s="2"/>
      <c r="AU38" s="2"/>
    </row>
    <row r="39" spans="2:47" ht="14.25" customHeight="1" x14ac:dyDescent="0.4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3"/>
      <c r="AI39" s="2"/>
      <c r="AJ39" s="2"/>
      <c r="AK39" s="2"/>
      <c r="AN39" s="2"/>
      <c r="AP39" s="2"/>
      <c r="AR39" s="2"/>
      <c r="AT39" s="2"/>
      <c r="AU39" s="2"/>
    </row>
    <row r="40" spans="2:47" ht="14.25" customHeight="1" x14ac:dyDescent="0.4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3"/>
      <c r="AI40" s="2"/>
      <c r="AJ40" s="2"/>
      <c r="AK40" s="2"/>
      <c r="AN40" s="2"/>
      <c r="AP40" s="2"/>
      <c r="AR40" s="2"/>
      <c r="AT40" s="2"/>
      <c r="AU40" s="2"/>
    </row>
    <row r="41" spans="2:47" ht="14.25" customHeight="1" x14ac:dyDescent="0.4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13"/>
      <c r="AI41" s="2"/>
      <c r="AJ41" s="2"/>
      <c r="AK41" s="2"/>
      <c r="AN41" s="2"/>
      <c r="AP41" s="2"/>
      <c r="AR41" s="2"/>
      <c r="AT41" s="2"/>
      <c r="AU41" s="2"/>
    </row>
    <row r="42" spans="2:47" ht="14.25" customHeight="1" x14ac:dyDescent="0.4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13"/>
      <c r="AI42" s="2"/>
      <c r="AJ42" s="2"/>
      <c r="AK42" s="2"/>
      <c r="AN42" s="2"/>
      <c r="AP42" s="2"/>
      <c r="AR42" s="2"/>
      <c r="AT42" s="2"/>
      <c r="AU42" s="2"/>
    </row>
    <row r="43" spans="2:47" ht="14.25" customHeight="1" x14ac:dyDescent="0.4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3"/>
      <c r="AI43" s="2"/>
      <c r="AJ43" s="2"/>
      <c r="AK43" s="2"/>
      <c r="AP43" s="2"/>
      <c r="AR43" s="2"/>
      <c r="AT43" s="2"/>
      <c r="AU43" s="2"/>
    </row>
    <row r="44" spans="2:47" ht="14.25" customHeight="1" x14ac:dyDescent="0.4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3"/>
      <c r="AI44" s="2"/>
      <c r="AJ44" s="2"/>
      <c r="AK44" s="2"/>
      <c r="AP44" s="2"/>
      <c r="AR44" s="2"/>
      <c r="AT44" s="2"/>
      <c r="AU44" s="2"/>
    </row>
    <row r="45" spans="2:47" ht="14.25" customHeight="1" x14ac:dyDescent="0.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13"/>
      <c r="AI45" s="2"/>
      <c r="AJ45" s="2"/>
      <c r="AK45" s="2"/>
      <c r="AP45" s="2"/>
      <c r="AR45" s="2"/>
      <c r="AT45" s="2"/>
      <c r="AU45" s="2"/>
    </row>
    <row r="46" spans="2:47" ht="14.25" customHeight="1" x14ac:dyDescent="0.4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13"/>
      <c r="AI46" s="2"/>
      <c r="AJ46" s="2"/>
      <c r="AK46" s="2"/>
      <c r="AP46" s="2"/>
      <c r="AR46" s="2"/>
      <c r="AT46" s="2"/>
      <c r="AU46" s="2"/>
    </row>
    <row r="47" spans="2:47" ht="14.25" customHeight="1" x14ac:dyDescent="0.4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13"/>
      <c r="AI47" s="2"/>
      <c r="AJ47" s="2"/>
      <c r="AK47" s="2"/>
      <c r="AP47" s="2"/>
      <c r="AR47" s="2"/>
      <c r="AT47" s="2"/>
      <c r="AU47" s="2"/>
    </row>
    <row r="48" spans="2:47" ht="14.25" customHeight="1" x14ac:dyDescent="0.4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13"/>
      <c r="AI48" s="2"/>
      <c r="AJ48" s="2"/>
      <c r="AK48" s="2"/>
      <c r="AP48" s="2"/>
      <c r="AR48" s="2"/>
      <c r="AT48" s="2"/>
      <c r="AU48" s="2"/>
    </row>
    <row r="49" spans="2:47" ht="14.25" customHeight="1" x14ac:dyDescent="0.4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13"/>
      <c r="AI49" s="2"/>
      <c r="AJ49" s="2"/>
      <c r="AK49" s="2"/>
      <c r="AP49" s="2"/>
      <c r="AR49" s="2"/>
      <c r="AT49" s="2"/>
      <c r="AU49" s="2"/>
    </row>
    <row r="50" spans="2:47" ht="14.25" customHeight="1" x14ac:dyDescent="0.4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13"/>
      <c r="AI50" s="2"/>
      <c r="AJ50" s="2"/>
      <c r="AK50" s="2"/>
      <c r="AP50" s="2"/>
      <c r="AR50" s="2"/>
      <c r="AT50" s="2"/>
      <c r="AU50" s="2"/>
    </row>
    <row r="51" spans="2:47" ht="14.25" customHeight="1" x14ac:dyDescent="0.4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3"/>
      <c r="AI51" s="2"/>
      <c r="AJ51" s="2"/>
      <c r="AK51" s="2"/>
      <c r="AP51" s="2"/>
      <c r="AR51" s="2"/>
      <c r="AT51" s="2"/>
      <c r="AU51" s="2"/>
    </row>
    <row r="52" spans="2:47" ht="14.25" customHeight="1" x14ac:dyDescent="0.4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3"/>
      <c r="AI52" s="2"/>
      <c r="AJ52" s="2"/>
      <c r="AK52" s="2"/>
      <c r="AP52" s="2"/>
      <c r="AR52" s="2"/>
      <c r="AT52" s="2"/>
      <c r="AU52" s="2"/>
    </row>
    <row r="53" spans="2:47" ht="14.25" customHeight="1" x14ac:dyDescent="0.4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3"/>
      <c r="AI53" s="2"/>
      <c r="AJ53" s="2"/>
      <c r="AK53" s="2"/>
      <c r="AP53" s="2"/>
      <c r="AR53" s="2"/>
      <c r="AT53" s="2"/>
      <c r="AU53" s="2"/>
    </row>
    <row r="54" spans="2:47" ht="14.25" customHeight="1" x14ac:dyDescent="0.4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3"/>
      <c r="AI54" s="2"/>
      <c r="AJ54" s="2"/>
      <c r="AK54" s="2"/>
      <c r="AP54" s="2"/>
      <c r="AR54" s="2"/>
      <c r="AT54" s="2"/>
      <c r="AU54" s="2"/>
    </row>
    <row r="55" spans="2:47" ht="14.25" customHeight="1" x14ac:dyDescent="0.4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13"/>
      <c r="AI55" s="2"/>
      <c r="AJ55" s="2"/>
      <c r="AK55" s="2"/>
      <c r="AP55" s="2"/>
      <c r="AR55" s="2"/>
      <c r="AT55" s="2"/>
      <c r="AU55" s="2"/>
    </row>
    <row r="56" spans="2:47" ht="14.25" customHeight="1" x14ac:dyDescent="0.4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13"/>
      <c r="AI56" s="2"/>
      <c r="AJ56" s="2"/>
      <c r="AK56" s="2"/>
      <c r="AP56" s="2"/>
      <c r="AR56" s="2"/>
      <c r="AT56" s="2"/>
      <c r="AU56" s="2"/>
    </row>
    <row r="57" spans="2:47" ht="14.25" customHeight="1" x14ac:dyDescent="0.4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13"/>
      <c r="AI57" s="2"/>
      <c r="AJ57" s="2"/>
      <c r="AK57" s="2"/>
      <c r="AP57" s="2"/>
      <c r="AR57" s="2"/>
      <c r="AT57" s="2"/>
      <c r="AU57" s="2"/>
    </row>
    <row r="58" spans="2:47" ht="14.25" customHeight="1" x14ac:dyDescent="0.4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13"/>
      <c r="AI58" s="2"/>
      <c r="AJ58" s="2"/>
      <c r="AK58" s="2"/>
      <c r="AP58" s="2"/>
      <c r="AR58" s="2"/>
      <c r="AT58" s="2"/>
      <c r="AU58" s="2"/>
    </row>
    <row r="59" spans="2:47" ht="14.25" customHeight="1" x14ac:dyDescent="0.4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3"/>
      <c r="AI59" s="2"/>
      <c r="AJ59" s="2"/>
      <c r="AK59" s="2"/>
      <c r="AP59" s="2"/>
      <c r="AR59" s="2"/>
      <c r="AT59" s="2"/>
      <c r="AU59" s="2"/>
    </row>
    <row r="60" spans="2:47" ht="14.25" customHeight="1" x14ac:dyDescent="0.4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3"/>
      <c r="AI60" s="2"/>
      <c r="AJ60" s="2"/>
      <c r="AK60" s="2"/>
      <c r="AP60" s="2"/>
      <c r="AT60" s="2"/>
      <c r="AU60" s="2"/>
    </row>
    <row r="61" spans="2:47" ht="14.25" customHeight="1" x14ac:dyDescent="0.4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13"/>
      <c r="AI61" s="2"/>
      <c r="AJ61" s="2"/>
      <c r="AK61" s="2"/>
      <c r="AP61" s="2"/>
      <c r="AT61" s="2"/>
      <c r="AU61" s="2"/>
    </row>
    <row r="62" spans="2:47" ht="14.25" customHeight="1" x14ac:dyDescent="0.4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13"/>
      <c r="AI62" s="2"/>
      <c r="AJ62" s="2"/>
      <c r="AK62" s="2"/>
      <c r="AP62" s="2"/>
      <c r="AT62" s="2"/>
      <c r="AU62" s="2"/>
    </row>
    <row r="63" spans="2:47" ht="14.25" customHeight="1" x14ac:dyDescent="0.4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13"/>
      <c r="AI63" s="2"/>
      <c r="AJ63" s="2"/>
      <c r="AK63" s="2"/>
      <c r="AP63" s="2"/>
      <c r="AT63" s="2"/>
      <c r="AU63" s="2"/>
    </row>
    <row r="64" spans="2:47" ht="14.25" customHeight="1" x14ac:dyDescent="0.4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13"/>
      <c r="AI64" s="2"/>
      <c r="AJ64" s="2"/>
      <c r="AK64" s="2"/>
      <c r="AP64" s="2"/>
      <c r="AT64" s="2"/>
      <c r="AU64" s="2"/>
    </row>
    <row r="65" spans="2:47" ht="14.25" customHeight="1" x14ac:dyDescent="0.4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13"/>
      <c r="AI65" s="2"/>
      <c r="AJ65" s="2"/>
      <c r="AK65" s="2"/>
      <c r="AP65" s="2"/>
      <c r="AT65" s="2"/>
      <c r="AU65" s="2"/>
    </row>
    <row r="66" spans="2:47" ht="14.25" customHeight="1" x14ac:dyDescent="0.4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3"/>
      <c r="AI66" s="2"/>
      <c r="AJ66" s="2"/>
      <c r="AK66" s="2"/>
      <c r="AP66" s="2"/>
      <c r="AT66" s="2"/>
      <c r="AU66" s="2"/>
    </row>
    <row r="67" spans="2:47" ht="14.25" customHeight="1" x14ac:dyDescent="0.4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13"/>
      <c r="AI67" s="2"/>
      <c r="AJ67" s="2"/>
      <c r="AK67" s="2"/>
      <c r="AP67" s="2"/>
      <c r="AT67" s="2"/>
      <c r="AU67" s="2"/>
    </row>
    <row r="68" spans="2:47" ht="14.25" customHeight="1" x14ac:dyDescent="0.4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13"/>
      <c r="AI68" s="2"/>
      <c r="AJ68" s="2"/>
      <c r="AK68" s="2"/>
      <c r="AP68" s="2"/>
      <c r="AT68" s="2"/>
      <c r="AU68" s="2"/>
    </row>
    <row r="69" spans="2:47" ht="14.25" customHeight="1" x14ac:dyDescent="0.4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13"/>
      <c r="AI69" s="2"/>
      <c r="AJ69" s="2"/>
      <c r="AK69" s="2"/>
      <c r="AP69" s="2"/>
      <c r="AT69" s="2"/>
      <c r="AU69" s="2"/>
    </row>
    <row r="70" spans="2:47" ht="14.25" customHeight="1" x14ac:dyDescent="0.4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13"/>
      <c r="AI70" s="2"/>
      <c r="AJ70" s="2"/>
      <c r="AK70" s="2"/>
      <c r="AP70" s="2"/>
      <c r="AT70" s="2"/>
      <c r="AU70" s="2"/>
    </row>
    <row r="71" spans="2:47" ht="14.25" customHeight="1" x14ac:dyDescent="0.4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3"/>
      <c r="AI71" s="2"/>
      <c r="AJ71" s="2"/>
      <c r="AK71" s="2"/>
      <c r="AP71" s="2"/>
      <c r="AT71" s="2"/>
      <c r="AU71" s="2"/>
    </row>
    <row r="72" spans="2:47" ht="14.25" customHeight="1" x14ac:dyDescent="0.4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13"/>
      <c r="AI72" s="2"/>
      <c r="AJ72" s="2"/>
      <c r="AK72" s="2"/>
      <c r="AP72" s="2"/>
      <c r="AT72" s="2"/>
      <c r="AU72" s="2"/>
    </row>
    <row r="73" spans="2:47" ht="14.25" customHeight="1" x14ac:dyDescent="0.4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13"/>
      <c r="AI73" s="2"/>
      <c r="AJ73" s="2"/>
      <c r="AK73" s="2"/>
      <c r="AP73" s="2"/>
      <c r="AT73" s="2"/>
      <c r="AU73" s="2"/>
    </row>
    <row r="74" spans="2:47" ht="14.25" customHeight="1" x14ac:dyDescent="0.4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3"/>
      <c r="AI74" s="2"/>
      <c r="AJ74" s="2"/>
      <c r="AK74" s="2"/>
      <c r="AP74" s="2"/>
      <c r="AT74" s="2"/>
      <c r="AU74" s="2"/>
    </row>
    <row r="75" spans="2:47" ht="14.25" customHeight="1" x14ac:dyDescent="0.4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3"/>
      <c r="AI75" s="2"/>
      <c r="AJ75" s="2"/>
      <c r="AK75" s="2"/>
      <c r="AP75" s="2"/>
      <c r="AT75" s="2"/>
      <c r="AU75" s="2"/>
    </row>
    <row r="76" spans="2:47" ht="14.25" customHeight="1" x14ac:dyDescent="0.4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3"/>
      <c r="AI76" s="2"/>
      <c r="AJ76" s="2"/>
      <c r="AK76" s="2"/>
      <c r="AP76" s="2"/>
      <c r="AT76" s="2"/>
      <c r="AU76" s="2"/>
    </row>
    <row r="77" spans="2:47" ht="14.25" customHeight="1" x14ac:dyDescent="0.4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3"/>
      <c r="AI77" s="2"/>
      <c r="AJ77" s="2"/>
      <c r="AK77" s="2"/>
      <c r="AP77" s="2"/>
      <c r="AT77" s="2"/>
      <c r="AU77" s="2"/>
    </row>
    <row r="78" spans="2:47" ht="14.25" customHeight="1" x14ac:dyDescent="0.4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13"/>
      <c r="AI78" s="2"/>
      <c r="AJ78" s="2"/>
      <c r="AK78" s="2"/>
      <c r="AP78" s="2"/>
      <c r="AT78" s="2"/>
      <c r="AU78" s="2"/>
    </row>
    <row r="79" spans="2:47" ht="14.25" customHeight="1" x14ac:dyDescent="0.4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13"/>
      <c r="AI79" s="2"/>
      <c r="AJ79" s="2"/>
      <c r="AK79" s="2"/>
      <c r="AP79" s="2"/>
      <c r="AT79" s="2"/>
      <c r="AU79" s="2"/>
    </row>
    <row r="80" spans="2:47" ht="14.25" customHeight="1" x14ac:dyDescent="0.4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13"/>
      <c r="AI80" s="2"/>
      <c r="AJ80" s="2"/>
      <c r="AK80" s="2"/>
      <c r="AP80" s="2"/>
      <c r="AT80" s="2"/>
      <c r="AU80" s="2"/>
    </row>
    <row r="81" spans="2:47" ht="14.25" customHeight="1" x14ac:dyDescent="0.4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3"/>
      <c r="AI81" s="2"/>
      <c r="AJ81" s="2"/>
      <c r="AK81" s="2"/>
      <c r="AP81" s="2"/>
      <c r="AT81" s="2"/>
      <c r="AU81" s="2"/>
    </row>
    <row r="82" spans="2:47" ht="14.25" customHeight="1" x14ac:dyDescent="0.4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13"/>
      <c r="AI82" s="2"/>
      <c r="AJ82" s="2"/>
      <c r="AK82" s="2"/>
      <c r="AP82" s="2"/>
      <c r="AT82" s="2"/>
      <c r="AU82" s="2"/>
    </row>
    <row r="83" spans="2:47" ht="14.25" customHeight="1" x14ac:dyDescent="0.4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13"/>
      <c r="AI83" s="2"/>
      <c r="AJ83" s="2"/>
      <c r="AK83" s="2"/>
      <c r="AP83" s="2"/>
      <c r="AT83" s="2"/>
      <c r="AU83" s="2"/>
    </row>
    <row r="84" spans="2:47" ht="14.25" customHeight="1" x14ac:dyDescent="0.4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13"/>
      <c r="AI84" s="2"/>
      <c r="AJ84" s="2"/>
      <c r="AK84" s="2"/>
      <c r="AP84" s="2"/>
      <c r="AT84" s="2"/>
      <c r="AU84" s="2"/>
    </row>
    <row r="85" spans="2:47" ht="14.25" customHeight="1" x14ac:dyDescent="0.4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3"/>
      <c r="AI85" s="2"/>
      <c r="AJ85" s="2"/>
      <c r="AK85" s="2"/>
      <c r="AP85" s="2"/>
      <c r="AT85" s="2"/>
      <c r="AU85" s="2"/>
    </row>
    <row r="86" spans="2:47" ht="14.25" customHeight="1" x14ac:dyDescent="0.4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13"/>
      <c r="AI86" s="2"/>
      <c r="AJ86" s="2"/>
      <c r="AK86" s="2"/>
      <c r="AP86" s="2"/>
      <c r="AT86" s="2"/>
      <c r="AU86" s="2"/>
    </row>
    <row r="87" spans="2:47" ht="14.25" customHeight="1" x14ac:dyDescent="0.4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13"/>
      <c r="AI87" s="2"/>
      <c r="AJ87" s="2"/>
      <c r="AK87" s="2"/>
      <c r="AP87" s="2"/>
      <c r="AT87" s="2"/>
      <c r="AU87" s="2"/>
    </row>
    <row r="88" spans="2:47" ht="14.25" customHeight="1" x14ac:dyDescent="0.4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13"/>
      <c r="AI88" s="2"/>
      <c r="AJ88" s="2"/>
      <c r="AK88" s="2"/>
      <c r="AP88" s="2"/>
      <c r="AT88" s="2"/>
      <c r="AU88" s="2"/>
    </row>
    <row r="89" spans="2:47" ht="14.25" customHeight="1" x14ac:dyDescent="0.4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13"/>
      <c r="AI89" s="2"/>
      <c r="AJ89" s="2"/>
      <c r="AK89" s="2"/>
      <c r="AP89" s="2"/>
      <c r="AT89" s="2"/>
      <c r="AU89" s="2"/>
    </row>
    <row r="90" spans="2:47" ht="14.25" customHeight="1" x14ac:dyDescent="0.4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3"/>
      <c r="AI90" s="2"/>
      <c r="AJ90" s="2"/>
      <c r="AK90" s="2"/>
      <c r="AP90" s="2"/>
      <c r="AT90" s="2"/>
      <c r="AU90" s="2"/>
    </row>
    <row r="91" spans="2:47" ht="14.25" customHeight="1" x14ac:dyDescent="0.4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13"/>
      <c r="AI91" s="2"/>
      <c r="AJ91" s="2"/>
      <c r="AK91" s="2"/>
      <c r="AP91" s="2"/>
      <c r="AT91" s="2"/>
      <c r="AU91" s="2"/>
    </row>
    <row r="92" spans="2:47" ht="14.25" customHeight="1" x14ac:dyDescent="0.4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3"/>
      <c r="AI92" s="2"/>
      <c r="AJ92" s="2"/>
      <c r="AK92" s="2"/>
      <c r="AP92" s="2"/>
      <c r="AT92" s="2"/>
      <c r="AU92" s="2"/>
    </row>
    <row r="93" spans="2:47" ht="14.25" customHeight="1" x14ac:dyDescent="0.4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13"/>
      <c r="AI93" s="2"/>
      <c r="AJ93" s="2"/>
      <c r="AK93" s="2"/>
      <c r="AP93" s="2"/>
      <c r="AT93" s="2"/>
      <c r="AU93" s="2"/>
    </row>
    <row r="94" spans="2:47" ht="14.25" customHeight="1" x14ac:dyDescent="0.4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13"/>
      <c r="AI94" s="2"/>
      <c r="AJ94" s="2"/>
      <c r="AK94" s="2"/>
      <c r="AP94" s="2"/>
      <c r="AT94" s="2"/>
      <c r="AU94" s="2"/>
    </row>
    <row r="95" spans="2:47" ht="14.25" customHeight="1" x14ac:dyDescent="0.4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13"/>
      <c r="AI95" s="2"/>
      <c r="AJ95" s="2"/>
      <c r="AK95" s="2"/>
      <c r="AP95" s="2"/>
      <c r="AT95" s="2"/>
      <c r="AU95" s="2"/>
    </row>
    <row r="96" spans="2:47" ht="14.25" customHeight="1" x14ac:dyDescent="0.4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13"/>
      <c r="AI96" s="2"/>
      <c r="AJ96" s="2"/>
      <c r="AK96" s="2"/>
      <c r="AP96" s="2"/>
      <c r="AT96" s="2"/>
      <c r="AU96" s="2"/>
    </row>
    <row r="97" spans="2:47" ht="14.25" customHeight="1" x14ac:dyDescent="0.4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13"/>
      <c r="AI97" s="2"/>
      <c r="AJ97" s="2"/>
      <c r="AK97" s="2"/>
      <c r="AP97" s="2"/>
      <c r="AT97" s="2"/>
      <c r="AU97" s="2"/>
    </row>
    <row r="98" spans="2:47" ht="14.25" customHeight="1" x14ac:dyDescent="0.4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3"/>
      <c r="AI98" s="2"/>
      <c r="AJ98" s="2"/>
      <c r="AK98" s="2"/>
      <c r="AP98" s="2"/>
      <c r="AT98" s="2"/>
      <c r="AU98" s="2"/>
    </row>
    <row r="99" spans="2:47" ht="14.25" customHeight="1" x14ac:dyDescent="0.4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13"/>
      <c r="AI99" s="2"/>
      <c r="AJ99" s="2"/>
      <c r="AK99" s="2"/>
      <c r="AP99" s="2"/>
      <c r="AT99" s="2"/>
      <c r="AU99" s="2"/>
    </row>
    <row r="100" spans="2:47" ht="14.25" customHeight="1" x14ac:dyDescent="0.4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3"/>
      <c r="AI100" s="2"/>
      <c r="AJ100" s="2"/>
      <c r="AK100" s="2"/>
      <c r="AP100" s="2"/>
      <c r="AT100" s="2"/>
      <c r="AU100" s="2"/>
    </row>
    <row r="101" spans="2:47" ht="14.25" customHeight="1" x14ac:dyDescent="0.4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13"/>
      <c r="AI101" s="2"/>
      <c r="AJ101" s="2"/>
      <c r="AK101" s="2"/>
      <c r="AP101" s="2"/>
      <c r="AT101" s="2"/>
      <c r="AU101" s="2"/>
    </row>
    <row r="102" spans="2:47" ht="14.25" customHeight="1" x14ac:dyDescent="0.4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13"/>
      <c r="AI102" s="2"/>
      <c r="AJ102" s="2"/>
      <c r="AK102" s="2"/>
      <c r="AP102" s="2"/>
      <c r="AT102" s="2"/>
      <c r="AU102" s="2"/>
    </row>
    <row r="103" spans="2:47" ht="14.25" customHeight="1" x14ac:dyDescent="0.4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13"/>
      <c r="AI103" s="2"/>
      <c r="AJ103" s="2"/>
      <c r="AK103" s="2"/>
      <c r="AP103" s="2"/>
      <c r="AT103" s="2"/>
      <c r="AU103" s="2"/>
    </row>
    <row r="104" spans="2:47" ht="14.25" customHeight="1" x14ac:dyDescent="0.4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13"/>
      <c r="AI104" s="2"/>
      <c r="AJ104" s="2"/>
      <c r="AK104" s="2"/>
      <c r="AP104" s="2"/>
      <c r="AT104" s="2"/>
      <c r="AU104" s="2"/>
    </row>
    <row r="105" spans="2:47" ht="14.25" customHeight="1" x14ac:dyDescent="0.4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13"/>
      <c r="AI105" s="2"/>
      <c r="AJ105" s="2"/>
      <c r="AK105" s="2"/>
      <c r="AP105" s="2"/>
      <c r="AT105" s="2"/>
      <c r="AU105" s="2"/>
    </row>
    <row r="106" spans="2:47" ht="14.25" customHeight="1" x14ac:dyDescent="0.4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13"/>
      <c r="AI106" s="2"/>
      <c r="AJ106" s="2"/>
      <c r="AK106" s="2"/>
      <c r="AP106" s="2"/>
      <c r="AT106" s="2"/>
      <c r="AU106" s="2"/>
    </row>
    <row r="107" spans="2:47" ht="14.25" customHeight="1" x14ac:dyDescent="0.4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13"/>
      <c r="AI107" s="2"/>
      <c r="AJ107" s="2"/>
      <c r="AK107" s="2"/>
      <c r="AP107" s="2"/>
      <c r="AT107" s="2"/>
      <c r="AU107" s="2"/>
    </row>
    <row r="108" spans="2:47" ht="14.25" customHeight="1" x14ac:dyDescent="0.4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13"/>
      <c r="AI108" s="2"/>
      <c r="AJ108" s="2"/>
      <c r="AK108" s="2"/>
      <c r="AP108" s="2"/>
      <c r="AT108" s="2"/>
      <c r="AU108" s="2"/>
    </row>
    <row r="109" spans="2:47" ht="14.25" customHeight="1" x14ac:dyDescent="0.4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13"/>
      <c r="AI109" s="2"/>
      <c r="AJ109" s="2"/>
      <c r="AK109" s="2"/>
      <c r="AP109" s="2"/>
      <c r="AT109" s="2"/>
      <c r="AU109" s="2"/>
    </row>
    <row r="110" spans="2:47" ht="14.25" customHeight="1" x14ac:dyDescent="0.4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13"/>
      <c r="AI110" s="2"/>
      <c r="AJ110" s="2"/>
      <c r="AK110" s="2"/>
      <c r="AP110" s="2"/>
      <c r="AT110" s="2"/>
      <c r="AU110" s="2"/>
    </row>
    <row r="111" spans="2:47" ht="14.25" customHeight="1" x14ac:dyDescent="0.4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3"/>
      <c r="AI111" s="2"/>
      <c r="AJ111" s="2"/>
      <c r="AK111" s="2"/>
      <c r="AP111" s="2"/>
      <c r="AT111" s="2"/>
      <c r="AU111" s="2"/>
    </row>
    <row r="112" spans="2:47" ht="14.25" customHeight="1" x14ac:dyDescent="0.4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13"/>
      <c r="AI112" s="2"/>
      <c r="AJ112" s="2"/>
      <c r="AK112" s="2"/>
      <c r="AP112" s="2"/>
      <c r="AT112" s="2"/>
      <c r="AU112" s="2"/>
    </row>
    <row r="113" spans="2:47" ht="14.25" customHeight="1" x14ac:dyDescent="0.4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3"/>
      <c r="AI113" s="2"/>
      <c r="AJ113" s="2"/>
      <c r="AK113" s="2"/>
      <c r="AP113" s="2"/>
      <c r="AT113" s="2"/>
      <c r="AU113" s="2"/>
    </row>
    <row r="114" spans="2:47" ht="14.25" customHeight="1" x14ac:dyDescent="0.4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13"/>
      <c r="AI114" s="2"/>
      <c r="AJ114" s="2"/>
      <c r="AK114" s="2"/>
      <c r="AP114" s="2"/>
      <c r="AT114" s="2"/>
      <c r="AU114" s="2"/>
    </row>
    <row r="115" spans="2:47" ht="14.25" customHeight="1" x14ac:dyDescent="0.4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13"/>
      <c r="AI115" s="2"/>
      <c r="AJ115" s="2"/>
      <c r="AK115" s="2"/>
      <c r="AP115" s="2"/>
      <c r="AT115" s="2"/>
      <c r="AU115" s="2"/>
    </row>
    <row r="116" spans="2:47" ht="14.25" customHeight="1" x14ac:dyDescent="0.4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13"/>
      <c r="AI116" s="2"/>
      <c r="AJ116" s="2"/>
      <c r="AK116" s="2"/>
      <c r="AP116" s="2"/>
      <c r="AT116" s="2"/>
      <c r="AU116" s="2"/>
    </row>
    <row r="117" spans="2:47" ht="14.25" customHeight="1" x14ac:dyDescent="0.4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13"/>
      <c r="AI117" s="2"/>
      <c r="AJ117" s="2"/>
      <c r="AK117" s="2"/>
      <c r="AP117" s="2"/>
      <c r="AT117" s="2"/>
      <c r="AU117" s="2"/>
    </row>
    <row r="118" spans="2:47" ht="14.25" customHeight="1" x14ac:dyDescent="0.4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13"/>
      <c r="AI118" s="2"/>
      <c r="AJ118" s="2"/>
      <c r="AK118" s="2"/>
      <c r="AP118" s="2"/>
      <c r="AT118" s="2"/>
      <c r="AU118" s="2"/>
    </row>
    <row r="119" spans="2:47" ht="14.25" customHeight="1" x14ac:dyDescent="0.4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13"/>
      <c r="AI119" s="2"/>
      <c r="AJ119" s="2"/>
      <c r="AK119" s="2"/>
      <c r="AP119" s="2"/>
      <c r="AT119" s="2"/>
      <c r="AU119" s="2"/>
    </row>
    <row r="120" spans="2:47" ht="14.25" customHeight="1" x14ac:dyDescent="0.4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13"/>
      <c r="AI120" s="2"/>
      <c r="AJ120" s="2"/>
      <c r="AK120" s="2"/>
      <c r="AP120" s="2"/>
      <c r="AT120" s="2"/>
      <c r="AU120" s="2"/>
    </row>
    <row r="121" spans="2:47" ht="14.25" customHeight="1" x14ac:dyDescent="0.4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13"/>
      <c r="AI121" s="2"/>
      <c r="AJ121" s="2"/>
      <c r="AK121" s="2"/>
      <c r="AP121" s="2"/>
      <c r="AT121" s="2"/>
      <c r="AU121" s="2"/>
    </row>
    <row r="122" spans="2:47" ht="14.25" customHeight="1" x14ac:dyDescent="0.4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13"/>
      <c r="AI122" s="2"/>
      <c r="AJ122" s="2"/>
      <c r="AK122" s="2"/>
      <c r="AP122" s="2"/>
      <c r="AT122" s="2"/>
      <c r="AU122" s="2"/>
    </row>
    <row r="123" spans="2:47" ht="14.25" customHeight="1" x14ac:dyDescent="0.4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3"/>
      <c r="AI123" s="2"/>
      <c r="AJ123" s="2"/>
      <c r="AK123" s="2"/>
      <c r="AP123" s="2"/>
      <c r="AT123" s="2"/>
      <c r="AU123" s="2"/>
    </row>
    <row r="124" spans="2:47" ht="14.25" customHeight="1" x14ac:dyDescent="0.4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13"/>
      <c r="AI124" s="2"/>
      <c r="AJ124" s="2"/>
      <c r="AK124" s="2"/>
      <c r="AP124" s="2"/>
      <c r="AT124" s="2"/>
      <c r="AU124" s="2"/>
    </row>
    <row r="125" spans="2:47" ht="14.25" customHeight="1" x14ac:dyDescent="0.4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13"/>
      <c r="AI125" s="2"/>
      <c r="AJ125" s="2"/>
      <c r="AK125" s="2"/>
      <c r="AP125" s="2"/>
      <c r="AT125" s="2"/>
      <c r="AU125" s="2"/>
    </row>
    <row r="126" spans="2:47" ht="14.25" customHeight="1" x14ac:dyDescent="0.4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13"/>
      <c r="AI126" s="2"/>
      <c r="AJ126" s="2"/>
      <c r="AK126" s="2"/>
      <c r="AP126" s="2"/>
      <c r="AT126" s="2"/>
      <c r="AU126" s="2"/>
    </row>
    <row r="127" spans="2:47" ht="14.25" customHeight="1" x14ac:dyDescent="0.4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13"/>
      <c r="AI127" s="2"/>
      <c r="AJ127" s="2"/>
      <c r="AK127" s="2"/>
      <c r="AP127" s="2"/>
      <c r="AT127" s="2"/>
      <c r="AU127" s="2"/>
    </row>
    <row r="128" spans="2:47" ht="14.25" customHeight="1" x14ac:dyDescent="0.4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13"/>
      <c r="AI128" s="2"/>
      <c r="AJ128" s="2"/>
      <c r="AK128" s="2"/>
      <c r="AP128" s="2"/>
      <c r="AT128" s="2"/>
      <c r="AU128" s="2"/>
    </row>
    <row r="129" spans="2:47" ht="14.25" customHeight="1" x14ac:dyDescent="0.4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3"/>
      <c r="AI129" s="2"/>
      <c r="AJ129" s="2"/>
      <c r="AK129" s="2"/>
      <c r="AP129" s="2"/>
      <c r="AT129" s="2"/>
      <c r="AU129" s="2"/>
    </row>
    <row r="130" spans="2:47" ht="14.25" customHeight="1" x14ac:dyDescent="0.4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13"/>
      <c r="AI130" s="2"/>
      <c r="AJ130" s="2"/>
      <c r="AK130" s="2"/>
      <c r="AP130" s="2"/>
      <c r="AT130" s="2"/>
      <c r="AU130" s="2"/>
    </row>
    <row r="131" spans="2:47" ht="14.25" customHeight="1" x14ac:dyDescent="0.4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13"/>
      <c r="AI131" s="2"/>
      <c r="AJ131" s="2"/>
      <c r="AK131" s="2"/>
      <c r="AP131" s="2"/>
      <c r="AT131" s="2"/>
      <c r="AU131" s="2"/>
    </row>
    <row r="132" spans="2:47" ht="14.25" customHeight="1" x14ac:dyDescent="0.4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13"/>
      <c r="AI132" s="2"/>
      <c r="AJ132" s="2"/>
      <c r="AK132" s="2"/>
      <c r="AP132" s="2"/>
      <c r="AT132" s="2"/>
      <c r="AU132" s="2"/>
    </row>
    <row r="133" spans="2:47" ht="14.25" customHeight="1" x14ac:dyDescent="0.4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13"/>
      <c r="AI133" s="2"/>
      <c r="AJ133" s="2"/>
      <c r="AK133" s="2"/>
      <c r="AP133" s="2"/>
      <c r="AT133" s="2"/>
      <c r="AU133" s="2"/>
    </row>
    <row r="134" spans="2:47" ht="14.25" customHeight="1" x14ac:dyDescent="0.4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3"/>
      <c r="AI134" s="2"/>
      <c r="AJ134" s="2"/>
      <c r="AK134" s="2"/>
      <c r="AP134" s="2"/>
      <c r="AT134" s="2"/>
      <c r="AU134" s="2"/>
    </row>
    <row r="135" spans="2:47" ht="14.25" customHeight="1" x14ac:dyDescent="0.4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13"/>
      <c r="AI135" s="2"/>
      <c r="AJ135" s="2"/>
      <c r="AK135" s="2"/>
      <c r="AP135" s="2"/>
      <c r="AT135" s="2"/>
      <c r="AU135" s="2"/>
    </row>
    <row r="136" spans="2:47" ht="14.25" customHeight="1" x14ac:dyDescent="0.4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13"/>
      <c r="AI136" s="2"/>
      <c r="AJ136" s="2"/>
      <c r="AK136" s="2"/>
      <c r="AP136" s="2"/>
      <c r="AT136" s="2"/>
      <c r="AU136" s="2"/>
    </row>
    <row r="137" spans="2:47" ht="14.25" customHeight="1" x14ac:dyDescent="0.4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13"/>
      <c r="AI137" s="2"/>
      <c r="AJ137" s="2"/>
      <c r="AK137" s="2"/>
      <c r="AP137" s="2"/>
      <c r="AT137" s="2"/>
      <c r="AU137" s="2"/>
    </row>
    <row r="138" spans="2:47" ht="14.25" customHeight="1" x14ac:dyDescent="0.4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13"/>
      <c r="AI138" s="2"/>
      <c r="AJ138" s="2"/>
      <c r="AK138" s="2"/>
      <c r="AP138" s="2"/>
      <c r="AT138" s="2"/>
      <c r="AU138" s="2"/>
    </row>
    <row r="139" spans="2:47" ht="14.25" customHeight="1" x14ac:dyDescent="0.4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13"/>
      <c r="AI139" s="2"/>
      <c r="AJ139" s="2"/>
      <c r="AK139" s="2"/>
      <c r="AP139" s="2"/>
      <c r="AT139" s="2"/>
      <c r="AU139" s="2"/>
    </row>
    <row r="140" spans="2:47" ht="14.25" customHeight="1" x14ac:dyDescent="0.4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13"/>
      <c r="AI140" s="2"/>
      <c r="AJ140" s="2"/>
      <c r="AK140" s="2"/>
      <c r="AP140" s="2"/>
      <c r="AT140" s="2"/>
      <c r="AU140" s="2"/>
    </row>
    <row r="141" spans="2:47" ht="14.25" customHeight="1" x14ac:dyDescent="0.4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13"/>
      <c r="AI141" s="2"/>
      <c r="AJ141" s="2"/>
      <c r="AK141" s="2"/>
      <c r="AP141" s="2"/>
      <c r="AT141" s="2"/>
      <c r="AU141" s="2"/>
    </row>
    <row r="142" spans="2:47" ht="14.25" customHeight="1" x14ac:dyDescent="0.4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13"/>
      <c r="AI142" s="2"/>
      <c r="AJ142" s="2"/>
      <c r="AK142" s="2"/>
      <c r="AP142" s="2"/>
      <c r="AT142" s="2"/>
      <c r="AU142" s="2"/>
    </row>
    <row r="143" spans="2:47" ht="14.25" customHeight="1" x14ac:dyDescent="0.4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13"/>
      <c r="AI143" s="2"/>
      <c r="AJ143" s="2"/>
      <c r="AK143" s="2"/>
      <c r="AP143" s="2"/>
      <c r="AT143" s="2"/>
      <c r="AU143" s="2"/>
    </row>
    <row r="144" spans="2:47" ht="14.25" customHeight="1" x14ac:dyDescent="0.4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13"/>
      <c r="AI144" s="2"/>
      <c r="AJ144" s="2"/>
      <c r="AK144" s="2"/>
      <c r="AP144" s="2"/>
      <c r="AT144" s="2"/>
      <c r="AU144" s="2"/>
    </row>
    <row r="145" spans="2:47" ht="14.25" customHeight="1" x14ac:dyDescent="0.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13"/>
      <c r="AI145" s="2"/>
      <c r="AJ145" s="2"/>
      <c r="AK145" s="2"/>
      <c r="AP145" s="2"/>
      <c r="AT145" s="2"/>
      <c r="AU145" s="2"/>
    </row>
    <row r="146" spans="2:47" ht="14.25" customHeight="1" x14ac:dyDescent="0.4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13"/>
      <c r="AI146" s="2"/>
      <c r="AJ146" s="2"/>
      <c r="AK146" s="2"/>
      <c r="AP146" s="2"/>
      <c r="AT146" s="2"/>
      <c r="AU146" s="2"/>
    </row>
    <row r="147" spans="2:47" ht="14.25" customHeight="1" x14ac:dyDescent="0.4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13"/>
      <c r="AI147" s="2"/>
      <c r="AJ147" s="2"/>
      <c r="AK147" s="2"/>
      <c r="AP147" s="2"/>
      <c r="AT147" s="2"/>
      <c r="AU147" s="2"/>
    </row>
    <row r="148" spans="2:47" ht="14.25" customHeight="1" x14ac:dyDescent="0.4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13"/>
      <c r="AI148" s="2"/>
      <c r="AJ148" s="2"/>
      <c r="AK148" s="2"/>
      <c r="AP148" s="2"/>
      <c r="AT148" s="2"/>
      <c r="AU148" s="2"/>
    </row>
    <row r="149" spans="2:47" ht="14.25" customHeight="1" x14ac:dyDescent="0.4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13"/>
      <c r="AI149" s="2"/>
      <c r="AJ149" s="2"/>
      <c r="AK149" s="2"/>
      <c r="AP149" s="2"/>
      <c r="AT149" s="2"/>
      <c r="AU149" s="2"/>
    </row>
    <row r="150" spans="2:47" ht="14.25" customHeight="1" x14ac:dyDescent="0.4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13"/>
      <c r="AI150" s="2"/>
      <c r="AJ150" s="2"/>
      <c r="AK150" s="2"/>
      <c r="AP150" s="2"/>
      <c r="AT150" s="2"/>
      <c r="AU150" s="2"/>
    </row>
    <row r="151" spans="2:47" ht="14.25" customHeight="1" x14ac:dyDescent="0.4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13"/>
      <c r="AI151" s="2"/>
      <c r="AJ151" s="2"/>
      <c r="AK151" s="2"/>
      <c r="AP151" s="2"/>
      <c r="AT151" s="2"/>
      <c r="AU151" s="2"/>
    </row>
    <row r="152" spans="2:47" ht="14.25" customHeight="1" x14ac:dyDescent="0.4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13"/>
      <c r="AI152" s="2"/>
      <c r="AJ152" s="2"/>
      <c r="AK152" s="2"/>
      <c r="AP152" s="2"/>
      <c r="AT152" s="2"/>
      <c r="AU152" s="2"/>
    </row>
    <row r="153" spans="2:47" ht="14.25" customHeight="1" x14ac:dyDescent="0.4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13"/>
      <c r="AI153" s="2"/>
      <c r="AJ153" s="2"/>
      <c r="AK153" s="2"/>
      <c r="AP153" s="2"/>
      <c r="AT153" s="2"/>
      <c r="AU153" s="2"/>
    </row>
    <row r="154" spans="2:47" ht="14.25" customHeight="1" x14ac:dyDescent="0.4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13"/>
      <c r="AI154" s="2"/>
      <c r="AJ154" s="2"/>
      <c r="AK154" s="2"/>
      <c r="AP154" s="2"/>
      <c r="AT154" s="2"/>
      <c r="AU154" s="2"/>
    </row>
    <row r="155" spans="2:47" ht="14.25" customHeight="1" x14ac:dyDescent="0.4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13"/>
      <c r="AI155" s="2"/>
      <c r="AJ155" s="2"/>
      <c r="AK155" s="2"/>
      <c r="AP155" s="2"/>
      <c r="AT155" s="2"/>
      <c r="AU155" s="2"/>
    </row>
    <row r="156" spans="2:47" ht="14.25" customHeight="1" x14ac:dyDescent="0.4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13"/>
      <c r="AI156" s="2"/>
      <c r="AJ156" s="2"/>
      <c r="AK156" s="2"/>
      <c r="AP156" s="2"/>
      <c r="AT156" s="2"/>
      <c r="AU156" s="2"/>
    </row>
    <row r="157" spans="2:47" ht="14.25" customHeight="1" x14ac:dyDescent="0.4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13"/>
      <c r="AI157" s="2"/>
      <c r="AJ157" s="2"/>
      <c r="AK157" s="2"/>
      <c r="AP157" s="2"/>
      <c r="AT157" s="2"/>
      <c r="AU157" s="2"/>
    </row>
    <row r="158" spans="2:47" ht="14.25" customHeight="1" x14ac:dyDescent="0.4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13"/>
      <c r="AI158" s="2"/>
      <c r="AJ158" s="2"/>
      <c r="AK158" s="2"/>
      <c r="AP158" s="2"/>
      <c r="AT158" s="2"/>
      <c r="AU158" s="2"/>
    </row>
    <row r="159" spans="2:47" ht="14.25" customHeight="1" x14ac:dyDescent="0.4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3"/>
      <c r="AI159" s="2"/>
      <c r="AJ159" s="2"/>
      <c r="AK159" s="2"/>
      <c r="AP159" s="2"/>
      <c r="AT159" s="2"/>
      <c r="AU159" s="2"/>
    </row>
    <row r="160" spans="2:47" ht="14.25" customHeight="1" x14ac:dyDescent="0.4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3"/>
      <c r="AI160" s="2"/>
      <c r="AJ160" s="2"/>
      <c r="AK160" s="2"/>
      <c r="AP160" s="2"/>
      <c r="AT160" s="2"/>
      <c r="AU160" s="2"/>
    </row>
    <row r="161" spans="2:47" ht="14.25" customHeight="1" x14ac:dyDescent="0.4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13"/>
      <c r="AI161" s="2"/>
      <c r="AJ161" s="2"/>
      <c r="AK161" s="2"/>
      <c r="AP161" s="2"/>
      <c r="AT161" s="2"/>
      <c r="AU161" s="2"/>
    </row>
    <row r="162" spans="2:47" ht="14.25" customHeight="1" x14ac:dyDescent="0.4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3"/>
      <c r="AI162" s="2"/>
      <c r="AJ162" s="2"/>
      <c r="AK162" s="2"/>
      <c r="AP162" s="2"/>
      <c r="AT162" s="2"/>
      <c r="AU162" s="2"/>
    </row>
    <row r="163" spans="2:47" ht="14.25" customHeight="1" x14ac:dyDescent="0.4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13"/>
      <c r="AI163" s="2"/>
      <c r="AJ163" s="2"/>
      <c r="AK163" s="2"/>
      <c r="AP163" s="2"/>
      <c r="AT163" s="2"/>
      <c r="AU163" s="2"/>
    </row>
    <row r="164" spans="2:47" ht="14.25" customHeight="1" x14ac:dyDescent="0.4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13"/>
      <c r="AI164" s="2"/>
      <c r="AJ164" s="2"/>
      <c r="AK164" s="2"/>
      <c r="AP164" s="2"/>
      <c r="AT164" s="2"/>
      <c r="AU164" s="2"/>
    </row>
    <row r="165" spans="2:47" ht="14.25" customHeight="1" x14ac:dyDescent="0.4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13"/>
      <c r="AI165" s="2"/>
      <c r="AJ165" s="2"/>
      <c r="AK165" s="2"/>
      <c r="AP165" s="2"/>
      <c r="AT165" s="2"/>
      <c r="AU165" s="2"/>
    </row>
    <row r="166" spans="2:47" ht="14.25" customHeight="1" x14ac:dyDescent="0.4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13"/>
      <c r="AI166" s="2"/>
      <c r="AJ166" s="2"/>
      <c r="AK166" s="2"/>
      <c r="AP166" s="2"/>
      <c r="AT166" s="2"/>
      <c r="AU166" s="2"/>
    </row>
    <row r="167" spans="2:47" ht="14.25" customHeight="1" x14ac:dyDescent="0.4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13"/>
      <c r="AI167" s="2"/>
      <c r="AJ167" s="2"/>
      <c r="AK167" s="2"/>
      <c r="AP167" s="2"/>
      <c r="AT167" s="2"/>
      <c r="AU167" s="2"/>
    </row>
    <row r="168" spans="2:47" ht="14.25" customHeight="1" x14ac:dyDescent="0.4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13"/>
      <c r="AI168" s="2"/>
      <c r="AJ168" s="2"/>
      <c r="AK168" s="2"/>
      <c r="AP168" s="2"/>
      <c r="AT168" s="2"/>
      <c r="AU168" s="2"/>
    </row>
    <row r="169" spans="2:47" ht="14.25" customHeight="1" x14ac:dyDescent="0.4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13"/>
      <c r="AI169" s="2"/>
      <c r="AJ169" s="2"/>
      <c r="AK169" s="2"/>
      <c r="AP169" s="2"/>
      <c r="AT169" s="2"/>
      <c r="AU169" s="2"/>
    </row>
    <row r="170" spans="2:47" ht="14.25" customHeight="1" x14ac:dyDescent="0.4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13"/>
      <c r="AI170" s="2"/>
      <c r="AJ170" s="2"/>
      <c r="AK170" s="2"/>
      <c r="AP170" s="2"/>
      <c r="AT170" s="2"/>
      <c r="AU170" s="2"/>
    </row>
    <row r="171" spans="2:47" ht="14.25" customHeight="1" x14ac:dyDescent="0.4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13"/>
      <c r="AI171" s="2"/>
      <c r="AJ171" s="2"/>
      <c r="AK171" s="2"/>
      <c r="AP171" s="2"/>
      <c r="AT171" s="2"/>
      <c r="AU171" s="2"/>
    </row>
    <row r="172" spans="2:47" ht="14.25" customHeight="1" x14ac:dyDescent="0.4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13"/>
      <c r="AI172" s="2"/>
      <c r="AJ172" s="2"/>
      <c r="AK172" s="2"/>
      <c r="AP172" s="2"/>
      <c r="AT172" s="2"/>
      <c r="AU172" s="2"/>
    </row>
    <row r="173" spans="2:47" ht="14.25" customHeight="1" x14ac:dyDescent="0.4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13"/>
      <c r="AI173" s="2"/>
      <c r="AJ173" s="2"/>
      <c r="AK173" s="2"/>
      <c r="AP173" s="2"/>
      <c r="AT173" s="2"/>
      <c r="AU173" s="2"/>
    </row>
    <row r="174" spans="2:47" ht="14.25" customHeight="1" x14ac:dyDescent="0.4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13"/>
      <c r="AI174" s="2"/>
      <c r="AJ174" s="2"/>
      <c r="AK174" s="2"/>
      <c r="AP174" s="2"/>
      <c r="AT174" s="2"/>
      <c r="AU174" s="2"/>
    </row>
    <row r="175" spans="2:47" ht="14.25" customHeight="1" x14ac:dyDescent="0.4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3"/>
      <c r="AI175" s="2"/>
      <c r="AJ175" s="2"/>
      <c r="AK175" s="2"/>
      <c r="AP175" s="2"/>
      <c r="AT175" s="2"/>
      <c r="AU175" s="2"/>
    </row>
    <row r="176" spans="2:47" ht="14.25" customHeight="1" x14ac:dyDescent="0.4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13"/>
      <c r="AI176" s="2"/>
      <c r="AJ176" s="2"/>
      <c r="AK176" s="2"/>
      <c r="AP176" s="2"/>
      <c r="AT176" s="2"/>
      <c r="AU176" s="2"/>
    </row>
    <row r="177" spans="2:47" ht="14.25" customHeight="1" x14ac:dyDescent="0.4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13"/>
      <c r="AI177" s="2"/>
      <c r="AJ177" s="2"/>
      <c r="AK177" s="2"/>
      <c r="AP177" s="2"/>
      <c r="AT177" s="2"/>
      <c r="AU177" s="2"/>
    </row>
    <row r="178" spans="2:47" ht="14.25" customHeight="1" x14ac:dyDescent="0.4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13"/>
      <c r="AI178" s="2"/>
      <c r="AJ178" s="2"/>
      <c r="AK178" s="2"/>
      <c r="AP178" s="2"/>
      <c r="AT178" s="2"/>
      <c r="AU178" s="2"/>
    </row>
    <row r="179" spans="2:47" ht="14.25" customHeight="1" x14ac:dyDescent="0.4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13"/>
      <c r="AI179" s="2"/>
      <c r="AJ179" s="2"/>
      <c r="AK179" s="2"/>
      <c r="AP179" s="2"/>
      <c r="AT179" s="2"/>
      <c r="AU179" s="2"/>
    </row>
    <row r="180" spans="2:47" ht="14.25" customHeight="1" x14ac:dyDescent="0.4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13"/>
      <c r="AI180" s="2"/>
      <c r="AJ180" s="2"/>
      <c r="AK180" s="2"/>
      <c r="AP180" s="2"/>
      <c r="AT180" s="2"/>
      <c r="AU180" s="2"/>
    </row>
    <row r="181" spans="2:47" ht="14.25" customHeight="1" x14ac:dyDescent="0.4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13"/>
      <c r="AI181" s="2"/>
      <c r="AJ181" s="2"/>
      <c r="AK181" s="2"/>
      <c r="AP181" s="2"/>
      <c r="AT181" s="2"/>
      <c r="AU181" s="2"/>
    </row>
    <row r="182" spans="2:47" ht="14.25" customHeight="1" x14ac:dyDescent="0.4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13"/>
      <c r="AI182" s="2"/>
      <c r="AJ182" s="2"/>
      <c r="AK182" s="2"/>
      <c r="AP182" s="2"/>
      <c r="AT182" s="2"/>
      <c r="AU182" s="2"/>
    </row>
    <row r="183" spans="2:47" ht="14.25" customHeight="1" x14ac:dyDescent="0.4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13"/>
      <c r="AI183" s="2"/>
      <c r="AJ183" s="2"/>
      <c r="AK183" s="2"/>
      <c r="AP183" s="2"/>
      <c r="AT183" s="2"/>
      <c r="AU183" s="2"/>
    </row>
    <row r="184" spans="2:47" ht="14.25" customHeight="1" x14ac:dyDescent="0.4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13"/>
      <c r="AI184" s="2"/>
      <c r="AJ184" s="2"/>
      <c r="AK184" s="2"/>
      <c r="AP184" s="2"/>
      <c r="AT184" s="2"/>
      <c r="AU184" s="2"/>
    </row>
    <row r="185" spans="2:47" ht="14.25" customHeight="1" x14ac:dyDescent="0.4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13"/>
      <c r="AI185" s="2"/>
      <c r="AJ185" s="2"/>
      <c r="AK185" s="2"/>
      <c r="AP185" s="2"/>
      <c r="AT185" s="2"/>
      <c r="AU185" s="2"/>
    </row>
    <row r="186" spans="2:47" ht="14.25" customHeight="1" x14ac:dyDescent="0.4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13"/>
      <c r="AI186" s="2"/>
      <c r="AJ186" s="2"/>
      <c r="AK186" s="2"/>
      <c r="AP186" s="2"/>
      <c r="AT186" s="2"/>
      <c r="AU186" s="2"/>
    </row>
    <row r="187" spans="2:47" ht="14.25" customHeight="1" x14ac:dyDescent="0.4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13"/>
      <c r="AI187" s="2"/>
      <c r="AJ187" s="2"/>
      <c r="AK187" s="2"/>
      <c r="AP187" s="2"/>
      <c r="AT187" s="2"/>
      <c r="AU187" s="2"/>
    </row>
    <row r="188" spans="2:47" ht="14.25" customHeight="1" x14ac:dyDescent="0.4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13"/>
      <c r="AI188" s="2"/>
      <c r="AJ188" s="2"/>
      <c r="AK188" s="2"/>
      <c r="AP188" s="2"/>
      <c r="AT188" s="2"/>
      <c r="AU188" s="2"/>
    </row>
    <row r="189" spans="2:47" ht="14.25" customHeight="1" x14ac:dyDescent="0.4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13"/>
      <c r="AI189" s="2"/>
      <c r="AJ189" s="2"/>
      <c r="AK189" s="2"/>
      <c r="AP189" s="2"/>
      <c r="AT189" s="2"/>
      <c r="AU189" s="2"/>
    </row>
    <row r="190" spans="2:47" ht="14.25" customHeight="1" x14ac:dyDescent="0.4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13"/>
      <c r="AI190" s="2"/>
      <c r="AJ190" s="2"/>
      <c r="AK190" s="2"/>
      <c r="AP190" s="2"/>
      <c r="AT190" s="2"/>
      <c r="AU190" s="2"/>
    </row>
    <row r="191" spans="2:47" ht="14.25" customHeight="1" x14ac:dyDescent="0.4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13"/>
      <c r="AI191" s="2"/>
      <c r="AJ191" s="2"/>
      <c r="AK191" s="2"/>
      <c r="AP191" s="2"/>
      <c r="AT191" s="2"/>
      <c r="AU191" s="2"/>
    </row>
    <row r="192" spans="2:47" ht="14.25" customHeight="1" x14ac:dyDescent="0.4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13"/>
      <c r="AI192" s="2"/>
      <c r="AJ192" s="2"/>
      <c r="AK192" s="2"/>
      <c r="AP192" s="2"/>
      <c r="AT192" s="2"/>
      <c r="AU192" s="2"/>
    </row>
    <row r="193" spans="2:47" ht="14.25" customHeight="1" x14ac:dyDescent="0.4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13"/>
      <c r="AI193" s="2"/>
      <c r="AJ193" s="2"/>
      <c r="AK193" s="2"/>
      <c r="AP193" s="2"/>
      <c r="AT193" s="2"/>
      <c r="AU193" s="2"/>
    </row>
    <row r="194" spans="2:47" ht="14.25" customHeight="1" x14ac:dyDescent="0.4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13"/>
      <c r="AI194" s="2"/>
      <c r="AJ194" s="2"/>
      <c r="AK194" s="2"/>
      <c r="AP194" s="2"/>
      <c r="AT194" s="2"/>
      <c r="AU194" s="2"/>
    </row>
    <row r="195" spans="2:47" ht="14.25" customHeight="1" x14ac:dyDescent="0.4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13"/>
      <c r="AI195" s="2"/>
      <c r="AJ195" s="2"/>
      <c r="AK195" s="2"/>
      <c r="AP195" s="2"/>
      <c r="AT195" s="2"/>
      <c r="AU195" s="2"/>
    </row>
    <row r="196" spans="2:47" ht="14.25" customHeight="1" x14ac:dyDescent="0.4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13"/>
      <c r="AI196" s="2"/>
      <c r="AJ196" s="2"/>
      <c r="AK196" s="2"/>
      <c r="AP196" s="2"/>
      <c r="AT196" s="2"/>
      <c r="AU196" s="2"/>
    </row>
    <row r="197" spans="2:47" ht="14.25" customHeight="1" x14ac:dyDescent="0.4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13"/>
      <c r="AI197" s="2"/>
      <c r="AJ197" s="2"/>
      <c r="AK197" s="2"/>
      <c r="AP197" s="2"/>
      <c r="AT197" s="2"/>
      <c r="AU197" s="2"/>
    </row>
    <row r="198" spans="2:47" ht="14.25" customHeight="1" x14ac:dyDescent="0.4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13"/>
      <c r="AI198" s="2"/>
      <c r="AJ198" s="2"/>
      <c r="AK198" s="2"/>
      <c r="AP198" s="2"/>
      <c r="AT198" s="2"/>
      <c r="AU198" s="2"/>
    </row>
    <row r="199" spans="2:47" ht="14.25" customHeight="1" x14ac:dyDescent="0.4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13"/>
      <c r="AI199" s="2"/>
      <c r="AJ199" s="2"/>
      <c r="AK199" s="2"/>
      <c r="AP199" s="2"/>
      <c r="AT199" s="2"/>
      <c r="AU199" s="2"/>
    </row>
    <row r="200" spans="2:47" ht="14.25" customHeight="1" x14ac:dyDescent="0.4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3"/>
      <c r="AI200" s="2"/>
      <c r="AJ200" s="2"/>
      <c r="AK200" s="2"/>
      <c r="AP200" s="2"/>
      <c r="AT200" s="2"/>
      <c r="AU200" s="2"/>
    </row>
    <row r="201" spans="2:47" ht="14.25" customHeight="1" x14ac:dyDescent="0.4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13"/>
      <c r="AI201" s="2"/>
      <c r="AJ201" s="2"/>
      <c r="AK201" s="2"/>
      <c r="AP201" s="2"/>
      <c r="AT201" s="2"/>
      <c r="AU201" s="2"/>
    </row>
    <row r="202" spans="2:47" ht="14.25" customHeight="1" x14ac:dyDescent="0.4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13"/>
      <c r="AI202" s="2"/>
      <c r="AJ202" s="2"/>
      <c r="AK202" s="2"/>
      <c r="AP202" s="2"/>
      <c r="AT202" s="2"/>
      <c r="AU202" s="2"/>
    </row>
    <row r="203" spans="2:47" ht="14.25" customHeight="1" x14ac:dyDescent="0.4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13"/>
      <c r="AI203" s="2"/>
      <c r="AJ203" s="2"/>
      <c r="AK203" s="2"/>
      <c r="AP203" s="2"/>
      <c r="AT203" s="2"/>
      <c r="AU203" s="2"/>
    </row>
    <row r="204" spans="2:47" ht="14.25" customHeight="1" x14ac:dyDescent="0.4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13"/>
      <c r="AI204" s="2"/>
      <c r="AJ204" s="2"/>
      <c r="AK204" s="2"/>
      <c r="AP204" s="2"/>
      <c r="AT204" s="2"/>
      <c r="AU204" s="2"/>
    </row>
    <row r="205" spans="2:47" ht="14.25" customHeight="1" x14ac:dyDescent="0.4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13"/>
      <c r="AI205" s="2"/>
      <c r="AJ205" s="2"/>
      <c r="AK205" s="2"/>
      <c r="AP205" s="2"/>
      <c r="AT205" s="2"/>
      <c r="AU205" s="2"/>
    </row>
    <row r="206" spans="2:47" ht="14.25" customHeight="1" x14ac:dyDescent="0.4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13"/>
      <c r="AI206" s="2"/>
      <c r="AJ206" s="2"/>
      <c r="AK206" s="2"/>
      <c r="AP206" s="2"/>
      <c r="AT206" s="2"/>
      <c r="AU206" s="2"/>
    </row>
    <row r="207" spans="2:47" ht="14.25" customHeight="1" x14ac:dyDescent="0.4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13"/>
      <c r="AI207" s="2"/>
      <c r="AJ207" s="2"/>
      <c r="AK207" s="2"/>
      <c r="AP207" s="2"/>
      <c r="AT207" s="2"/>
      <c r="AU207" s="2"/>
    </row>
    <row r="208" spans="2:47" ht="14.25" customHeight="1" x14ac:dyDescent="0.4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3"/>
      <c r="AI208" s="2"/>
      <c r="AJ208" s="2"/>
      <c r="AK208" s="2"/>
      <c r="AP208" s="2"/>
      <c r="AT208" s="2"/>
      <c r="AU208" s="2"/>
    </row>
    <row r="209" spans="2:47" ht="14.25" customHeight="1" x14ac:dyDescent="0.4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13"/>
      <c r="AI209" s="2"/>
      <c r="AJ209" s="2"/>
      <c r="AK209" s="2"/>
      <c r="AP209" s="2"/>
      <c r="AT209" s="2"/>
      <c r="AU209" s="2"/>
    </row>
    <row r="210" spans="2:47" ht="14.25" customHeight="1" x14ac:dyDescent="0.4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13"/>
      <c r="AI210" s="2"/>
      <c r="AJ210" s="2"/>
      <c r="AK210" s="2"/>
      <c r="AP210" s="2"/>
      <c r="AT210" s="2"/>
      <c r="AU210" s="2"/>
    </row>
    <row r="211" spans="2:47" ht="14.25" customHeight="1" x14ac:dyDescent="0.4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13"/>
      <c r="AI211" s="2"/>
      <c r="AJ211" s="2"/>
      <c r="AK211" s="2"/>
      <c r="AP211" s="2"/>
      <c r="AT211" s="2"/>
      <c r="AU211" s="2"/>
    </row>
    <row r="212" spans="2:47" ht="14.25" customHeight="1" x14ac:dyDescent="0.4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13"/>
      <c r="AI212" s="2"/>
      <c r="AJ212" s="2"/>
      <c r="AK212" s="2"/>
      <c r="AP212" s="2"/>
      <c r="AT212" s="2"/>
      <c r="AU212" s="2"/>
    </row>
    <row r="213" spans="2:47" ht="14.25" customHeight="1" x14ac:dyDescent="0.4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13"/>
      <c r="AI213" s="2"/>
      <c r="AJ213" s="2"/>
      <c r="AK213" s="2"/>
      <c r="AP213" s="2"/>
      <c r="AT213" s="2"/>
      <c r="AU213" s="2"/>
    </row>
    <row r="214" spans="2:47" ht="14.25" customHeight="1" x14ac:dyDescent="0.4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13"/>
      <c r="AI214" s="2"/>
      <c r="AJ214" s="2"/>
      <c r="AK214" s="2"/>
      <c r="AP214" s="2"/>
      <c r="AT214" s="2"/>
      <c r="AU214" s="2"/>
    </row>
    <row r="215" spans="2:47" ht="14.25" customHeight="1" x14ac:dyDescent="0.4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13"/>
      <c r="AI215" s="2"/>
      <c r="AJ215" s="2"/>
      <c r="AK215" s="2"/>
      <c r="AP215" s="2"/>
      <c r="AT215" s="2"/>
      <c r="AU215" s="2"/>
    </row>
    <row r="216" spans="2:47" ht="14.25" customHeight="1" x14ac:dyDescent="0.4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13"/>
      <c r="AI216" s="2"/>
      <c r="AJ216" s="2"/>
      <c r="AK216" s="2"/>
      <c r="AP216" s="2"/>
      <c r="AT216" s="2"/>
      <c r="AU216" s="2"/>
    </row>
    <row r="217" spans="2:47" ht="14.25" customHeight="1" x14ac:dyDescent="0.4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13"/>
      <c r="AI217" s="2"/>
      <c r="AJ217" s="2"/>
      <c r="AK217" s="2"/>
      <c r="AP217" s="2"/>
      <c r="AT217" s="2"/>
      <c r="AU217" s="2"/>
    </row>
    <row r="218" spans="2:47" ht="14.25" customHeight="1" x14ac:dyDescent="0.4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13"/>
      <c r="AI218" s="2"/>
      <c r="AJ218" s="2"/>
      <c r="AK218" s="2"/>
      <c r="AP218" s="2"/>
      <c r="AT218" s="2"/>
      <c r="AU218" s="2"/>
    </row>
    <row r="219" spans="2:47" ht="14.25" customHeight="1" x14ac:dyDescent="0.4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13"/>
      <c r="AI219" s="2"/>
      <c r="AJ219" s="2"/>
      <c r="AK219" s="2"/>
      <c r="AP219" s="2"/>
      <c r="AT219" s="2"/>
      <c r="AU219" s="2"/>
    </row>
    <row r="220" spans="2:47" ht="14.25" customHeight="1" x14ac:dyDescent="0.4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13"/>
      <c r="AI220" s="2"/>
      <c r="AJ220" s="2"/>
      <c r="AK220" s="2"/>
      <c r="AP220" s="2"/>
      <c r="AT220" s="2"/>
      <c r="AU220" s="2"/>
    </row>
    <row r="221" spans="2:47" ht="14.25" customHeight="1" x14ac:dyDescent="0.4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13"/>
      <c r="AI221" s="2"/>
      <c r="AJ221" s="2"/>
      <c r="AK221" s="2"/>
      <c r="AP221" s="2"/>
      <c r="AT221" s="2"/>
      <c r="AU221" s="2"/>
    </row>
    <row r="222" spans="2:47" ht="14.25" customHeight="1" x14ac:dyDescent="0.4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13"/>
      <c r="AI222" s="2"/>
      <c r="AJ222" s="2"/>
      <c r="AK222" s="2"/>
      <c r="AP222" s="2"/>
      <c r="AT222" s="2"/>
      <c r="AU222" s="2"/>
    </row>
    <row r="223" spans="2:47" ht="14.25" customHeight="1" x14ac:dyDescent="0.4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13"/>
      <c r="AI223" s="2"/>
      <c r="AJ223" s="2"/>
      <c r="AK223" s="2"/>
      <c r="AP223" s="2"/>
      <c r="AT223" s="2"/>
      <c r="AU223" s="2"/>
    </row>
    <row r="224" spans="2:47" ht="14.25" customHeight="1" x14ac:dyDescent="0.4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13"/>
      <c r="AI224" s="2"/>
      <c r="AJ224" s="2"/>
      <c r="AK224" s="2"/>
      <c r="AP224" s="2"/>
      <c r="AT224" s="2"/>
      <c r="AU224" s="2"/>
    </row>
    <row r="225" spans="2:47" ht="14.25" customHeight="1" x14ac:dyDescent="0.4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13"/>
      <c r="AI225" s="2"/>
      <c r="AJ225" s="2"/>
      <c r="AK225" s="2"/>
      <c r="AP225" s="2"/>
      <c r="AT225" s="2"/>
      <c r="AU225" s="2"/>
    </row>
    <row r="226" spans="2:47" ht="14.25" customHeight="1" x14ac:dyDescent="0.4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13"/>
      <c r="AI226" s="2"/>
      <c r="AJ226" s="2"/>
      <c r="AK226" s="2"/>
      <c r="AP226" s="2"/>
      <c r="AT226" s="2"/>
      <c r="AU226" s="2"/>
    </row>
    <row r="227" spans="2:47" ht="14.25" customHeight="1" x14ac:dyDescent="0.4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13"/>
      <c r="AI227" s="2"/>
      <c r="AJ227" s="2"/>
      <c r="AK227" s="2"/>
      <c r="AP227" s="2"/>
      <c r="AT227" s="2"/>
      <c r="AU227" s="2"/>
    </row>
    <row r="228" spans="2:47" ht="14.25" customHeight="1" x14ac:dyDescent="0.4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13"/>
      <c r="AI228" s="2"/>
      <c r="AJ228" s="2"/>
      <c r="AK228" s="2"/>
      <c r="AP228" s="2"/>
      <c r="AT228" s="2"/>
      <c r="AU228" s="2"/>
    </row>
    <row r="229" spans="2:47" ht="14.25" customHeight="1" x14ac:dyDescent="0.45">
      <c r="AH229" s="1"/>
      <c r="AT229" s="2"/>
    </row>
    <row r="230" spans="2:47" ht="14.25" customHeight="1" x14ac:dyDescent="0.45">
      <c r="AH230" s="1"/>
      <c r="AT230" s="2"/>
    </row>
    <row r="231" spans="2:47" ht="14.25" customHeight="1" x14ac:dyDescent="0.45">
      <c r="AH231" s="1"/>
      <c r="AT231" s="2"/>
    </row>
    <row r="232" spans="2:47" ht="14.25" customHeight="1" x14ac:dyDescent="0.45">
      <c r="AH232" s="1"/>
      <c r="AT232" s="2"/>
    </row>
    <row r="233" spans="2:47" ht="14.25" customHeight="1" x14ac:dyDescent="0.45">
      <c r="AH233" s="1"/>
      <c r="AT233" s="2"/>
    </row>
    <row r="234" spans="2:47" ht="14.25" customHeight="1" x14ac:dyDescent="0.45">
      <c r="AH234" s="1"/>
      <c r="AT234" s="2"/>
    </row>
    <row r="235" spans="2:47" ht="14.25" customHeight="1" x14ac:dyDescent="0.45">
      <c r="AH235" s="1"/>
      <c r="AT235" s="2"/>
    </row>
    <row r="236" spans="2:47" ht="14.25" customHeight="1" x14ac:dyDescent="0.45">
      <c r="AH236" s="1"/>
      <c r="AT236" s="2"/>
    </row>
    <row r="237" spans="2:47" ht="14.25" customHeight="1" x14ac:dyDescent="0.45">
      <c r="AH237" s="1"/>
      <c r="AT237" s="2"/>
    </row>
    <row r="238" spans="2:47" ht="14.25" customHeight="1" x14ac:dyDescent="0.45">
      <c r="AH238" s="1"/>
      <c r="AT238" s="2"/>
    </row>
    <row r="239" spans="2:47" ht="14.25" customHeight="1" x14ac:dyDescent="0.45">
      <c r="AH239" s="1"/>
      <c r="AT239" s="2"/>
    </row>
    <row r="240" spans="2:47" ht="14.25" customHeight="1" x14ac:dyDescent="0.45">
      <c r="AH240" s="1"/>
      <c r="AT240" s="2"/>
    </row>
    <row r="241" spans="34:46" ht="14.25" customHeight="1" x14ac:dyDescent="0.45">
      <c r="AH241" s="1"/>
      <c r="AT241" s="2"/>
    </row>
    <row r="242" spans="34:46" ht="14.25" customHeight="1" x14ac:dyDescent="0.45">
      <c r="AH242" s="1"/>
      <c r="AT242" s="2"/>
    </row>
    <row r="243" spans="34:46" ht="14.25" customHeight="1" x14ac:dyDescent="0.45">
      <c r="AH243" s="1"/>
      <c r="AT243" s="2"/>
    </row>
    <row r="244" spans="34:46" ht="14.25" customHeight="1" x14ac:dyDescent="0.45">
      <c r="AH244" s="1"/>
      <c r="AT244" s="2"/>
    </row>
    <row r="245" spans="34:46" ht="14.25" customHeight="1" x14ac:dyDescent="0.45">
      <c r="AH245" s="1"/>
      <c r="AT245" s="2"/>
    </row>
    <row r="246" spans="34:46" ht="14.25" customHeight="1" x14ac:dyDescent="0.45">
      <c r="AH246" s="1"/>
      <c r="AT246" s="2"/>
    </row>
    <row r="247" spans="34:46" ht="14.25" customHeight="1" x14ac:dyDescent="0.45">
      <c r="AH247" s="1"/>
      <c r="AT247" s="2"/>
    </row>
    <row r="248" spans="34:46" ht="14.25" customHeight="1" x14ac:dyDescent="0.45">
      <c r="AH248" s="1"/>
      <c r="AT248" s="2"/>
    </row>
    <row r="249" spans="34:46" ht="14.25" customHeight="1" x14ac:dyDescent="0.45">
      <c r="AH249" s="1"/>
      <c r="AT249" s="2"/>
    </row>
    <row r="250" spans="34:46" ht="14.25" customHeight="1" x14ac:dyDescent="0.45">
      <c r="AH250" s="1"/>
      <c r="AT250" s="2"/>
    </row>
    <row r="251" spans="34:46" ht="14.25" customHeight="1" x14ac:dyDescent="0.45">
      <c r="AH251" s="1"/>
      <c r="AT251" s="2"/>
    </row>
    <row r="252" spans="34:46" ht="14.25" customHeight="1" x14ac:dyDescent="0.45">
      <c r="AH252" s="1"/>
      <c r="AT252" s="2"/>
    </row>
    <row r="253" spans="34:46" ht="14.25" customHeight="1" x14ac:dyDescent="0.45">
      <c r="AH253" s="1"/>
      <c r="AT253" s="2"/>
    </row>
    <row r="254" spans="34:46" ht="14.25" customHeight="1" x14ac:dyDescent="0.45">
      <c r="AH254" s="1"/>
      <c r="AT254" s="2"/>
    </row>
    <row r="255" spans="34:46" ht="14.25" customHeight="1" x14ac:dyDescent="0.45">
      <c r="AH255" s="1"/>
      <c r="AT255" s="2"/>
    </row>
    <row r="256" spans="34:46" ht="14.25" customHeight="1" x14ac:dyDescent="0.45">
      <c r="AH256" s="1"/>
      <c r="AT256" s="2"/>
    </row>
    <row r="257" spans="34:46" ht="14.25" customHeight="1" x14ac:dyDescent="0.45">
      <c r="AH257" s="1"/>
      <c r="AT257" s="2"/>
    </row>
    <row r="258" spans="34:46" ht="14.25" customHeight="1" x14ac:dyDescent="0.45">
      <c r="AH258" s="1"/>
      <c r="AT258" s="2"/>
    </row>
    <row r="259" spans="34:46" ht="14.25" customHeight="1" x14ac:dyDescent="0.45">
      <c r="AH259" s="1"/>
      <c r="AT259" s="2"/>
    </row>
    <row r="260" spans="34:46" ht="14.25" customHeight="1" x14ac:dyDescent="0.45">
      <c r="AH260" s="1"/>
      <c r="AT260" s="2"/>
    </row>
    <row r="261" spans="34:46" ht="14.25" customHeight="1" x14ac:dyDescent="0.45">
      <c r="AH261" s="1"/>
      <c r="AT261" s="2"/>
    </row>
    <row r="262" spans="34:46" ht="14.25" customHeight="1" x14ac:dyDescent="0.45">
      <c r="AH262" s="1"/>
      <c r="AT262" s="2"/>
    </row>
    <row r="263" spans="34:46" ht="14.25" customHeight="1" x14ac:dyDescent="0.45">
      <c r="AH263" s="1"/>
      <c r="AT263" s="2"/>
    </row>
    <row r="264" spans="34:46" ht="14.25" customHeight="1" x14ac:dyDescent="0.45">
      <c r="AH264" s="1"/>
      <c r="AT264" s="2"/>
    </row>
    <row r="265" spans="34:46" ht="14.25" customHeight="1" x14ac:dyDescent="0.45">
      <c r="AH265" s="1"/>
      <c r="AT265" s="2"/>
    </row>
    <row r="266" spans="34:46" ht="14.25" customHeight="1" x14ac:dyDescent="0.45">
      <c r="AH266" s="1"/>
      <c r="AT266" s="2"/>
    </row>
    <row r="267" spans="34:46" ht="14.25" customHeight="1" x14ac:dyDescent="0.45">
      <c r="AH267" s="1"/>
      <c r="AT267" s="2"/>
    </row>
    <row r="268" spans="34:46" ht="14.25" customHeight="1" x14ac:dyDescent="0.45">
      <c r="AH268" s="1"/>
      <c r="AT268" s="2"/>
    </row>
    <row r="269" spans="34:46" ht="14.25" customHeight="1" x14ac:dyDescent="0.45">
      <c r="AH269" s="1"/>
      <c r="AT269" s="2"/>
    </row>
    <row r="270" spans="34:46" ht="14.25" customHeight="1" x14ac:dyDescent="0.45">
      <c r="AH270" s="1"/>
      <c r="AT270" s="2"/>
    </row>
    <row r="271" spans="34:46" ht="14.25" customHeight="1" x14ac:dyDescent="0.45">
      <c r="AH271" s="1"/>
      <c r="AT271" s="2"/>
    </row>
    <row r="272" spans="34:46" ht="14.25" customHeight="1" x14ac:dyDescent="0.45">
      <c r="AH272" s="1"/>
      <c r="AT272" s="2"/>
    </row>
    <row r="273" spans="34:46" ht="14.25" customHeight="1" x14ac:dyDescent="0.45">
      <c r="AH273" s="1"/>
      <c r="AT273" s="2"/>
    </row>
    <row r="274" spans="34:46" ht="14.25" customHeight="1" x14ac:dyDescent="0.45">
      <c r="AH274" s="1"/>
      <c r="AT274" s="2"/>
    </row>
    <row r="275" spans="34:46" ht="14.25" customHeight="1" x14ac:dyDescent="0.45">
      <c r="AH275" s="1"/>
      <c r="AT275" s="2"/>
    </row>
    <row r="276" spans="34:46" ht="14.25" customHeight="1" x14ac:dyDescent="0.45">
      <c r="AH276" s="1"/>
      <c r="AT276" s="2"/>
    </row>
    <row r="277" spans="34:46" ht="14.25" customHeight="1" x14ac:dyDescent="0.45">
      <c r="AH277" s="1"/>
      <c r="AT277" s="2"/>
    </row>
    <row r="278" spans="34:46" ht="14.25" customHeight="1" x14ac:dyDescent="0.45">
      <c r="AH278" s="1"/>
      <c r="AT278" s="2"/>
    </row>
    <row r="279" spans="34:46" ht="14.25" customHeight="1" x14ac:dyDescent="0.45">
      <c r="AH279" s="1"/>
      <c r="AT279" s="2"/>
    </row>
    <row r="280" spans="34:46" ht="14.25" customHeight="1" x14ac:dyDescent="0.45">
      <c r="AH280" s="1"/>
      <c r="AT280" s="2"/>
    </row>
    <row r="281" spans="34:46" ht="14.25" customHeight="1" x14ac:dyDescent="0.45">
      <c r="AH281" s="1"/>
      <c r="AT281" s="2"/>
    </row>
    <row r="282" spans="34:46" ht="14.25" customHeight="1" x14ac:dyDescent="0.45">
      <c r="AH282" s="1"/>
      <c r="AT282" s="2"/>
    </row>
    <row r="283" spans="34:46" ht="14.25" customHeight="1" x14ac:dyDescent="0.45">
      <c r="AH283" s="1"/>
      <c r="AT283" s="2"/>
    </row>
    <row r="284" spans="34:46" ht="14.25" customHeight="1" x14ac:dyDescent="0.45">
      <c r="AH284" s="1"/>
      <c r="AT284" s="2"/>
    </row>
    <row r="285" spans="34:46" ht="14.25" customHeight="1" x14ac:dyDescent="0.45">
      <c r="AH285" s="1"/>
      <c r="AT285" s="2"/>
    </row>
    <row r="286" spans="34:46" ht="14.25" customHeight="1" x14ac:dyDescent="0.45">
      <c r="AH286" s="1"/>
      <c r="AT286" s="2"/>
    </row>
    <row r="287" spans="34:46" ht="14.25" customHeight="1" x14ac:dyDescent="0.45">
      <c r="AH287" s="1"/>
      <c r="AT287" s="2"/>
    </row>
    <row r="288" spans="34:46" ht="14.25" customHeight="1" x14ac:dyDescent="0.45">
      <c r="AH288" s="1"/>
      <c r="AT288" s="2"/>
    </row>
    <row r="289" spans="34:46" ht="14.25" customHeight="1" x14ac:dyDescent="0.45">
      <c r="AH289" s="1"/>
      <c r="AT289" s="2"/>
    </row>
    <row r="290" spans="34:46" ht="14.25" customHeight="1" x14ac:dyDescent="0.45">
      <c r="AH290" s="1"/>
      <c r="AT290" s="2"/>
    </row>
    <row r="291" spans="34:46" ht="14.25" customHeight="1" x14ac:dyDescent="0.45">
      <c r="AH291" s="1"/>
      <c r="AT291" s="2"/>
    </row>
    <row r="292" spans="34:46" ht="14.25" customHeight="1" x14ac:dyDescent="0.45">
      <c r="AH292" s="1"/>
      <c r="AT292" s="2"/>
    </row>
    <row r="293" spans="34:46" ht="14.25" customHeight="1" x14ac:dyDescent="0.45">
      <c r="AH293" s="1"/>
      <c r="AT293" s="2"/>
    </row>
    <row r="294" spans="34:46" ht="14.25" customHeight="1" x14ac:dyDescent="0.45">
      <c r="AH294" s="1"/>
      <c r="AT294" s="2"/>
    </row>
    <row r="295" spans="34:46" ht="14.25" customHeight="1" x14ac:dyDescent="0.45">
      <c r="AH295" s="1"/>
      <c r="AT295" s="2"/>
    </row>
    <row r="296" spans="34:46" ht="14.25" customHeight="1" x14ac:dyDescent="0.45">
      <c r="AH296" s="1"/>
      <c r="AT296" s="2"/>
    </row>
    <row r="297" spans="34:46" ht="14.25" customHeight="1" x14ac:dyDescent="0.45">
      <c r="AH297" s="1"/>
      <c r="AT297" s="2"/>
    </row>
    <row r="298" spans="34:46" ht="14.25" customHeight="1" x14ac:dyDescent="0.45">
      <c r="AH298" s="1"/>
      <c r="AT298" s="2"/>
    </row>
    <row r="299" spans="34:46" ht="14.25" customHeight="1" x14ac:dyDescent="0.45">
      <c r="AH299" s="1"/>
      <c r="AT299" s="2"/>
    </row>
    <row r="300" spans="34:46" ht="14.25" customHeight="1" x14ac:dyDescent="0.45">
      <c r="AH300" s="1"/>
      <c r="AT300" s="2"/>
    </row>
    <row r="301" spans="34:46" ht="14.25" customHeight="1" x14ac:dyDescent="0.45">
      <c r="AH301" s="1"/>
      <c r="AT301" s="2"/>
    </row>
    <row r="302" spans="34:46" ht="14.25" customHeight="1" x14ac:dyDescent="0.45">
      <c r="AH302" s="1"/>
      <c r="AT302" s="2"/>
    </row>
    <row r="303" spans="34:46" ht="14.25" customHeight="1" x14ac:dyDescent="0.45">
      <c r="AH303" s="1"/>
      <c r="AT303" s="2"/>
    </row>
    <row r="304" spans="34:46" ht="14.25" customHeight="1" x14ac:dyDescent="0.45">
      <c r="AH304" s="1"/>
      <c r="AT304" s="2"/>
    </row>
    <row r="305" spans="34:46" ht="14.25" customHeight="1" x14ac:dyDescent="0.45">
      <c r="AH305" s="1"/>
      <c r="AT305" s="2"/>
    </row>
    <row r="306" spans="34:46" ht="14.25" customHeight="1" x14ac:dyDescent="0.45">
      <c r="AH306" s="1"/>
      <c r="AT306" s="2"/>
    </row>
    <row r="307" spans="34:46" ht="14.25" customHeight="1" x14ac:dyDescent="0.45">
      <c r="AH307" s="1"/>
      <c r="AT307" s="2"/>
    </row>
    <row r="308" spans="34:46" ht="14.25" customHeight="1" x14ac:dyDescent="0.45">
      <c r="AH308" s="1"/>
      <c r="AT308" s="2"/>
    </row>
    <row r="309" spans="34:46" ht="14.25" customHeight="1" x14ac:dyDescent="0.45">
      <c r="AH309" s="1"/>
      <c r="AT309" s="2"/>
    </row>
    <row r="310" spans="34:46" ht="14.25" customHeight="1" x14ac:dyDescent="0.45">
      <c r="AH310" s="1"/>
      <c r="AT310" s="2"/>
    </row>
    <row r="311" spans="34:46" ht="14.25" customHeight="1" x14ac:dyDescent="0.45">
      <c r="AH311" s="1"/>
      <c r="AT311" s="2"/>
    </row>
    <row r="312" spans="34:46" ht="14.25" customHeight="1" x14ac:dyDescent="0.45">
      <c r="AH312" s="1"/>
      <c r="AT312" s="2"/>
    </row>
    <row r="313" spans="34:46" ht="14.25" customHeight="1" x14ac:dyDescent="0.45">
      <c r="AH313" s="1"/>
      <c r="AT313" s="2"/>
    </row>
    <row r="314" spans="34:46" ht="14.25" customHeight="1" x14ac:dyDescent="0.45">
      <c r="AH314" s="1"/>
      <c r="AT314" s="2"/>
    </row>
    <row r="315" spans="34:46" ht="14.25" customHeight="1" x14ac:dyDescent="0.45">
      <c r="AH315" s="1"/>
      <c r="AT315" s="2"/>
    </row>
    <row r="316" spans="34:46" ht="14.25" customHeight="1" x14ac:dyDescent="0.45">
      <c r="AH316" s="1"/>
      <c r="AT316" s="2"/>
    </row>
    <row r="317" spans="34:46" ht="14.25" customHeight="1" x14ac:dyDescent="0.45">
      <c r="AH317" s="1"/>
      <c r="AT317" s="2"/>
    </row>
    <row r="318" spans="34:46" ht="14.25" customHeight="1" x14ac:dyDescent="0.45">
      <c r="AH318" s="1"/>
      <c r="AT318" s="2"/>
    </row>
    <row r="319" spans="34:46" ht="14.25" customHeight="1" x14ac:dyDescent="0.45">
      <c r="AH319" s="1"/>
      <c r="AT319" s="2"/>
    </row>
    <row r="320" spans="34:46" ht="14.25" customHeight="1" x14ac:dyDescent="0.45">
      <c r="AH320" s="1"/>
      <c r="AT320" s="2"/>
    </row>
    <row r="321" spans="34:46" ht="14.25" customHeight="1" x14ac:dyDescent="0.45">
      <c r="AH321" s="1"/>
      <c r="AT321" s="2"/>
    </row>
    <row r="322" spans="34:46" ht="14.25" customHeight="1" x14ac:dyDescent="0.45">
      <c r="AH322" s="1"/>
      <c r="AT322" s="2"/>
    </row>
    <row r="323" spans="34:46" ht="14.25" customHeight="1" x14ac:dyDescent="0.45">
      <c r="AH323" s="1"/>
      <c r="AT323" s="2"/>
    </row>
    <row r="324" spans="34:46" ht="14.25" customHeight="1" x14ac:dyDescent="0.45">
      <c r="AH324" s="1"/>
      <c r="AT324" s="2"/>
    </row>
    <row r="325" spans="34:46" ht="14.25" customHeight="1" x14ac:dyDescent="0.45">
      <c r="AH325" s="1"/>
      <c r="AT325" s="2"/>
    </row>
    <row r="326" spans="34:46" ht="14.25" customHeight="1" x14ac:dyDescent="0.45">
      <c r="AH326" s="1"/>
      <c r="AT326" s="2"/>
    </row>
    <row r="327" spans="34:46" ht="14.25" customHeight="1" x14ac:dyDescent="0.45">
      <c r="AH327" s="1"/>
      <c r="AT327" s="2"/>
    </row>
    <row r="328" spans="34:46" ht="14.25" customHeight="1" x14ac:dyDescent="0.45">
      <c r="AH328" s="1"/>
      <c r="AT328" s="2"/>
    </row>
    <row r="329" spans="34:46" ht="14.25" customHeight="1" x14ac:dyDescent="0.45">
      <c r="AH329" s="1"/>
      <c r="AT329" s="2"/>
    </row>
    <row r="330" spans="34:46" ht="14.25" customHeight="1" x14ac:dyDescent="0.45">
      <c r="AH330" s="1"/>
      <c r="AT330" s="2"/>
    </row>
    <row r="331" spans="34:46" ht="14.25" customHeight="1" x14ac:dyDescent="0.45">
      <c r="AH331" s="1"/>
      <c r="AT331" s="2"/>
    </row>
    <row r="332" spans="34:46" ht="14.25" customHeight="1" x14ac:dyDescent="0.45">
      <c r="AH332" s="1"/>
      <c r="AT332" s="2"/>
    </row>
    <row r="333" spans="34:46" ht="14.25" customHeight="1" x14ac:dyDescent="0.45">
      <c r="AH333" s="1"/>
      <c r="AT333" s="2"/>
    </row>
    <row r="334" spans="34:46" ht="14.25" customHeight="1" x14ac:dyDescent="0.45">
      <c r="AH334" s="1"/>
      <c r="AT334" s="2"/>
    </row>
    <row r="335" spans="34:46" ht="14.25" customHeight="1" x14ac:dyDescent="0.45">
      <c r="AH335" s="1"/>
      <c r="AT335" s="2"/>
    </row>
    <row r="336" spans="34:46" ht="14.25" customHeight="1" x14ac:dyDescent="0.45">
      <c r="AH336" s="1"/>
      <c r="AT336" s="2"/>
    </row>
    <row r="337" spans="34:46" ht="14.25" customHeight="1" x14ac:dyDescent="0.45">
      <c r="AH337" s="1"/>
      <c r="AT337" s="2"/>
    </row>
    <row r="338" spans="34:46" ht="14.25" customHeight="1" x14ac:dyDescent="0.45">
      <c r="AH338" s="1"/>
      <c r="AT338" s="2"/>
    </row>
    <row r="339" spans="34:46" ht="14.25" customHeight="1" x14ac:dyDescent="0.45">
      <c r="AH339" s="1"/>
      <c r="AT339" s="2"/>
    </row>
    <row r="340" spans="34:46" ht="14.25" customHeight="1" x14ac:dyDescent="0.45">
      <c r="AH340" s="1"/>
      <c r="AT340" s="2"/>
    </row>
    <row r="341" spans="34:46" ht="14.25" customHeight="1" x14ac:dyDescent="0.45">
      <c r="AH341" s="1"/>
      <c r="AT341" s="2"/>
    </row>
    <row r="342" spans="34:46" ht="14.25" customHeight="1" x14ac:dyDescent="0.45">
      <c r="AH342" s="1"/>
      <c r="AT342" s="2"/>
    </row>
    <row r="343" spans="34:46" ht="14.25" customHeight="1" x14ac:dyDescent="0.45">
      <c r="AH343" s="1"/>
      <c r="AT343" s="2"/>
    </row>
    <row r="344" spans="34:46" ht="14.25" customHeight="1" x14ac:dyDescent="0.45">
      <c r="AH344" s="1"/>
      <c r="AT344" s="2"/>
    </row>
    <row r="345" spans="34:46" ht="14.25" customHeight="1" x14ac:dyDescent="0.45">
      <c r="AH345" s="1"/>
      <c r="AT345" s="2"/>
    </row>
    <row r="346" spans="34:46" ht="14.25" customHeight="1" x14ac:dyDescent="0.45">
      <c r="AH346" s="1"/>
      <c r="AT346" s="2"/>
    </row>
    <row r="347" spans="34:46" ht="14.25" customHeight="1" x14ac:dyDescent="0.45">
      <c r="AH347" s="1"/>
      <c r="AT347" s="2"/>
    </row>
    <row r="348" spans="34:46" ht="14.25" customHeight="1" x14ac:dyDescent="0.45">
      <c r="AH348" s="1"/>
      <c r="AT348" s="2"/>
    </row>
    <row r="349" spans="34:46" ht="14.25" customHeight="1" x14ac:dyDescent="0.45">
      <c r="AH349" s="1"/>
      <c r="AT349" s="2"/>
    </row>
    <row r="350" spans="34:46" ht="14.25" customHeight="1" x14ac:dyDescent="0.45">
      <c r="AH350" s="1"/>
      <c r="AT350" s="2"/>
    </row>
    <row r="351" spans="34:46" ht="14.25" customHeight="1" x14ac:dyDescent="0.45">
      <c r="AH351" s="1"/>
      <c r="AT351" s="2"/>
    </row>
    <row r="352" spans="34:46" ht="14.25" customHeight="1" x14ac:dyDescent="0.45">
      <c r="AH352" s="1"/>
      <c r="AT352" s="2"/>
    </row>
    <row r="353" spans="34:46" ht="14.25" customHeight="1" x14ac:dyDescent="0.45">
      <c r="AH353" s="1"/>
      <c r="AT353" s="2"/>
    </row>
    <row r="354" spans="34:46" ht="14.25" customHeight="1" x14ac:dyDescent="0.45">
      <c r="AH354" s="1"/>
      <c r="AT354" s="2"/>
    </row>
    <row r="355" spans="34:46" ht="14.25" customHeight="1" x14ac:dyDescent="0.45">
      <c r="AH355" s="1"/>
      <c r="AT355" s="2"/>
    </row>
    <row r="356" spans="34:46" ht="14.25" customHeight="1" x14ac:dyDescent="0.45">
      <c r="AH356" s="1"/>
      <c r="AT356" s="2"/>
    </row>
    <row r="357" spans="34:46" ht="14.25" customHeight="1" x14ac:dyDescent="0.45">
      <c r="AH357" s="1"/>
      <c r="AT357" s="2"/>
    </row>
    <row r="358" spans="34:46" ht="14.25" customHeight="1" x14ac:dyDescent="0.45">
      <c r="AH358" s="1"/>
      <c r="AT358" s="2"/>
    </row>
    <row r="359" spans="34:46" ht="14.25" customHeight="1" x14ac:dyDescent="0.45">
      <c r="AH359" s="1"/>
      <c r="AT359" s="2"/>
    </row>
    <row r="360" spans="34:46" ht="14.25" customHeight="1" x14ac:dyDescent="0.45">
      <c r="AH360" s="1"/>
      <c r="AT360" s="2"/>
    </row>
    <row r="361" spans="34:46" ht="14.25" customHeight="1" x14ac:dyDescent="0.45">
      <c r="AH361" s="1"/>
      <c r="AT361" s="2"/>
    </row>
    <row r="362" spans="34:46" ht="14.25" customHeight="1" x14ac:dyDescent="0.45">
      <c r="AH362" s="1"/>
      <c r="AT362" s="2"/>
    </row>
    <row r="363" spans="34:46" ht="14.25" customHeight="1" x14ac:dyDescent="0.45">
      <c r="AH363" s="1"/>
      <c r="AT363" s="2"/>
    </row>
    <row r="364" spans="34:46" ht="14.25" customHeight="1" x14ac:dyDescent="0.45">
      <c r="AH364" s="1"/>
      <c r="AT364" s="2"/>
    </row>
    <row r="365" spans="34:46" ht="14.25" customHeight="1" x14ac:dyDescent="0.45">
      <c r="AH365" s="1"/>
      <c r="AT365" s="2"/>
    </row>
    <row r="366" spans="34:46" ht="14.25" customHeight="1" x14ac:dyDescent="0.45">
      <c r="AH366" s="1"/>
      <c r="AT366" s="2"/>
    </row>
    <row r="367" spans="34:46" ht="14.25" customHeight="1" x14ac:dyDescent="0.45">
      <c r="AH367" s="1"/>
      <c r="AT367" s="2"/>
    </row>
    <row r="368" spans="34:46" ht="14.25" customHeight="1" x14ac:dyDescent="0.45">
      <c r="AH368" s="1"/>
      <c r="AT368" s="2"/>
    </row>
    <row r="369" spans="34:46" ht="14.25" customHeight="1" x14ac:dyDescent="0.45">
      <c r="AH369" s="1"/>
      <c r="AT369" s="2"/>
    </row>
    <row r="370" spans="34:46" ht="14.25" customHeight="1" x14ac:dyDescent="0.45">
      <c r="AH370" s="1"/>
      <c r="AT370" s="2"/>
    </row>
    <row r="371" spans="34:46" ht="14.25" customHeight="1" x14ac:dyDescent="0.45">
      <c r="AH371" s="1"/>
      <c r="AT371" s="2"/>
    </row>
    <row r="372" spans="34:46" ht="14.25" customHeight="1" x14ac:dyDescent="0.45">
      <c r="AH372" s="1"/>
      <c r="AT372" s="2"/>
    </row>
    <row r="373" spans="34:46" ht="14.25" customHeight="1" x14ac:dyDescent="0.45">
      <c r="AH373" s="1"/>
      <c r="AT373" s="2"/>
    </row>
    <row r="374" spans="34:46" ht="14.25" customHeight="1" x14ac:dyDescent="0.45">
      <c r="AH374" s="1"/>
      <c r="AT374" s="2"/>
    </row>
    <row r="375" spans="34:46" ht="14.25" customHeight="1" x14ac:dyDescent="0.45">
      <c r="AH375" s="1"/>
      <c r="AT375" s="2"/>
    </row>
    <row r="376" spans="34:46" ht="14.25" customHeight="1" x14ac:dyDescent="0.45">
      <c r="AH376" s="1"/>
      <c r="AT376" s="2"/>
    </row>
    <row r="377" spans="34:46" ht="14.25" customHeight="1" x14ac:dyDescent="0.45">
      <c r="AH377" s="1"/>
      <c r="AT377" s="2"/>
    </row>
    <row r="378" spans="34:46" ht="14.25" customHeight="1" x14ac:dyDescent="0.45">
      <c r="AH378" s="1"/>
      <c r="AT378" s="2"/>
    </row>
    <row r="379" spans="34:46" ht="14.25" customHeight="1" x14ac:dyDescent="0.45">
      <c r="AH379" s="1"/>
      <c r="AT379" s="2"/>
    </row>
    <row r="380" spans="34:46" ht="14.25" customHeight="1" x14ac:dyDescent="0.45">
      <c r="AH380" s="1"/>
      <c r="AT380" s="2"/>
    </row>
    <row r="381" spans="34:46" ht="14.25" customHeight="1" x14ac:dyDescent="0.45">
      <c r="AH381" s="1"/>
      <c r="AT381" s="2"/>
    </row>
    <row r="382" spans="34:46" ht="14.25" customHeight="1" x14ac:dyDescent="0.45">
      <c r="AH382" s="1"/>
      <c r="AT382" s="2"/>
    </row>
    <row r="383" spans="34:46" ht="14.25" customHeight="1" x14ac:dyDescent="0.45">
      <c r="AH383" s="1"/>
      <c r="AT383" s="2"/>
    </row>
    <row r="384" spans="34:46" ht="14.25" customHeight="1" x14ac:dyDescent="0.45">
      <c r="AH384" s="1"/>
      <c r="AT384" s="2"/>
    </row>
    <row r="385" spans="34:46" ht="14.25" customHeight="1" x14ac:dyDescent="0.45">
      <c r="AH385" s="1"/>
      <c r="AT385" s="2"/>
    </row>
    <row r="386" spans="34:46" ht="14.25" customHeight="1" x14ac:dyDescent="0.45">
      <c r="AH386" s="1"/>
      <c r="AT386" s="2"/>
    </row>
    <row r="387" spans="34:46" ht="14.25" customHeight="1" x14ac:dyDescent="0.45">
      <c r="AH387" s="1"/>
      <c r="AT387" s="2"/>
    </row>
    <row r="388" spans="34:46" ht="14.25" customHeight="1" x14ac:dyDescent="0.45">
      <c r="AH388" s="1"/>
      <c r="AT388" s="2"/>
    </row>
    <row r="389" spans="34:46" ht="14.25" customHeight="1" x14ac:dyDescent="0.45">
      <c r="AH389" s="1"/>
      <c r="AT389" s="2"/>
    </row>
    <row r="390" spans="34:46" ht="14.25" customHeight="1" x14ac:dyDescent="0.45">
      <c r="AH390" s="1"/>
      <c r="AT390" s="2"/>
    </row>
    <row r="391" spans="34:46" ht="14.25" customHeight="1" x14ac:dyDescent="0.45">
      <c r="AH391" s="1"/>
      <c r="AT391" s="2"/>
    </row>
    <row r="392" spans="34:46" ht="14.25" customHeight="1" x14ac:dyDescent="0.45">
      <c r="AH392" s="1"/>
      <c r="AT392" s="2"/>
    </row>
    <row r="393" spans="34:46" ht="14.25" customHeight="1" x14ac:dyDescent="0.45">
      <c r="AH393" s="1"/>
      <c r="AT393" s="2"/>
    </row>
    <row r="394" spans="34:46" ht="14.25" customHeight="1" x14ac:dyDescent="0.45">
      <c r="AH394" s="1"/>
      <c r="AT394" s="2"/>
    </row>
    <row r="395" spans="34:46" ht="14.25" customHeight="1" x14ac:dyDescent="0.45">
      <c r="AH395" s="1"/>
      <c r="AT395" s="2"/>
    </row>
    <row r="396" spans="34:46" ht="14.25" customHeight="1" x14ac:dyDescent="0.45">
      <c r="AH396" s="1"/>
      <c r="AT396" s="2"/>
    </row>
    <row r="397" spans="34:46" ht="14.25" customHeight="1" x14ac:dyDescent="0.45">
      <c r="AH397" s="1"/>
      <c r="AT397" s="2"/>
    </row>
    <row r="398" spans="34:46" ht="14.25" customHeight="1" x14ac:dyDescent="0.45">
      <c r="AH398" s="1"/>
      <c r="AT398" s="2"/>
    </row>
    <row r="399" spans="34:46" ht="14.25" customHeight="1" x14ac:dyDescent="0.45">
      <c r="AH399" s="1"/>
      <c r="AT399" s="2"/>
    </row>
    <row r="400" spans="34:46" ht="14.25" customHeight="1" x14ac:dyDescent="0.45">
      <c r="AH400" s="1"/>
      <c r="AT400" s="2"/>
    </row>
    <row r="401" spans="34:46" ht="14.25" customHeight="1" x14ac:dyDescent="0.45">
      <c r="AH401" s="1"/>
      <c r="AT401" s="2"/>
    </row>
    <row r="402" spans="34:46" ht="14.25" customHeight="1" x14ac:dyDescent="0.45">
      <c r="AH402" s="1"/>
      <c r="AT402" s="2"/>
    </row>
    <row r="403" spans="34:46" ht="14.25" customHeight="1" x14ac:dyDescent="0.45">
      <c r="AH403" s="1"/>
      <c r="AT403" s="2"/>
    </row>
    <row r="404" spans="34:46" ht="14.25" customHeight="1" x14ac:dyDescent="0.45">
      <c r="AH404" s="1"/>
      <c r="AT404" s="2"/>
    </row>
    <row r="405" spans="34:46" ht="14.25" customHeight="1" x14ac:dyDescent="0.45">
      <c r="AH405" s="1"/>
      <c r="AT405" s="2"/>
    </row>
    <row r="406" spans="34:46" ht="14.25" customHeight="1" x14ac:dyDescent="0.45">
      <c r="AH406" s="1"/>
      <c r="AT406" s="2"/>
    </row>
    <row r="407" spans="34:46" ht="14.25" customHeight="1" x14ac:dyDescent="0.45">
      <c r="AH407" s="1"/>
      <c r="AT407" s="2"/>
    </row>
    <row r="408" spans="34:46" ht="14.25" customHeight="1" x14ac:dyDescent="0.45">
      <c r="AH408" s="1"/>
      <c r="AT408" s="2"/>
    </row>
    <row r="409" spans="34:46" ht="14.25" customHeight="1" x14ac:dyDescent="0.45">
      <c r="AH409" s="1"/>
      <c r="AT409" s="2"/>
    </row>
    <row r="410" spans="34:46" ht="14.25" customHeight="1" x14ac:dyDescent="0.45">
      <c r="AH410" s="1"/>
      <c r="AT410" s="2"/>
    </row>
    <row r="411" spans="34:46" ht="14.25" customHeight="1" x14ac:dyDescent="0.45">
      <c r="AH411" s="1"/>
      <c r="AT411" s="2"/>
    </row>
    <row r="412" spans="34:46" ht="14.25" customHeight="1" x14ac:dyDescent="0.45">
      <c r="AH412" s="1"/>
      <c r="AT412" s="2"/>
    </row>
    <row r="413" spans="34:46" ht="14.25" customHeight="1" x14ac:dyDescent="0.45">
      <c r="AH413" s="1"/>
      <c r="AT413" s="2"/>
    </row>
    <row r="414" spans="34:46" ht="14.25" customHeight="1" x14ac:dyDescent="0.45">
      <c r="AH414" s="1"/>
      <c r="AT414" s="2"/>
    </row>
    <row r="415" spans="34:46" ht="14.25" customHeight="1" x14ac:dyDescent="0.45">
      <c r="AH415" s="1"/>
      <c r="AT415" s="2"/>
    </row>
    <row r="416" spans="34:46" ht="14.25" customHeight="1" x14ac:dyDescent="0.45">
      <c r="AH416" s="1"/>
      <c r="AT416" s="2"/>
    </row>
    <row r="417" spans="34:46" ht="14.25" customHeight="1" x14ac:dyDescent="0.45">
      <c r="AH417" s="1"/>
      <c r="AT417" s="2"/>
    </row>
    <row r="418" spans="34:46" ht="14.25" customHeight="1" x14ac:dyDescent="0.45">
      <c r="AH418" s="1"/>
      <c r="AT418" s="2"/>
    </row>
    <row r="419" spans="34:46" ht="14.25" customHeight="1" x14ac:dyDescent="0.45">
      <c r="AH419" s="1"/>
      <c r="AT419" s="2"/>
    </row>
    <row r="420" spans="34:46" ht="14.25" customHeight="1" x14ac:dyDescent="0.45">
      <c r="AH420" s="1"/>
      <c r="AT420" s="2"/>
    </row>
    <row r="421" spans="34:46" ht="14.25" customHeight="1" x14ac:dyDescent="0.45">
      <c r="AH421" s="1"/>
      <c r="AT421" s="2"/>
    </row>
    <row r="422" spans="34:46" ht="14.25" customHeight="1" x14ac:dyDescent="0.45">
      <c r="AH422" s="1"/>
      <c r="AT422" s="2"/>
    </row>
    <row r="423" spans="34:46" ht="14.25" customHeight="1" x14ac:dyDescent="0.45">
      <c r="AH423" s="1"/>
      <c r="AT423" s="2"/>
    </row>
    <row r="424" spans="34:46" ht="14.25" customHeight="1" x14ac:dyDescent="0.45">
      <c r="AH424" s="1"/>
      <c r="AT424" s="2"/>
    </row>
    <row r="425" spans="34:46" ht="14.25" customHeight="1" x14ac:dyDescent="0.45">
      <c r="AH425" s="1"/>
      <c r="AT425" s="2"/>
    </row>
    <row r="426" spans="34:46" ht="14.25" customHeight="1" x14ac:dyDescent="0.45">
      <c r="AH426" s="1"/>
      <c r="AT426" s="2"/>
    </row>
    <row r="427" spans="34:46" ht="14.25" customHeight="1" x14ac:dyDescent="0.45">
      <c r="AH427" s="1"/>
      <c r="AT427" s="2"/>
    </row>
    <row r="428" spans="34:46" ht="14.25" customHeight="1" x14ac:dyDescent="0.45">
      <c r="AH428" s="1"/>
      <c r="AT428" s="2"/>
    </row>
    <row r="429" spans="34:46" ht="14.25" customHeight="1" x14ac:dyDescent="0.45">
      <c r="AH429" s="1"/>
      <c r="AT429" s="2"/>
    </row>
    <row r="430" spans="34:46" ht="14.25" customHeight="1" x14ac:dyDescent="0.45">
      <c r="AH430" s="1"/>
      <c r="AT430" s="2"/>
    </row>
    <row r="431" spans="34:46" ht="14.25" customHeight="1" x14ac:dyDescent="0.45">
      <c r="AH431" s="1"/>
      <c r="AT431" s="2"/>
    </row>
    <row r="432" spans="34:46" ht="14.25" customHeight="1" x14ac:dyDescent="0.45">
      <c r="AH432" s="1"/>
      <c r="AT432" s="2"/>
    </row>
    <row r="433" spans="34:46" ht="14.25" customHeight="1" x14ac:dyDescent="0.45">
      <c r="AH433" s="1"/>
      <c r="AT433" s="2"/>
    </row>
    <row r="434" spans="34:46" ht="14.25" customHeight="1" x14ac:dyDescent="0.45">
      <c r="AH434" s="1"/>
      <c r="AT434" s="2"/>
    </row>
    <row r="435" spans="34:46" ht="14.25" customHeight="1" x14ac:dyDescent="0.45">
      <c r="AH435" s="1"/>
      <c r="AT435" s="2"/>
    </row>
    <row r="436" spans="34:46" ht="14.25" customHeight="1" x14ac:dyDescent="0.45">
      <c r="AH436" s="1"/>
      <c r="AT436" s="2"/>
    </row>
    <row r="437" spans="34:46" ht="14.25" customHeight="1" x14ac:dyDescent="0.45">
      <c r="AH437" s="1"/>
      <c r="AT437" s="2"/>
    </row>
    <row r="438" spans="34:46" ht="14.25" customHeight="1" x14ac:dyDescent="0.45">
      <c r="AH438" s="1"/>
      <c r="AT438" s="2"/>
    </row>
    <row r="439" spans="34:46" ht="14.25" customHeight="1" x14ac:dyDescent="0.45">
      <c r="AH439" s="1"/>
      <c r="AT439" s="2"/>
    </row>
    <row r="440" spans="34:46" ht="14.25" customHeight="1" x14ac:dyDescent="0.45">
      <c r="AH440" s="1"/>
      <c r="AT440" s="2"/>
    </row>
    <row r="441" spans="34:46" ht="14.25" customHeight="1" x14ac:dyDescent="0.45">
      <c r="AH441" s="1"/>
      <c r="AT441" s="2"/>
    </row>
    <row r="442" spans="34:46" ht="14.25" customHeight="1" x14ac:dyDescent="0.45">
      <c r="AH442" s="1"/>
      <c r="AT442" s="2"/>
    </row>
    <row r="443" spans="34:46" ht="14.25" customHeight="1" x14ac:dyDescent="0.45">
      <c r="AH443" s="1"/>
      <c r="AT443" s="2"/>
    </row>
    <row r="444" spans="34:46" ht="14.25" customHeight="1" x14ac:dyDescent="0.45">
      <c r="AH444" s="1"/>
      <c r="AT444" s="2"/>
    </row>
    <row r="445" spans="34:46" ht="14.25" customHeight="1" x14ac:dyDescent="0.45">
      <c r="AH445" s="1"/>
      <c r="AT445" s="2"/>
    </row>
    <row r="446" spans="34:46" ht="14.25" customHeight="1" x14ac:dyDescent="0.45">
      <c r="AH446" s="1"/>
      <c r="AT446" s="2"/>
    </row>
    <row r="447" spans="34:46" ht="14.25" customHeight="1" x14ac:dyDescent="0.45">
      <c r="AH447" s="1"/>
      <c r="AT447" s="2"/>
    </row>
    <row r="448" spans="34:46" ht="14.25" customHeight="1" x14ac:dyDescent="0.45">
      <c r="AH448" s="1"/>
      <c r="AT448" s="2"/>
    </row>
    <row r="449" spans="34:46" ht="14.25" customHeight="1" x14ac:dyDescent="0.45">
      <c r="AH449" s="1"/>
      <c r="AT449" s="2"/>
    </row>
    <row r="450" spans="34:46" ht="14.25" customHeight="1" x14ac:dyDescent="0.45">
      <c r="AH450" s="1"/>
      <c r="AT450" s="2"/>
    </row>
    <row r="451" spans="34:46" ht="14.25" customHeight="1" x14ac:dyDescent="0.45">
      <c r="AH451" s="1"/>
      <c r="AT451" s="2"/>
    </row>
    <row r="452" spans="34:46" ht="14.25" customHeight="1" x14ac:dyDescent="0.45">
      <c r="AH452" s="1"/>
      <c r="AT452" s="2"/>
    </row>
    <row r="453" spans="34:46" ht="14.25" customHeight="1" x14ac:dyDescent="0.45">
      <c r="AH453" s="1"/>
      <c r="AT453" s="2"/>
    </row>
    <row r="454" spans="34:46" ht="14.25" customHeight="1" x14ac:dyDescent="0.45">
      <c r="AH454" s="1"/>
      <c r="AT454" s="2"/>
    </row>
    <row r="455" spans="34:46" ht="14.25" customHeight="1" x14ac:dyDescent="0.45">
      <c r="AH455" s="1"/>
      <c r="AT455" s="2"/>
    </row>
    <row r="456" spans="34:46" ht="14.25" customHeight="1" x14ac:dyDescent="0.45">
      <c r="AH456" s="1"/>
      <c r="AT456" s="2"/>
    </row>
    <row r="457" spans="34:46" ht="14.25" customHeight="1" x14ac:dyDescent="0.45">
      <c r="AH457" s="1"/>
      <c r="AT457" s="2"/>
    </row>
    <row r="458" spans="34:46" ht="14.25" customHeight="1" x14ac:dyDescent="0.45">
      <c r="AH458" s="1"/>
      <c r="AT458" s="2"/>
    </row>
    <row r="459" spans="34:46" ht="14.25" customHeight="1" x14ac:dyDescent="0.45">
      <c r="AH459" s="1"/>
      <c r="AT459" s="2"/>
    </row>
    <row r="460" spans="34:46" ht="14.25" customHeight="1" x14ac:dyDescent="0.45">
      <c r="AH460" s="1"/>
      <c r="AT460" s="2"/>
    </row>
    <row r="461" spans="34:46" ht="14.25" customHeight="1" x14ac:dyDescent="0.45">
      <c r="AH461" s="1"/>
      <c r="AT461" s="2"/>
    </row>
    <row r="462" spans="34:46" ht="14.25" customHeight="1" x14ac:dyDescent="0.45">
      <c r="AH462" s="1"/>
      <c r="AT462" s="2"/>
    </row>
    <row r="463" spans="34:46" ht="14.25" customHeight="1" x14ac:dyDescent="0.45">
      <c r="AH463" s="1"/>
      <c r="AT463" s="2"/>
    </row>
    <row r="464" spans="34:46" ht="14.25" customHeight="1" x14ac:dyDescent="0.45">
      <c r="AH464" s="1"/>
      <c r="AT464" s="2"/>
    </row>
    <row r="465" spans="34:46" ht="14.25" customHeight="1" x14ac:dyDescent="0.45">
      <c r="AH465" s="1"/>
      <c r="AT465" s="2"/>
    </row>
    <row r="466" spans="34:46" ht="14.25" customHeight="1" x14ac:dyDescent="0.45">
      <c r="AH466" s="1"/>
      <c r="AT466" s="2"/>
    </row>
    <row r="467" spans="34:46" ht="14.25" customHeight="1" x14ac:dyDescent="0.45">
      <c r="AH467" s="1"/>
      <c r="AT467" s="2"/>
    </row>
    <row r="468" spans="34:46" ht="14.25" customHeight="1" x14ac:dyDescent="0.45">
      <c r="AH468" s="1"/>
      <c r="AT468" s="2"/>
    </row>
    <row r="469" spans="34:46" ht="14.25" customHeight="1" x14ac:dyDescent="0.45">
      <c r="AH469" s="1"/>
      <c r="AT469" s="2"/>
    </row>
    <row r="470" spans="34:46" ht="14.25" customHeight="1" x14ac:dyDescent="0.45">
      <c r="AH470" s="1"/>
      <c r="AT470" s="2"/>
    </row>
    <row r="471" spans="34:46" ht="14.25" customHeight="1" x14ac:dyDescent="0.45">
      <c r="AH471" s="1"/>
      <c r="AT471" s="2"/>
    </row>
    <row r="472" spans="34:46" ht="14.25" customHeight="1" x14ac:dyDescent="0.45">
      <c r="AH472" s="1"/>
      <c r="AT472" s="2"/>
    </row>
    <row r="473" spans="34:46" ht="14.25" customHeight="1" x14ac:dyDescent="0.45">
      <c r="AH473" s="1"/>
      <c r="AT473" s="2"/>
    </row>
    <row r="474" spans="34:46" ht="14.25" customHeight="1" x14ac:dyDescent="0.45">
      <c r="AH474" s="1"/>
      <c r="AT474" s="2"/>
    </row>
    <row r="475" spans="34:46" ht="14.25" customHeight="1" x14ac:dyDescent="0.45">
      <c r="AH475" s="1"/>
      <c r="AT475" s="2"/>
    </row>
    <row r="476" spans="34:46" ht="14.25" customHeight="1" x14ac:dyDescent="0.45">
      <c r="AH476" s="1"/>
      <c r="AT476" s="2"/>
    </row>
    <row r="477" spans="34:46" ht="14.25" customHeight="1" x14ac:dyDescent="0.45">
      <c r="AH477" s="1"/>
      <c r="AT477" s="2"/>
    </row>
    <row r="478" spans="34:46" ht="14.25" customHeight="1" x14ac:dyDescent="0.45">
      <c r="AH478" s="1"/>
      <c r="AT478" s="2"/>
    </row>
    <row r="479" spans="34:46" ht="14.25" customHeight="1" x14ac:dyDescent="0.45">
      <c r="AH479" s="1"/>
      <c r="AT479" s="2"/>
    </row>
    <row r="480" spans="34:46" ht="14.25" customHeight="1" x14ac:dyDescent="0.45">
      <c r="AH480" s="1"/>
      <c r="AT480" s="2"/>
    </row>
    <row r="481" spans="34:46" ht="14.25" customHeight="1" x14ac:dyDescent="0.45">
      <c r="AH481" s="1"/>
      <c r="AT481" s="2"/>
    </row>
    <row r="482" spans="34:46" ht="14.25" customHeight="1" x14ac:dyDescent="0.45">
      <c r="AH482" s="1"/>
      <c r="AT482" s="2"/>
    </row>
    <row r="483" spans="34:46" ht="14.25" customHeight="1" x14ac:dyDescent="0.45">
      <c r="AH483" s="1"/>
      <c r="AT483" s="2"/>
    </row>
    <row r="484" spans="34:46" ht="14.25" customHeight="1" x14ac:dyDescent="0.45">
      <c r="AH484" s="1"/>
      <c r="AT484" s="2"/>
    </row>
    <row r="485" spans="34:46" ht="14.25" customHeight="1" x14ac:dyDescent="0.45">
      <c r="AH485" s="1"/>
      <c r="AT485" s="2"/>
    </row>
    <row r="486" spans="34:46" ht="14.25" customHeight="1" x14ac:dyDescent="0.45">
      <c r="AH486" s="1"/>
      <c r="AT486" s="2"/>
    </row>
    <row r="487" spans="34:46" ht="14.25" customHeight="1" x14ac:dyDescent="0.45">
      <c r="AH487" s="1"/>
      <c r="AT487" s="2"/>
    </row>
    <row r="488" spans="34:46" ht="14.25" customHeight="1" x14ac:dyDescent="0.45">
      <c r="AH488" s="1"/>
      <c r="AT488" s="2"/>
    </row>
    <row r="489" spans="34:46" ht="14.25" customHeight="1" x14ac:dyDescent="0.45">
      <c r="AH489" s="1"/>
      <c r="AT489" s="2"/>
    </row>
    <row r="490" spans="34:46" ht="14.25" customHeight="1" x14ac:dyDescent="0.45">
      <c r="AH490" s="1"/>
      <c r="AT490" s="2"/>
    </row>
    <row r="491" spans="34:46" ht="14.25" customHeight="1" x14ac:dyDescent="0.45">
      <c r="AH491" s="1"/>
      <c r="AT491" s="2"/>
    </row>
    <row r="492" spans="34:46" ht="14.25" customHeight="1" x14ac:dyDescent="0.45">
      <c r="AH492" s="1"/>
      <c r="AT492" s="2"/>
    </row>
    <row r="493" spans="34:46" ht="14.25" customHeight="1" x14ac:dyDescent="0.45">
      <c r="AH493" s="1"/>
      <c r="AT493" s="2"/>
    </row>
    <row r="494" spans="34:46" ht="14.25" customHeight="1" x14ac:dyDescent="0.45">
      <c r="AH494" s="1"/>
      <c r="AT494" s="2"/>
    </row>
    <row r="495" spans="34:46" ht="14.25" customHeight="1" x14ac:dyDescent="0.45">
      <c r="AH495" s="1"/>
      <c r="AT495" s="2"/>
    </row>
    <row r="496" spans="34:46" ht="14.25" customHeight="1" x14ac:dyDescent="0.45">
      <c r="AH496" s="1"/>
      <c r="AT496" s="2"/>
    </row>
    <row r="497" spans="34:46" ht="14.25" customHeight="1" x14ac:dyDescent="0.45">
      <c r="AH497" s="1"/>
      <c r="AT497" s="2"/>
    </row>
    <row r="498" spans="34:46" ht="14.25" customHeight="1" x14ac:dyDescent="0.45">
      <c r="AH498" s="1"/>
      <c r="AT498" s="2"/>
    </row>
    <row r="499" spans="34:46" ht="14.25" customHeight="1" x14ac:dyDescent="0.45">
      <c r="AH499" s="1"/>
      <c r="AT499" s="2"/>
    </row>
    <row r="500" spans="34:46" ht="14.25" customHeight="1" x14ac:dyDescent="0.45">
      <c r="AH500" s="1"/>
      <c r="AT500" s="2"/>
    </row>
    <row r="501" spans="34:46" ht="14.25" customHeight="1" x14ac:dyDescent="0.45">
      <c r="AH501" s="1"/>
      <c r="AT501" s="2"/>
    </row>
    <row r="502" spans="34:46" ht="14.25" customHeight="1" x14ac:dyDescent="0.45">
      <c r="AH502" s="1"/>
      <c r="AT502" s="2"/>
    </row>
    <row r="503" spans="34:46" ht="14.25" customHeight="1" x14ac:dyDescent="0.45">
      <c r="AH503" s="1"/>
      <c r="AT503" s="2"/>
    </row>
    <row r="504" spans="34:46" ht="14.25" customHeight="1" x14ac:dyDescent="0.45">
      <c r="AH504" s="1"/>
      <c r="AT504" s="2"/>
    </row>
    <row r="505" spans="34:46" ht="14.25" customHeight="1" x14ac:dyDescent="0.45">
      <c r="AH505" s="1"/>
      <c r="AT505" s="2"/>
    </row>
    <row r="506" spans="34:46" ht="14.25" customHeight="1" x14ac:dyDescent="0.45">
      <c r="AH506" s="1"/>
      <c r="AT506" s="2"/>
    </row>
    <row r="507" spans="34:46" ht="14.25" customHeight="1" x14ac:dyDescent="0.45">
      <c r="AH507" s="1"/>
      <c r="AT507" s="2"/>
    </row>
    <row r="508" spans="34:46" ht="14.25" customHeight="1" x14ac:dyDescent="0.45">
      <c r="AH508" s="1"/>
      <c r="AT508" s="2"/>
    </row>
    <row r="509" spans="34:46" ht="14.25" customHeight="1" x14ac:dyDescent="0.45">
      <c r="AH509" s="1"/>
      <c r="AT509" s="2"/>
    </row>
    <row r="510" spans="34:46" ht="14.25" customHeight="1" x14ac:dyDescent="0.45">
      <c r="AH510" s="1"/>
      <c r="AT510" s="2"/>
    </row>
    <row r="511" spans="34:46" ht="14.25" customHeight="1" x14ac:dyDescent="0.45">
      <c r="AH511" s="1"/>
      <c r="AT511" s="2"/>
    </row>
    <row r="512" spans="34:46" ht="14.25" customHeight="1" x14ac:dyDescent="0.45">
      <c r="AH512" s="1"/>
      <c r="AT512" s="2"/>
    </row>
    <row r="513" spans="34:46" ht="14.25" customHeight="1" x14ac:dyDescent="0.45">
      <c r="AH513" s="1"/>
      <c r="AT513" s="2"/>
    </row>
    <row r="514" spans="34:46" ht="14.25" customHeight="1" x14ac:dyDescent="0.45">
      <c r="AH514" s="1"/>
      <c r="AT514" s="2"/>
    </row>
    <row r="515" spans="34:46" ht="14.25" customHeight="1" x14ac:dyDescent="0.45">
      <c r="AH515" s="1"/>
      <c r="AT515" s="2"/>
    </row>
    <row r="516" spans="34:46" ht="14.25" customHeight="1" x14ac:dyDescent="0.45">
      <c r="AH516" s="1"/>
      <c r="AT516" s="2"/>
    </row>
    <row r="517" spans="34:46" ht="14.25" customHeight="1" x14ac:dyDescent="0.45">
      <c r="AH517" s="1"/>
      <c r="AT517" s="2"/>
    </row>
    <row r="518" spans="34:46" ht="14.25" customHeight="1" x14ac:dyDescent="0.45">
      <c r="AH518" s="1"/>
      <c r="AT518" s="2"/>
    </row>
    <row r="519" spans="34:46" ht="14.25" customHeight="1" x14ac:dyDescent="0.45">
      <c r="AH519" s="1"/>
      <c r="AT519" s="2"/>
    </row>
    <row r="520" spans="34:46" ht="14.25" customHeight="1" x14ac:dyDescent="0.45">
      <c r="AH520" s="1"/>
      <c r="AT520" s="2"/>
    </row>
    <row r="521" spans="34:46" ht="14.25" customHeight="1" x14ac:dyDescent="0.45">
      <c r="AH521" s="1"/>
      <c r="AT521" s="2"/>
    </row>
    <row r="522" spans="34:46" ht="14.25" customHeight="1" x14ac:dyDescent="0.45">
      <c r="AH522" s="1"/>
      <c r="AT522" s="2"/>
    </row>
    <row r="523" spans="34:46" ht="14.25" customHeight="1" x14ac:dyDescent="0.45">
      <c r="AH523" s="1"/>
      <c r="AT523" s="2"/>
    </row>
    <row r="524" spans="34:46" ht="14.25" customHeight="1" x14ac:dyDescent="0.45">
      <c r="AH524" s="1"/>
      <c r="AT524" s="2"/>
    </row>
    <row r="525" spans="34:46" ht="14.25" customHeight="1" x14ac:dyDescent="0.45">
      <c r="AH525" s="1"/>
      <c r="AT525" s="2"/>
    </row>
    <row r="526" spans="34:46" ht="14.25" customHeight="1" x14ac:dyDescent="0.45">
      <c r="AH526" s="1"/>
      <c r="AT526" s="2"/>
    </row>
    <row r="527" spans="34:46" ht="14.25" customHeight="1" x14ac:dyDescent="0.45">
      <c r="AH527" s="1"/>
      <c r="AT527" s="2"/>
    </row>
    <row r="528" spans="34:46" ht="14.25" customHeight="1" x14ac:dyDescent="0.45">
      <c r="AH528" s="1"/>
      <c r="AT528" s="2"/>
    </row>
    <row r="529" spans="34:46" ht="14.25" customHeight="1" x14ac:dyDescent="0.45">
      <c r="AH529" s="1"/>
      <c r="AT529" s="2"/>
    </row>
    <row r="530" spans="34:46" ht="14.25" customHeight="1" x14ac:dyDescent="0.45">
      <c r="AH530" s="1"/>
      <c r="AT530" s="2"/>
    </row>
    <row r="531" spans="34:46" ht="14.25" customHeight="1" x14ac:dyDescent="0.45">
      <c r="AH531" s="1"/>
      <c r="AT531" s="2"/>
    </row>
    <row r="532" spans="34:46" ht="14.25" customHeight="1" x14ac:dyDescent="0.45">
      <c r="AH532" s="1"/>
      <c r="AT532" s="2"/>
    </row>
    <row r="533" spans="34:46" ht="14.25" customHeight="1" x14ac:dyDescent="0.45">
      <c r="AH533" s="1"/>
      <c r="AT533" s="2"/>
    </row>
    <row r="534" spans="34:46" ht="14.25" customHeight="1" x14ac:dyDescent="0.45">
      <c r="AH534" s="1"/>
      <c r="AT534" s="2"/>
    </row>
    <row r="535" spans="34:46" ht="14.25" customHeight="1" x14ac:dyDescent="0.45">
      <c r="AH535" s="1"/>
      <c r="AT535" s="2"/>
    </row>
    <row r="536" spans="34:46" ht="14.25" customHeight="1" x14ac:dyDescent="0.45">
      <c r="AH536" s="1"/>
      <c r="AT536" s="2"/>
    </row>
    <row r="537" spans="34:46" ht="14.25" customHeight="1" x14ac:dyDescent="0.45">
      <c r="AH537" s="1"/>
      <c r="AT537" s="2"/>
    </row>
    <row r="538" spans="34:46" ht="14.25" customHeight="1" x14ac:dyDescent="0.45">
      <c r="AH538" s="1"/>
      <c r="AT538" s="2"/>
    </row>
    <row r="539" spans="34:46" ht="14.25" customHeight="1" x14ac:dyDescent="0.45">
      <c r="AH539" s="1"/>
      <c r="AT539" s="2"/>
    </row>
    <row r="540" spans="34:46" ht="14.25" customHeight="1" x14ac:dyDescent="0.45">
      <c r="AH540" s="1"/>
      <c r="AT540" s="2"/>
    </row>
    <row r="541" spans="34:46" ht="14.25" customHeight="1" x14ac:dyDescent="0.45">
      <c r="AH541" s="1"/>
      <c r="AT541" s="2"/>
    </row>
    <row r="542" spans="34:46" ht="14.25" customHeight="1" x14ac:dyDescent="0.45">
      <c r="AH542" s="1"/>
      <c r="AT542" s="2"/>
    </row>
    <row r="543" spans="34:46" ht="14.25" customHeight="1" x14ac:dyDescent="0.45">
      <c r="AH543" s="1"/>
      <c r="AT543" s="2"/>
    </row>
    <row r="544" spans="34:46" ht="14.25" customHeight="1" x14ac:dyDescent="0.45">
      <c r="AH544" s="1"/>
      <c r="AT544" s="2"/>
    </row>
    <row r="545" spans="34:46" ht="14.25" customHeight="1" x14ac:dyDescent="0.45">
      <c r="AH545" s="1"/>
      <c r="AT545" s="2"/>
    </row>
    <row r="546" spans="34:46" ht="14.25" customHeight="1" x14ac:dyDescent="0.45">
      <c r="AH546" s="1"/>
      <c r="AT546" s="2"/>
    </row>
    <row r="547" spans="34:46" ht="14.25" customHeight="1" x14ac:dyDescent="0.45">
      <c r="AH547" s="1"/>
      <c r="AT547" s="2"/>
    </row>
    <row r="548" spans="34:46" ht="14.25" customHeight="1" x14ac:dyDescent="0.45">
      <c r="AH548" s="1"/>
      <c r="AT548" s="2"/>
    </row>
    <row r="549" spans="34:46" ht="14.25" customHeight="1" x14ac:dyDescent="0.45">
      <c r="AH549" s="1"/>
      <c r="AT549" s="2"/>
    </row>
    <row r="550" spans="34:46" ht="14.25" customHeight="1" x14ac:dyDescent="0.45">
      <c r="AH550" s="1"/>
      <c r="AT550" s="2"/>
    </row>
    <row r="551" spans="34:46" ht="14.25" customHeight="1" x14ac:dyDescent="0.45">
      <c r="AH551" s="1"/>
      <c r="AT551" s="2"/>
    </row>
    <row r="552" spans="34:46" ht="14.25" customHeight="1" x14ac:dyDescent="0.45">
      <c r="AH552" s="1"/>
      <c r="AT552" s="2"/>
    </row>
    <row r="553" spans="34:46" ht="14.25" customHeight="1" x14ac:dyDescent="0.45">
      <c r="AH553" s="1"/>
      <c r="AT553" s="2"/>
    </row>
    <row r="554" spans="34:46" ht="14.25" customHeight="1" x14ac:dyDescent="0.45">
      <c r="AH554" s="1"/>
      <c r="AT554" s="2"/>
    </row>
    <row r="555" spans="34:46" ht="14.25" customHeight="1" x14ac:dyDescent="0.45">
      <c r="AH555" s="1"/>
      <c r="AT555" s="2"/>
    </row>
    <row r="556" spans="34:46" ht="14.25" customHeight="1" x14ac:dyDescent="0.45">
      <c r="AH556" s="1"/>
      <c r="AT556" s="2"/>
    </row>
    <row r="557" spans="34:46" ht="14.25" customHeight="1" x14ac:dyDescent="0.45">
      <c r="AH557" s="1"/>
      <c r="AT557" s="2"/>
    </row>
    <row r="558" spans="34:46" ht="14.25" customHeight="1" x14ac:dyDescent="0.45">
      <c r="AH558" s="1"/>
      <c r="AT558" s="2"/>
    </row>
    <row r="559" spans="34:46" ht="14.25" customHeight="1" x14ac:dyDescent="0.45">
      <c r="AH559" s="1"/>
      <c r="AT559" s="2"/>
    </row>
    <row r="560" spans="34:46" ht="14.25" customHeight="1" x14ac:dyDescent="0.45">
      <c r="AH560" s="1"/>
      <c r="AT560" s="2"/>
    </row>
    <row r="561" spans="34:46" ht="14.25" customHeight="1" x14ac:dyDescent="0.45">
      <c r="AH561" s="1"/>
      <c r="AT561" s="2"/>
    </row>
    <row r="562" spans="34:46" ht="14.25" customHeight="1" x14ac:dyDescent="0.45">
      <c r="AH562" s="1"/>
      <c r="AT562" s="2"/>
    </row>
    <row r="563" spans="34:46" ht="14.25" customHeight="1" x14ac:dyDescent="0.45">
      <c r="AH563" s="1"/>
      <c r="AT563" s="2"/>
    </row>
    <row r="564" spans="34:46" ht="14.25" customHeight="1" x14ac:dyDescent="0.45">
      <c r="AH564" s="1"/>
      <c r="AT564" s="2"/>
    </row>
    <row r="565" spans="34:46" ht="14.25" customHeight="1" x14ac:dyDescent="0.45">
      <c r="AH565" s="1"/>
      <c r="AT565" s="2"/>
    </row>
    <row r="566" spans="34:46" ht="14.25" customHeight="1" x14ac:dyDescent="0.45">
      <c r="AH566" s="1"/>
      <c r="AT566" s="2"/>
    </row>
    <row r="567" spans="34:46" ht="14.25" customHeight="1" x14ac:dyDescent="0.45">
      <c r="AH567" s="1"/>
      <c r="AT567" s="2"/>
    </row>
    <row r="568" spans="34:46" ht="14.25" customHeight="1" x14ac:dyDescent="0.45">
      <c r="AH568" s="1"/>
      <c r="AT568" s="2"/>
    </row>
    <row r="569" spans="34:46" ht="14.25" customHeight="1" x14ac:dyDescent="0.45">
      <c r="AH569" s="1"/>
      <c r="AT569" s="2"/>
    </row>
    <row r="570" spans="34:46" ht="14.25" customHeight="1" x14ac:dyDescent="0.45">
      <c r="AH570" s="1"/>
      <c r="AT570" s="2"/>
    </row>
    <row r="571" spans="34:46" ht="14.25" customHeight="1" x14ac:dyDescent="0.45">
      <c r="AH571" s="1"/>
      <c r="AT571" s="2"/>
    </row>
    <row r="572" spans="34:46" ht="14.25" customHeight="1" x14ac:dyDescent="0.45">
      <c r="AH572" s="1"/>
      <c r="AT572" s="2"/>
    </row>
    <row r="573" spans="34:46" ht="14.25" customHeight="1" x14ac:dyDescent="0.45">
      <c r="AH573" s="1"/>
      <c r="AT573" s="2"/>
    </row>
    <row r="574" spans="34:46" ht="14.25" customHeight="1" x14ac:dyDescent="0.45">
      <c r="AH574" s="1"/>
      <c r="AT574" s="2"/>
    </row>
    <row r="575" spans="34:46" ht="14.25" customHeight="1" x14ac:dyDescent="0.45">
      <c r="AH575" s="1"/>
      <c r="AT575" s="2"/>
    </row>
    <row r="576" spans="34:46" ht="14.25" customHeight="1" x14ac:dyDescent="0.45">
      <c r="AH576" s="1"/>
      <c r="AT576" s="2"/>
    </row>
    <row r="577" spans="34:46" ht="14.25" customHeight="1" x14ac:dyDescent="0.45">
      <c r="AH577" s="1"/>
      <c r="AT577" s="2"/>
    </row>
    <row r="578" spans="34:46" ht="14.25" customHeight="1" x14ac:dyDescent="0.45">
      <c r="AH578" s="1"/>
      <c r="AT578" s="2"/>
    </row>
    <row r="579" spans="34:46" ht="14.25" customHeight="1" x14ac:dyDescent="0.45">
      <c r="AH579" s="1"/>
      <c r="AT579" s="2"/>
    </row>
    <row r="580" spans="34:46" ht="14.25" customHeight="1" x14ac:dyDescent="0.45">
      <c r="AH580" s="1"/>
      <c r="AT580" s="2"/>
    </row>
    <row r="581" spans="34:46" ht="14.25" customHeight="1" x14ac:dyDescent="0.45">
      <c r="AH581" s="1"/>
      <c r="AT581" s="2"/>
    </row>
    <row r="582" spans="34:46" ht="14.25" customHeight="1" x14ac:dyDescent="0.45">
      <c r="AH582" s="1"/>
      <c r="AT582" s="2"/>
    </row>
    <row r="583" spans="34:46" ht="14.25" customHeight="1" x14ac:dyDescent="0.45">
      <c r="AH583" s="1"/>
      <c r="AT583" s="2"/>
    </row>
    <row r="584" spans="34:46" ht="14.25" customHeight="1" x14ac:dyDescent="0.45">
      <c r="AH584" s="1"/>
      <c r="AT584" s="2"/>
    </row>
    <row r="585" spans="34:46" ht="14.25" customHeight="1" x14ac:dyDescent="0.45">
      <c r="AH585" s="1"/>
      <c r="AT585" s="2"/>
    </row>
    <row r="586" spans="34:46" ht="14.25" customHeight="1" x14ac:dyDescent="0.45">
      <c r="AH586" s="1"/>
      <c r="AT586" s="2"/>
    </row>
    <row r="587" spans="34:46" ht="14.25" customHeight="1" x14ac:dyDescent="0.45">
      <c r="AH587" s="1"/>
      <c r="AT587" s="2"/>
    </row>
    <row r="588" spans="34:46" ht="14.25" customHeight="1" x14ac:dyDescent="0.45">
      <c r="AH588" s="1"/>
      <c r="AT588" s="2"/>
    </row>
    <row r="589" spans="34:46" ht="14.25" customHeight="1" x14ac:dyDescent="0.45">
      <c r="AH589" s="1"/>
      <c r="AT589" s="2"/>
    </row>
    <row r="590" spans="34:46" ht="14.25" customHeight="1" x14ac:dyDescent="0.45">
      <c r="AH590" s="1"/>
      <c r="AT590" s="2"/>
    </row>
    <row r="591" spans="34:46" ht="14.25" customHeight="1" x14ac:dyDescent="0.45">
      <c r="AH591" s="1"/>
      <c r="AT591" s="2"/>
    </row>
    <row r="592" spans="34:46" ht="14.25" customHeight="1" x14ac:dyDescent="0.45">
      <c r="AH592" s="1"/>
      <c r="AT592" s="2"/>
    </row>
    <row r="593" spans="34:46" ht="14.25" customHeight="1" x14ac:dyDescent="0.45">
      <c r="AH593" s="1"/>
      <c r="AT593" s="2"/>
    </row>
    <row r="594" spans="34:46" ht="14.25" customHeight="1" x14ac:dyDescent="0.45">
      <c r="AH594" s="1"/>
      <c r="AT594" s="2"/>
    </row>
    <row r="595" spans="34:46" ht="14.25" customHeight="1" x14ac:dyDescent="0.45">
      <c r="AH595" s="1"/>
      <c r="AT595" s="2"/>
    </row>
    <row r="596" spans="34:46" ht="14.25" customHeight="1" x14ac:dyDescent="0.45">
      <c r="AH596" s="1"/>
      <c r="AT596" s="2"/>
    </row>
    <row r="597" spans="34:46" ht="14.25" customHeight="1" x14ac:dyDescent="0.45">
      <c r="AH597" s="1"/>
      <c r="AT597" s="2"/>
    </row>
    <row r="598" spans="34:46" ht="14.25" customHeight="1" x14ac:dyDescent="0.45">
      <c r="AH598" s="1"/>
      <c r="AT598" s="2"/>
    </row>
    <row r="599" spans="34:46" ht="14.25" customHeight="1" x14ac:dyDescent="0.45">
      <c r="AH599" s="1"/>
      <c r="AT599" s="2"/>
    </row>
    <row r="600" spans="34:46" ht="14.25" customHeight="1" x14ac:dyDescent="0.45">
      <c r="AH600" s="1"/>
      <c r="AT600" s="2"/>
    </row>
    <row r="601" spans="34:46" ht="14.25" customHeight="1" x14ac:dyDescent="0.45">
      <c r="AH601" s="1"/>
      <c r="AT601" s="2"/>
    </row>
    <row r="602" spans="34:46" ht="14.25" customHeight="1" x14ac:dyDescent="0.45">
      <c r="AH602" s="1"/>
      <c r="AT602" s="2"/>
    </row>
    <row r="603" spans="34:46" ht="14.25" customHeight="1" x14ac:dyDescent="0.45">
      <c r="AH603" s="1"/>
      <c r="AT603" s="2"/>
    </row>
    <row r="604" spans="34:46" ht="14.25" customHeight="1" x14ac:dyDescent="0.45">
      <c r="AH604" s="1"/>
      <c r="AT604" s="2"/>
    </row>
    <row r="605" spans="34:46" ht="14.25" customHeight="1" x14ac:dyDescent="0.45">
      <c r="AH605" s="1"/>
      <c r="AT605" s="2"/>
    </row>
    <row r="606" spans="34:46" ht="14.25" customHeight="1" x14ac:dyDescent="0.45">
      <c r="AH606" s="1"/>
      <c r="AT606" s="2"/>
    </row>
    <row r="607" spans="34:46" ht="14.25" customHeight="1" x14ac:dyDescent="0.45">
      <c r="AH607" s="1"/>
      <c r="AT607" s="2"/>
    </row>
    <row r="608" spans="34:46" ht="14.25" customHeight="1" x14ac:dyDescent="0.45">
      <c r="AH608" s="1"/>
      <c r="AT608" s="2"/>
    </row>
    <row r="609" spans="34:46" ht="14.25" customHeight="1" x14ac:dyDescent="0.45">
      <c r="AH609" s="1"/>
      <c r="AT609" s="2"/>
    </row>
    <row r="610" spans="34:46" ht="14.25" customHeight="1" x14ac:dyDescent="0.45">
      <c r="AH610" s="1"/>
      <c r="AT610" s="2"/>
    </row>
    <row r="611" spans="34:46" ht="14.25" customHeight="1" x14ac:dyDescent="0.45">
      <c r="AH611" s="1"/>
      <c r="AT611" s="2"/>
    </row>
    <row r="612" spans="34:46" ht="14.25" customHeight="1" x14ac:dyDescent="0.45">
      <c r="AH612" s="1"/>
      <c r="AT612" s="2"/>
    </row>
    <row r="613" spans="34:46" ht="14.25" customHeight="1" x14ac:dyDescent="0.45">
      <c r="AH613" s="1"/>
      <c r="AT613" s="2"/>
    </row>
    <row r="614" spans="34:46" ht="14.25" customHeight="1" x14ac:dyDescent="0.45">
      <c r="AH614" s="1"/>
      <c r="AT614" s="2"/>
    </row>
    <row r="615" spans="34:46" ht="14.25" customHeight="1" x14ac:dyDescent="0.45">
      <c r="AH615" s="1"/>
      <c r="AT615" s="2"/>
    </row>
    <row r="616" spans="34:46" ht="14.25" customHeight="1" x14ac:dyDescent="0.45">
      <c r="AH616" s="1"/>
      <c r="AT616" s="2"/>
    </row>
    <row r="617" spans="34:46" ht="14.25" customHeight="1" x14ac:dyDescent="0.45">
      <c r="AH617" s="1"/>
      <c r="AT617" s="2"/>
    </row>
    <row r="618" spans="34:46" ht="14.25" customHeight="1" x14ac:dyDescent="0.45">
      <c r="AH618" s="1"/>
      <c r="AT618" s="2"/>
    </row>
    <row r="619" spans="34:46" ht="14.25" customHeight="1" x14ac:dyDescent="0.45">
      <c r="AH619" s="1"/>
      <c r="AT619" s="2"/>
    </row>
    <row r="620" spans="34:46" ht="14.25" customHeight="1" x14ac:dyDescent="0.45">
      <c r="AH620" s="1"/>
      <c r="AT620" s="2"/>
    </row>
    <row r="621" spans="34:46" ht="14.25" customHeight="1" x14ac:dyDescent="0.45">
      <c r="AH621" s="1"/>
      <c r="AT621" s="2"/>
    </row>
    <row r="622" spans="34:46" ht="14.25" customHeight="1" x14ac:dyDescent="0.45">
      <c r="AH622" s="1"/>
      <c r="AT622" s="2"/>
    </row>
    <row r="623" spans="34:46" ht="14.25" customHeight="1" x14ac:dyDescent="0.45">
      <c r="AH623" s="1"/>
      <c r="AT623" s="2"/>
    </row>
    <row r="624" spans="34:46" ht="14.25" customHeight="1" x14ac:dyDescent="0.45">
      <c r="AH624" s="1"/>
      <c r="AT624" s="2"/>
    </row>
    <row r="625" spans="34:46" ht="14.25" customHeight="1" x14ac:dyDescent="0.45">
      <c r="AH625" s="1"/>
      <c r="AT625" s="2"/>
    </row>
    <row r="626" spans="34:46" ht="14.25" customHeight="1" x14ac:dyDescent="0.45">
      <c r="AH626" s="1"/>
      <c r="AT626" s="2"/>
    </row>
    <row r="627" spans="34:46" ht="14.25" customHeight="1" x14ac:dyDescent="0.45">
      <c r="AH627" s="1"/>
      <c r="AT627" s="2"/>
    </row>
    <row r="628" spans="34:46" ht="14.25" customHeight="1" x14ac:dyDescent="0.45">
      <c r="AH628" s="1"/>
      <c r="AT628" s="2"/>
    </row>
    <row r="629" spans="34:46" ht="14.25" customHeight="1" x14ac:dyDescent="0.45">
      <c r="AH629" s="1"/>
      <c r="AT629" s="2"/>
    </row>
    <row r="630" spans="34:46" ht="14.25" customHeight="1" x14ac:dyDescent="0.45">
      <c r="AH630" s="1"/>
      <c r="AT630" s="2"/>
    </row>
    <row r="631" spans="34:46" ht="14.25" customHeight="1" x14ac:dyDescent="0.45">
      <c r="AH631" s="1"/>
      <c r="AT631" s="2"/>
    </row>
    <row r="632" spans="34:46" ht="14.25" customHeight="1" x14ac:dyDescent="0.45">
      <c r="AH632" s="1"/>
      <c r="AT632" s="2"/>
    </row>
    <row r="633" spans="34:46" ht="14.25" customHeight="1" x14ac:dyDescent="0.45">
      <c r="AH633" s="1"/>
      <c r="AT633" s="2"/>
    </row>
    <row r="634" spans="34:46" ht="14.25" customHeight="1" x14ac:dyDescent="0.45">
      <c r="AH634" s="1"/>
      <c r="AT634" s="2"/>
    </row>
    <row r="635" spans="34:46" ht="14.25" customHeight="1" x14ac:dyDescent="0.45">
      <c r="AH635" s="1"/>
      <c r="AT635" s="2"/>
    </row>
    <row r="636" spans="34:46" ht="14.25" customHeight="1" x14ac:dyDescent="0.45">
      <c r="AH636" s="1"/>
      <c r="AT636" s="2"/>
    </row>
    <row r="637" spans="34:46" ht="14.25" customHeight="1" x14ac:dyDescent="0.45">
      <c r="AH637" s="1"/>
      <c r="AT637" s="2"/>
    </row>
    <row r="638" spans="34:46" ht="14.25" customHeight="1" x14ac:dyDescent="0.45">
      <c r="AH638" s="1"/>
      <c r="AT638" s="2"/>
    </row>
    <row r="639" spans="34:46" ht="14.25" customHeight="1" x14ac:dyDescent="0.45">
      <c r="AH639" s="1"/>
      <c r="AT639" s="2"/>
    </row>
    <row r="640" spans="34:46" ht="14.25" customHeight="1" x14ac:dyDescent="0.45">
      <c r="AH640" s="1"/>
      <c r="AT640" s="2"/>
    </row>
    <row r="641" spans="34:46" ht="14.25" customHeight="1" x14ac:dyDescent="0.45">
      <c r="AH641" s="1"/>
      <c r="AT641" s="2"/>
    </row>
    <row r="642" spans="34:46" ht="14.25" customHeight="1" x14ac:dyDescent="0.45">
      <c r="AH642" s="1"/>
      <c r="AT642" s="2"/>
    </row>
    <row r="643" spans="34:46" ht="14.25" customHeight="1" x14ac:dyDescent="0.45">
      <c r="AH643" s="1"/>
      <c r="AT643" s="2"/>
    </row>
    <row r="644" spans="34:46" ht="14.25" customHeight="1" x14ac:dyDescent="0.45">
      <c r="AH644" s="1"/>
      <c r="AT644" s="2"/>
    </row>
    <row r="645" spans="34:46" ht="14.25" customHeight="1" x14ac:dyDescent="0.45">
      <c r="AH645" s="1"/>
      <c r="AT645" s="2"/>
    </row>
    <row r="646" spans="34:46" ht="14.25" customHeight="1" x14ac:dyDescent="0.45">
      <c r="AH646" s="1"/>
      <c r="AT646" s="2"/>
    </row>
    <row r="647" spans="34:46" ht="14.25" customHeight="1" x14ac:dyDescent="0.45">
      <c r="AH647" s="1"/>
      <c r="AT647" s="2"/>
    </row>
    <row r="648" spans="34:46" ht="14.25" customHeight="1" x14ac:dyDescent="0.45">
      <c r="AH648" s="1"/>
      <c r="AT648" s="2"/>
    </row>
    <row r="649" spans="34:46" ht="14.25" customHeight="1" x14ac:dyDescent="0.45">
      <c r="AH649" s="1"/>
      <c r="AT649" s="2"/>
    </row>
    <row r="650" spans="34:46" ht="14.25" customHeight="1" x14ac:dyDescent="0.45">
      <c r="AH650" s="1"/>
      <c r="AT650" s="2"/>
    </row>
    <row r="651" spans="34:46" ht="14.25" customHeight="1" x14ac:dyDescent="0.45">
      <c r="AH651" s="1"/>
      <c r="AT651" s="2"/>
    </row>
    <row r="652" spans="34:46" ht="14.25" customHeight="1" x14ac:dyDescent="0.45">
      <c r="AH652" s="1"/>
      <c r="AT652" s="2"/>
    </row>
    <row r="653" spans="34:46" ht="14.25" customHeight="1" x14ac:dyDescent="0.45">
      <c r="AH653" s="1"/>
      <c r="AT653" s="2"/>
    </row>
    <row r="654" spans="34:46" ht="14.25" customHeight="1" x14ac:dyDescent="0.45">
      <c r="AH654" s="1"/>
      <c r="AT654" s="2"/>
    </row>
    <row r="655" spans="34:46" ht="14.25" customHeight="1" x14ac:dyDescent="0.45">
      <c r="AH655" s="1"/>
      <c r="AT655" s="2"/>
    </row>
    <row r="656" spans="34:46" ht="14.25" customHeight="1" x14ac:dyDescent="0.45">
      <c r="AH656" s="1"/>
      <c r="AT656" s="2"/>
    </row>
    <row r="657" spans="34:46" ht="14.25" customHeight="1" x14ac:dyDescent="0.45">
      <c r="AH657" s="1"/>
      <c r="AT657" s="2"/>
    </row>
    <row r="658" spans="34:46" ht="14.25" customHeight="1" x14ac:dyDescent="0.45">
      <c r="AH658" s="1"/>
      <c r="AT658" s="2"/>
    </row>
    <row r="659" spans="34:46" ht="14.25" customHeight="1" x14ac:dyDescent="0.45">
      <c r="AH659" s="1"/>
      <c r="AT659" s="2"/>
    </row>
    <row r="660" spans="34:46" ht="14.25" customHeight="1" x14ac:dyDescent="0.45">
      <c r="AH660" s="1"/>
      <c r="AT660" s="2"/>
    </row>
    <row r="661" spans="34:46" ht="14.25" customHeight="1" x14ac:dyDescent="0.45">
      <c r="AH661" s="1"/>
      <c r="AT661" s="2"/>
    </row>
    <row r="662" spans="34:46" ht="14.25" customHeight="1" x14ac:dyDescent="0.45">
      <c r="AH662" s="1"/>
      <c r="AT662" s="2"/>
    </row>
    <row r="663" spans="34:46" ht="14.25" customHeight="1" x14ac:dyDescent="0.45">
      <c r="AH663" s="1"/>
      <c r="AT663" s="2"/>
    </row>
    <row r="664" spans="34:46" ht="14.25" customHeight="1" x14ac:dyDescent="0.45">
      <c r="AH664" s="1"/>
      <c r="AT664" s="2"/>
    </row>
    <row r="665" spans="34:46" ht="14.25" customHeight="1" x14ac:dyDescent="0.45">
      <c r="AH665" s="1"/>
      <c r="AT665" s="2"/>
    </row>
    <row r="666" spans="34:46" ht="14.25" customHeight="1" x14ac:dyDescent="0.45">
      <c r="AH666" s="1"/>
      <c r="AT666" s="2"/>
    </row>
    <row r="667" spans="34:46" ht="14.25" customHeight="1" x14ac:dyDescent="0.45">
      <c r="AH667" s="1"/>
      <c r="AT667" s="2"/>
    </row>
    <row r="668" spans="34:46" ht="14.25" customHeight="1" x14ac:dyDescent="0.45">
      <c r="AH668" s="1"/>
      <c r="AT668" s="2"/>
    </row>
    <row r="669" spans="34:46" ht="14.25" customHeight="1" x14ac:dyDescent="0.45">
      <c r="AH669" s="1"/>
      <c r="AT669" s="2"/>
    </row>
    <row r="670" spans="34:46" ht="14.25" customHeight="1" x14ac:dyDescent="0.45">
      <c r="AH670" s="1"/>
      <c r="AT670" s="2"/>
    </row>
    <row r="671" spans="34:46" ht="14.25" customHeight="1" x14ac:dyDescent="0.45">
      <c r="AH671" s="1"/>
      <c r="AT671" s="2"/>
    </row>
    <row r="672" spans="34:46" ht="14.25" customHeight="1" x14ac:dyDescent="0.45">
      <c r="AH672" s="1"/>
      <c r="AT672" s="2"/>
    </row>
    <row r="673" spans="34:46" ht="14.25" customHeight="1" x14ac:dyDescent="0.45">
      <c r="AH673" s="1"/>
      <c r="AT673" s="2"/>
    </row>
    <row r="674" spans="34:46" ht="14.25" customHeight="1" x14ac:dyDescent="0.45">
      <c r="AH674" s="1"/>
      <c r="AT674" s="2"/>
    </row>
    <row r="675" spans="34:46" ht="14.25" customHeight="1" x14ac:dyDescent="0.45">
      <c r="AH675" s="1"/>
      <c r="AT675" s="2"/>
    </row>
    <row r="676" spans="34:46" ht="14.25" customHeight="1" x14ac:dyDescent="0.45">
      <c r="AH676" s="1"/>
      <c r="AT676" s="2"/>
    </row>
    <row r="677" spans="34:46" ht="14.25" customHeight="1" x14ac:dyDescent="0.45">
      <c r="AH677" s="1"/>
      <c r="AT677" s="2"/>
    </row>
    <row r="678" spans="34:46" ht="14.25" customHeight="1" x14ac:dyDescent="0.45">
      <c r="AH678" s="1"/>
      <c r="AT678" s="2"/>
    </row>
    <row r="679" spans="34:46" ht="14.25" customHeight="1" x14ac:dyDescent="0.45">
      <c r="AH679" s="1"/>
      <c r="AT679" s="2"/>
    </row>
    <row r="680" spans="34:46" ht="14.25" customHeight="1" x14ac:dyDescent="0.45">
      <c r="AH680" s="1"/>
      <c r="AT680" s="2"/>
    </row>
    <row r="681" spans="34:46" ht="14.25" customHeight="1" x14ac:dyDescent="0.45">
      <c r="AH681" s="1"/>
      <c r="AT681" s="2"/>
    </row>
    <row r="682" spans="34:46" ht="14.25" customHeight="1" x14ac:dyDescent="0.45">
      <c r="AH682" s="1"/>
      <c r="AT682" s="2"/>
    </row>
    <row r="683" spans="34:46" ht="14.25" customHeight="1" x14ac:dyDescent="0.45">
      <c r="AH683" s="1"/>
      <c r="AT683" s="2"/>
    </row>
    <row r="684" spans="34:46" ht="14.25" customHeight="1" x14ac:dyDescent="0.45">
      <c r="AH684" s="1"/>
      <c r="AT684" s="2"/>
    </row>
    <row r="685" spans="34:46" ht="14.25" customHeight="1" x14ac:dyDescent="0.45">
      <c r="AH685" s="1"/>
      <c r="AT685" s="2"/>
    </row>
    <row r="686" spans="34:46" ht="14.25" customHeight="1" x14ac:dyDescent="0.45">
      <c r="AH686" s="1"/>
      <c r="AT686" s="2"/>
    </row>
    <row r="687" spans="34:46" ht="14.25" customHeight="1" x14ac:dyDescent="0.45">
      <c r="AH687" s="1"/>
      <c r="AT687" s="2"/>
    </row>
    <row r="688" spans="34:46" ht="14.25" customHeight="1" x14ac:dyDescent="0.45">
      <c r="AH688" s="1"/>
      <c r="AT688" s="2"/>
    </row>
    <row r="689" spans="34:46" ht="14.25" customHeight="1" x14ac:dyDescent="0.45">
      <c r="AH689" s="1"/>
      <c r="AT689" s="2"/>
    </row>
    <row r="690" spans="34:46" ht="14.25" customHeight="1" x14ac:dyDescent="0.45">
      <c r="AH690" s="1"/>
      <c r="AT690" s="2"/>
    </row>
    <row r="691" spans="34:46" ht="14.25" customHeight="1" x14ac:dyDescent="0.45">
      <c r="AH691" s="1"/>
      <c r="AT691" s="2"/>
    </row>
    <row r="692" spans="34:46" ht="14.25" customHeight="1" x14ac:dyDescent="0.45">
      <c r="AH692" s="1"/>
      <c r="AT692" s="2"/>
    </row>
    <row r="693" spans="34:46" ht="14.25" customHeight="1" x14ac:dyDescent="0.45">
      <c r="AH693" s="1"/>
      <c r="AT693" s="2"/>
    </row>
    <row r="694" spans="34:46" ht="14.25" customHeight="1" x14ac:dyDescent="0.45">
      <c r="AH694" s="1"/>
      <c r="AT694" s="2"/>
    </row>
    <row r="695" spans="34:46" ht="14.25" customHeight="1" x14ac:dyDescent="0.45">
      <c r="AH695" s="1"/>
      <c r="AT695" s="2"/>
    </row>
    <row r="696" spans="34:46" ht="14.25" customHeight="1" x14ac:dyDescent="0.45">
      <c r="AH696" s="1"/>
      <c r="AT696" s="2"/>
    </row>
    <row r="697" spans="34:46" ht="14.25" customHeight="1" x14ac:dyDescent="0.45">
      <c r="AH697" s="1"/>
      <c r="AT697" s="2"/>
    </row>
    <row r="698" spans="34:46" ht="14.25" customHeight="1" x14ac:dyDescent="0.45">
      <c r="AH698" s="1"/>
      <c r="AT698" s="2"/>
    </row>
    <row r="699" spans="34:46" ht="14.25" customHeight="1" x14ac:dyDescent="0.45">
      <c r="AH699" s="1"/>
      <c r="AT699" s="2"/>
    </row>
    <row r="700" spans="34:46" ht="14.25" customHeight="1" x14ac:dyDescent="0.45">
      <c r="AH700" s="1"/>
      <c r="AT700" s="2"/>
    </row>
    <row r="701" spans="34:46" ht="14.25" customHeight="1" x14ac:dyDescent="0.45">
      <c r="AH701" s="1"/>
      <c r="AT701" s="2"/>
    </row>
    <row r="702" spans="34:46" ht="14.25" customHeight="1" x14ac:dyDescent="0.45">
      <c r="AH702" s="1"/>
      <c r="AT702" s="2"/>
    </row>
    <row r="703" spans="34:46" ht="14.25" customHeight="1" x14ac:dyDescent="0.45">
      <c r="AH703" s="1"/>
      <c r="AT703" s="2"/>
    </row>
    <row r="704" spans="34:46" ht="14.25" customHeight="1" x14ac:dyDescent="0.45">
      <c r="AH704" s="1"/>
      <c r="AT704" s="2"/>
    </row>
    <row r="705" spans="34:46" ht="14.25" customHeight="1" x14ac:dyDescent="0.45">
      <c r="AH705" s="1"/>
      <c r="AT705" s="2"/>
    </row>
    <row r="706" spans="34:46" ht="14.25" customHeight="1" x14ac:dyDescent="0.45">
      <c r="AH706" s="1"/>
      <c r="AT706" s="2"/>
    </row>
    <row r="707" spans="34:46" ht="14.25" customHeight="1" x14ac:dyDescent="0.45">
      <c r="AH707" s="1"/>
      <c r="AT707" s="2"/>
    </row>
    <row r="708" spans="34:46" ht="14.25" customHeight="1" x14ac:dyDescent="0.45">
      <c r="AH708" s="1"/>
      <c r="AT708" s="2"/>
    </row>
    <row r="709" spans="34:46" ht="14.25" customHeight="1" x14ac:dyDescent="0.45">
      <c r="AH709" s="1"/>
      <c r="AT709" s="2"/>
    </row>
    <row r="710" spans="34:46" ht="14.25" customHeight="1" x14ac:dyDescent="0.45">
      <c r="AH710" s="1"/>
      <c r="AT710" s="2"/>
    </row>
    <row r="711" spans="34:46" ht="14.25" customHeight="1" x14ac:dyDescent="0.45">
      <c r="AH711" s="1"/>
      <c r="AT711" s="2"/>
    </row>
    <row r="712" spans="34:46" ht="14.25" customHeight="1" x14ac:dyDescent="0.45">
      <c r="AH712" s="1"/>
      <c r="AT712" s="2"/>
    </row>
    <row r="713" spans="34:46" ht="14.25" customHeight="1" x14ac:dyDescent="0.45">
      <c r="AH713" s="1"/>
      <c r="AT713" s="2"/>
    </row>
    <row r="714" spans="34:46" ht="14.25" customHeight="1" x14ac:dyDescent="0.45">
      <c r="AH714" s="1"/>
      <c r="AT714" s="2"/>
    </row>
    <row r="715" spans="34:46" ht="14.25" customHeight="1" x14ac:dyDescent="0.45">
      <c r="AH715" s="1"/>
      <c r="AT715" s="2"/>
    </row>
    <row r="716" spans="34:46" ht="14.25" customHeight="1" x14ac:dyDescent="0.45">
      <c r="AH716" s="1"/>
      <c r="AT716" s="2"/>
    </row>
    <row r="717" spans="34:46" ht="14.25" customHeight="1" x14ac:dyDescent="0.45">
      <c r="AH717" s="1"/>
      <c r="AT717" s="2"/>
    </row>
    <row r="718" spans="34:46" ht="14.25" customHeight="1" x14ac:dyDescent="0.45">
      <c r="AH718" s="1"/>
      <c r="AT718" s="2"/>
    </row>
    <row r="719" spans="34:46" ht="14.25" customHeight="1" x14ac:dyDescent="0.45">
      <c r="AH719" s="1"/>
      <c r="AT719" s="2"/>
    </row>
    <row r="720" spans="34:46" ht="14.25" customHeight="1" x14ac:dyDescent="0.45">
      <c r="AH720" s="1"/>
      <c r="AT720" s="2"/>
    </row>
    <row r="721" spans="34:46" ht="14.25" customHeight="1" x14ac:dyDescent="0.45">
      <c r="AH721" s="1"/>
      <c r="AT721" s="2"/>
    </row>
    <row r="722" spans="34:46" ht="14.25" customHeight="1" x14ac:dyDescent="0.45">
      <c r="AH722" s="1"/>
      <c r="AT722" s="2"/>
    </row>
    <row r="723" spans="34:46" ht="14.25" customHeight="1" x14ac:dyDescent="0.45">
      <c r="AH723" s="1"/>
      <c r="AT723" s="2"/>
    </row>
    <row r="724" spans="34:46" ht="14.25" customHeight="1" x14ac:dyDescent="0.45">
      <c r="AH724" s="1"/>
      <c r="AT724" s="2"/>
    </row>
    <row r="725" spans="34:46" ht="14.25" customHeight="1" x14ac:dyDescent="0.45">
      <c r="AH725" s="1"/>
      <c r="AT725" s="2"/>
    </row>
    <row r="726" spans="34:46" ht="14.25" customHeight="1" x14ac:dyDescent="0.45">
      <c r="AH726" s="1"/>
      <c r="AT726" s="2"/>
    </row>
    <row r="727" spans="34:46" ht="14.25" customHeight="1" x14ac:dyDescent="0.45">
      <c r="AH727" s="1"/>
      <c r="AT727" s="2"/>
    </row>
    <row r="728" spans="34:46" ht="14.25" customHeight="1" x14ac:dyDescent="0.45">
      <c r="AH728" s="1"/>
      <c r="AT728" s="2"/>
    </row>
    <row r="729" spans="34:46" ht="14.25" customHeight="1" x14ac:dyDescent="0.45">
      <c r="AH729" s="1"/>
      <c r="AT729" s="2"/>
    </row>
    <row r="730" spans="34:46" ht="14.25" customHeight="1" x14ac:dyDescent="0.45">
      <c r="AH730" s="1"/>
      <c r="AT730" s="2"/>
    </row>
    <row r="731" spans="34:46" ht="14.25" customHeight="1" x14ac:dyDescent="0.45">
      <c r="AH731" s="1"/>
      <c r="AT731" s="2"/>
    </row>
    <row r="732" spans="34:46" ht="14.25" customHeight="1" x14ac:dyDescent="0.45">
      <c r="AH732" s="1"/>
      <c r="AT732" s="2"/>
    </row>
    <row r="733" spans="34:46" ht="14.25" customHeight="1" x14ac:dyDescent="0.45">
      <c r="AH733" s="1"/>
      <c r="AT733" s="2"/>
    </row>
    <row r="734" spans="34:46" ht="14.25" customHeight="1" x14ac:dyDescent="0.45">
      <c r="AH734" s="1"/>
      <c r="AT734" s="2"/>
    </row>
    <row r="735" spans="34:46" ht="14.25" customHeight="1" x14ac:dyDescent="0.45">
      <c r="AH735" s="1"/>
      <c r="AT735" s="2"/>
    </row>
    <row r="736" spans="34:46" ht="14.25" customHeight="1" x14ac:dyDescent="0.45">
      <c r="AH736" s="1"/>
      <c r="AT736" s="2"/>
    </row>
    <row r="737" spans="34:46" ht="14.25" customHeight="1" x14ac:dyDescent="0.45">
      <c r="AH737" s="1"/>
      <c r="AT737" s="2"/>
    </row>
    <row r="738" spans="34:46" ht="14.25" customHeight="1" x14ac:dyDescent="0.45">
      <c r="AH738" s="1"/>
      <c r="AT738" s="2"/>
    </row>
    <row r="739" spans="34:46" ht="14.25" customHeight="1" x14ac:dyDescent="0.45">
      <c r="AH739" s="1"/>
      <c r="AT739" s="2"/>
    </row>
    <row r="740" spans="34:46" ht="14.25" customHeight="1" x14ac:dyDescent="0.45">
      <c r="AH740" s="1"/>
      <c r="AT740" s="2"/>
    </row>
    <row r="741" spans="34:46" ht="14.25" customHeight="1" x14ac:dyDescent="0.45">
      <c r="AH741" s="1"/>
      <c r="AT741" s="2"/>
    </row>
    <row r="742" spans="34:46" ht="14.25" customHeight="1" x14ac:dyDescent="0.45">
      <c r="AH742" s="1"/>
      <c r="AT742" s="2"/>
    </row>
    <row r="743" spans="34:46" ht="14.25" customHeight="1" x14ac:dyDescent="0.45">
      <c r="AH743" s="1"/>
      <c r="AT743" s="2"/>
    </row>
    <row r="744" spans="34:46" ht="14.25" customHeight="1" x14ac:dyDescent="0.45">
      <c r="AH744" s="1"/>
      <c r="AT744" s="2"/>
    </row>
    <row r="745" spans="34:46" ht="14.25" customHeight="1" x14ac:dyDescent="0.45">
      <c r="AH745" s="1"/>
      <c r="AT745" s="2"/>
    </row>
    <row r="746" spans="34:46" ht="14.25" customHeight="1" x14ac:dyDescent="0.45">
      <c r="AH746" s="1"/>
      <c r="AT746" s="2"/>
    </row>
    <row r="747" spans="34:46" ht="14.25" customHeight="1" x14ac:dyDescent="0.45">
      <c r="AH747" s="1"/>
      <c r="AT747" s="2"/>
    </row>
    <row r="748" spans="34:46" ht="14.25" customHeight="1" x14ac:dyDescent="0.45">
      <c r="AH748" s="1"/>
      <c r="AT748" s="2"/>
    </row>
    <row r="749" spans="34:46" ht="14.25" customHeight="1" x14ac:dyDescent="0.45">
      <c r="AH749" s="1"/>
      <c r="AT749" s="2"/>
    </row>
    <row r="750" spans="34:46" ht="14.25" customHeight="1" x14ac:dyDescent="0.45">
      <c r="AH750" s="1"/>
      <c r="AT750" s="2"/>
    </row>
    <row r="751" spans="34:46" ht="14.25" customHeight="1" x14ac:dyDescent="0.45">
      <c r="AH751" s="1"/>
      <c r="AT751" s="2"/>
    </row>
    <row r="752" spans="34:46" ht="14.25" customHeight="1" x14ac:dyDescent="0.45">
      <c r="AH752" s="1"/>
      <c r="AT752" s="2"/>
    </row>
    <row r="753" spans="34:46" ht="14.25" customHeight="1" x14ac:dyDescent="0.45">
      <c r="AH753" s="1"/>
      <c r="AT753" s="2"/>
    </row>
    <row r="754" spans="34:46" ht="14.25" customHeight="1" x14ac:dyDescent="0.45">
      <c r="AH754" s="1"/>
      <c r="AT754" s="2"/>
    </row>
    <row r="755" spans="34:46" ht="14.25" customHeight="1" x14ac:dyDescent="0.45">
      <c r="AH755" s="1"/>
      <c r="AT755" s="2"/>
    </row>
    <row r="756" spans="34:46" ht="14.25" customHeight="1" x14ac:dyDescent="0.45">
      <c r="AH756" s="1"/>
      <c r="AT756" s="2"/>
    </row>
    <row r="757" spans="34:46" ht="14.25" customHeight="1" x14ac:dyDescent="0.45">
      <c r="AH757" s="1"/>
      <c r="AT757" s="2"/>
    </row>
    <row r="758" spans="34:46" ht="14.25" customHeight="1" x14ac:dyDescent="0.45">
      <c r="AH758" s="1"/>
      <c r="AT758" s="2"/>
    </row>
    <row r="759" spans="34:46" ht="14.25" customHeight="1" x14ac:dyDescent="0.45">
      <c r="AH759" s="1"/>
      <c r="AT759" s="2"/>
    </row>
    <row r="760" spans="34:46" ht="14.25" customHeight="1" x14ac:dyDescent="0.45">
      <c r="AH760" s="1"/>
      <c r="AT760" s="2"/>
    </row>
    <row r="761" spans="34:46" ht="14.25" customHeight="1" x14ac:dyDescent="0.45">
      <c r="AH761" s="1"/>
      <c r="AT761" s="2"/>
    </row>
    <row r="762" spans="34:46" ht="14.25" customHeight="1" x14ac:dyDescent="0.45">
      <c r="AH762" s="1"/>
      <c r="AT762" s="2"/>
    </row>
    <row r="763" spans="34:46" ht="14.25" customHeight="1" x14ac:dyDescent="0.45">
      <c r="AH763" s="1"/>
      <c r="AT763" s="2"/>
    </row>
    <row r="764" spans="34:46" ht="14.25" customHeight="1" x14ac:dyDescent="0.45">
      <c r="AH764" s="1"/>
      <c r="AT764" s="2"/>
    </row>
    <row r="765" spans="34:46" ht="14.25" customHeight="1" x14ac:dyDescent="0.45">
      <c r="AH765" s="1"/>
      <c r="AT765" s="2"/>
    </row>
    <row r="766" spans="34:46" ht="14.25" customHeight="1" x14ac:dyDescent="0.45">
      <c r="AH766" s="1"/>
      <c r="AT766" s="2"/>
    </row>
    <row r="767" spans="34:46" ht="14.25" customHeight="1" x14ac:dyDescent="0.45">
      <c r="AH767" s="1"/>
      <c r="AT767" s="2"/>
    </row>
    <row r="768" spans="34:46" ht="14.25" customHeight="1" x14ac:dyDescent="0.45">
      <c r="AH768" s="1"/>
      <c r="AT768" s="2"/>
    </row>
    <row r="769" spans="34:46" ht="14.25" customHeight="1" x14ac:dyDescent="0.45">
      <c r="AH769" s="1"/>
      <c r="AT769" s="2"/>
    </row>
    <row r="770" spans="34:46" ht="14.25" customHeight="1" x14ac:dyDescent="0.45">
      <c r="AH770" s="1"/>
      <c r="AT770" s="2"/>
    </row>
    <row r="771" spans="34:46" ht="14.25" customHeight="1" x14ac:dyDescent="0.45">
      <c r="AH771" s="1"/>
      <c r="AT771" s="2"/>
    </row>
    <row r="772" spans="34:46" ht="14.25" customHeight="1" x14ac:dyDescent="0.45">
      <c r="AH772" s="1"/>
      <c r="AT772" s="2"/>
    </row>
    <row r="773" spans="34:46" ht="14.25" customHeight="1" x14ac:dyDescent="0.45">
      <c r="AH773" s="1"/>
      <c r="AT773" s="2"/>
    </row>
    <row r="774" spans="34:46" ht="14.25" customHeight="1" x14ac:dyDescent="0.45">
      <c r="AH774" s="1"/>
      <c r="AT774" s="2"/>
    </row>
    <row r="775" spans="34:46" ht="14.25" customHeight="1" x14ac:dyDescent="0.45">
      <c r="AH775" s="1"/>
      <c r="AT775" s="2"/>
    </row>
    <row r="776" spans="34:46" ht="14.25" customHeight="1" x14ac:dyDescent="0.45">
      <c r="AH776" s="1"/>
      <c r="AT776" s="2"/>
    </row>
    <row r="777" spans="34:46" ht="14.25" customHeight="1" x14ac:dyDescent="0.45">
      <c r="AH777" s="1"/>
      <c r="AT777" s="2"/>
    </row>
    <row r="778" spans="34:46" ht="14.25" customHeight="1" x14ac:dyDescent="0.45">
      <c r="AH778" s="1"/>
      <c r="AT778" s="2"/>
    </row>
    <row r="779" spans="34:46" ht="14.25" customHeight="1" x14ac:dyDescent="0.45">
      <c r="AH779" s="1"/>
      <c r="AT779" s="2"/>
    </row>
    <row r="780" spans="34:46" ht="14.25" customHeight="1" x14ac:dyDescent="0.45">
      <c r="AH780" s="1"/>
      <c r="AT780" s="2"/>
    </row>
    <row r="781" spans="34:46" ht="14.25" customHeight="1" x14ac:dyDescent="0.45">
      <c r="AH781" s="1"/>
      <c r="AT781" s="2"/>
    </row>
    <row r="782" spans="34:46" ht="14.25" customHeight="1" x14ac:dyDescent="0.45">
      <c r="AH782" s="1"/>
      <c r="AT782" s="2"/>
    </row>
    <row r="783" spans="34:46" ht="14.25" customHeight="1" x14ac:dyDescent="0.45">
      <c r="AH783" s="1"/>
      <c r="AT783" s="2"/>
    </row>
    <row r="784" spans="34:46" ht="14.25" customHeight="1" x14ac:dyDescent="0.45">
      <c r="AH784" s="1"/>
      <c r="AT784" s="2"/>
    </row>
    <row r="785" spans="34:46" ht="14.25" customHeight="1" x14ac:dyDescent="0.45">
      <c r="AH785" s="1"/>
      <c r="AT785" s="2"/>
    </row>
    <row r="786" spans="34:46" ht="14.25" customHeight="1" x14ac:dyDescent="0.45">
      <c r="AH786" s="1"/>
      <c r="AT786" s="2"/>
    </row>
    <row r="787" spans="34:46" ht="14.25" customHeight="1" x14ac:dyDescent="0.45">
      <c r="AH787" s="1"/>
      <c r="AT787" s="2"/>
    </row>
    <row r="788" spans="34:46" ht="14.25" customHeight="1" x14ac:dyDescent="0.45">
      <c r="AH788" s="1"/>
      <c r="AT788" s="2"/>
    </row>
    <row r="789" spans="34:46" ht="14.25" customHeight="1" x14ac:dyDescent="0.45">
      <c r="AH789" s="1"/>
      <c r="AT789" s="2"/>
    </row>
    <row r="790" spans="34:46" ht="14.25" customHeight="1" x14ac:dyDescent="0.45">
      <c r="AH790" s="1"/>
      <c r="AT790" s="2"/>
    </row>
    <row r="791" spans="34:46" ht="14.25" customHeight="1" x14ac:dyDescent="0.45">
      <c r="AH791" s="1"/>
      <c r="AT791" s="2"/>
    </row>
    <row r="792" spans="34:46" ht="14.25" customHeight="1" x14ac:dyDescent="0.45">
      <c r="AH792" s="1"/>
      <c r="AT792" s="2"/>
    </row>
    <row r="793" spans="34:46" ht="14.25" customHeight="1" x14ac:dyDescent="0.45">
      <c r="AH793" s="1"/>
      <c r="AT793" s="2"/>
    </row>
    <row r="794" spans="34:46" ht="14.25" customHeight="1" x14ac:dyDescent="0.45">
      <c r="AH794" s="1"/>
      <c r="AT794" s="2"/>
    </row>
    <row r="795" spans="34:46" ht="14.25" customHeight="1" x14ac:dyDescent="0.45">
      <c r="AH795" s="1"/>
      <c r="AT795" s="2"/>
    </row>
    <row r="796" spans="34:46" ht="14.25" customHeight="1" x14ac:dyDescent="0.45">
      <c r="AH796" s="1"/>
      <c r="AT796" s="2"/>
    </row>
    <row r="797" spans="34:46" ht="14.25" customHeight="1" x14ac:dyDescent="0.45">
      <c r="AH797" s="1"/>
      <c r="AT797" s="2"/>
    </row>
    <row r="798" spans="34:46" ht="14.25" customHeight="1" x14ac:dyDescent="0.45">
      <c r="AH798" s="1"/>
      <c r="AT798" s="2"/>
    </row>
    <row r="799" spans="34:46" ht="14.25" customHeight="1" x14ac:dyDescent="0.45">
      <c r="AH799" s="1"/>
      <c r="AT799" s="2"/>
    </row>
    <row r="800" spans="34:46" ht="14.25" customHeight="1" x14ac:dyDescent="0.45">
      <c r="AH800" s="1"/>
      <c r="AT800" s="2"/>
    </row>
    <row r="801" spans="34:46" ht="14.25" customHeight="1" x14ac:dyDescent="0.45">
      <c r="AH801" s="1"/>
      <c r="AT801" s="2"/>
    </row>
    <row r="802" spans="34:46" ht="14.25" customHeight="1" x14ac:dyDescent="0.45">
      <c r="AH802" s="1"/>
      <c r="AT802" s="2"/>
    </row>
    <row r="803" spans="34:46" ht="14.25" customHeight="1" x14ac:dyDescent="0.45">
      <c r="AH803" s="1"/>
      <c r="AT803" s="2"/>
    </row>
    <row r="804" spans="34:46" ht="14.25" customHeight="1" x14ac:dyDescent="0.45">
      <c r="AH804" s="1"/>
      <c r="AT804" s="2"/>
    </row>
    <row r="805" spans="34:46" ht="14.25" customHeight="1" x14ac:dyDescent="0.45">
      <c r="AH805" s="1"/>
      <c r="AT805" s="2"/>
    </row>
    <row r="806" spans="34:46" ht="14.25" customHeight="1" x14ac:dyDescent="0.45">
      <c r="AH806" s="1"/>
      <c r="AT806" s="2"/>
    </row>
    <row r="807" spans="34:46" ht="14.25" customHeight="1" x14ac:dyDescent="0.45">
      <c r="AH807" s="1"/>
      <c r="AT807" s="2"/>
    </row>
    <row r="808" spans="34:46" ht="14.25" customHeight="1" x14ac:dyDescent="0.45">
      <c r="AH808" s="1"/>
      <c r="AT808" s="2"/>
    </row>
    <row r="809" spans="34:46" ht="14.25" customHeight="1" x14ac:dyDescent="0.45">
      <c r="AH809" s="1"/>
      <c r="AT809" s="2"/>
    </row>
    <row r="810" spans="34:46" ht="14.25" customHeight="1" x14ac:dyDescent="0.45">
      <c r="AH810" s="1"/>
      <c r="AT810" s="2"/>
    </row>
    <row r="811" spans="34:46" ht="14.25" customHeight="1" x14ac:dyDescent="0.45">
      <c r="AH811" s="1"/>
      <c r="AT811" s="2"/>
    </row>
    <row r="812" spans="34:46" ht="14.25" customHeight="1" x14ac:dyDescent="0.45">
      <c r="AH812" s="1"/>
      <c r="AT812" s="2"/>
    </row>
    <row r="813" spans="34:46" ht="14.25" customHeight="1" x14ac:dyDescent="0.45">
      <c r="AH813" s="1"/>
      <c r="AT813" s="2"/>
    </row>
    <row r="814" spans="34:46" ht="14.25" customHeight="1" x14ac:dyDescent="0.45">
      <c r="AH814" s="1"/>
      <c r="AT814" s="2"/>
    </row>
    <row r="815" spans="34:46" ht="14.25" customHeight="1" x14ac:dyDescent="0.45">
      <c r="AH815" s="1"/>
      <c r="AT815" s="2"/>
    </row>
    <row r="816" spans="34:46" ht="14.25" customHeight="1" x14ac:dyDescent="0.45">
      <c r="AH816" s="1"/>
      <c r="AT816" s="2"/>
    </row>
    <row r="817" spans="34:46" ht="14.25" customHeight="1" x14ac:dyDescent="0.45">
      <c r="AH817" s="1"/>
      <c r="AT817" s="2"/>
    </row>
    <row r="818" spans="34:46" ht="14.25" customHeight="1" x14ac:dyDescent="0.45">
      <c r="AH818" s="1"/>
      <c r="AT818" s="2"/>
    </row>
    <row r="819" spans="34:46" ht="14.25" customHeight="1" x14ac:dyDescent="0.45">
      <c r="AH819" s="1"/>
      <c r="AT819" s="2"/>
    </row>
    <row r="820" spans="34:46" ht="14.25" customHeight="1" x14ac:dyDescent="0.45">
      <c r="AH820" s="1"/>
      <c r="AT820" s="2"/>
    </row>
    <row r="821" spans="34:46" ht="14.25" customHeight="1" x14ac:dyDescent="0.45">
      <c r="AH821" s="1"/>
      <c r="AT821" s="2"/>
    </row>
    <row r="822" spans="34:46" ht="14.25" customHeight="1" x14ac:dyDescent="0.45">
      <c r="AH822" s="1"/>
      <c r="AT822" s="2"/>
    </row>
    <row r="823" spans="34:46" ht="14.25" customHeight="1" x14ac:dyDescent="0.45">
      <c r="AH823" s="1"/>
      <c r="AT823" s="2"/>
    </row>
    <row r="824" spans="34:46" ht="14.25" customHeight="1" x14ac:dyDescent="0.45">
      <c r="AH824" s="1"/>
      <c r="AT824" s="2"/>
    </row>
    <row r="825" spans="34:46" ht="14.25" customHeight="1" x14ac:dyDescent="0.45">
      <c r="AH825" s="1"/>
      <c r="AT825" s="2"/>
    </row>
    <row r="826" spans="34:46" ht="14.25" customHeight="1" x14ac:dyDescent="0.45">
      <c r="AH826" s="1"/>
      <c r="AT826" s="2"/>
    </row>
    <row r="827" spans="34:46" ht="14.25" customHeight="1" x14ac:dyDescent="0.45">
      <c r="AH827" s="1"/>
      <c r="AT827" s="2"/>
    </row>
    <row r="828" spans="34:46" ht="14.25" customHeight="1" x14ac:dyDescent="0.45">
      <c r="AH828" s="1"/>
      <c r="AT828" s="2"/>
    </row>
    <row r="829" spans="34:46" ht="14.25" customHeight="1" x14ac:dyDescent="0.45">
      <c r="AH829" s="1"/>
      <c r="AT829" s="2"/>
    </row>
    <row r="830" spans="34:46" ht="14.25" customHeight="1" x14ac:dyDescent="0.45">
      <c r="AH830" s="1"/>
      <c r="AT830" s="2"/>
    </row>
    <row r="831" spans="34:46" ht="14.25" customHeight="1" x14ac:dyDescent="0.45">
      <c r="AH831" s="1"/>
      <c r="AT831" s="2"/>
    </row>
    <row r="832" spans="34:46" ht="14.25" customHeight="1" x14ac:dyDescent="0.45">
      <c r="AH832" s="1"/>
      <c r="AT832" s="2"/>
    </row>
    <row r="833" spans="34:46" ht="14.25" customHeight="1" x14ac:dyDescent="0.45">
      <c r="AH833" s="1"/>
      <c r="AT833" s="2"/>
    </row>
    <row r="834" spans="34:46" ht="14.25" customHeight="1" x14ac:dyDescent="0.45">
      <c r="AH834" s="1"/>
      <c r="AT834" s="2"/>
    </row>
    <row r="835" spans="34:46" ht="14.25" customHeight="1" x14ac:dyDescent="0.45">
      <c r="AH835" s="1"/>
      <c r="AT835" s="2"/>
    </row>
    <row r="836" spans="34:46" ht="14.25" customHeight="1" x14ac:dyDescent="0.45">
      <c r="AH836" s="1"/>
      <c r="AT836" s="2"/>
    </row>
    <row r="837" spans="34:46" ht="14.25" customHeight="1" x14ac:dyDescent="0.45">
      <c r="AH837" s="1"/>
      <c r="AT837" s="2"/>
    </row>
    <row r="838" spans="34:46" ht="14.25" customHeight="1" x14ac:dyDescent="0.45">
      <c r="AH838" s="1"/>
      <c r="AT838" s="2"/>
    </row>
    <row r="839" spans="34:46" ht="14.25" customHeight="1" x14ac:dyDescent="0.45">
      <c r="AH839" s="1"/>
      <c r="AT839" s="2"/>
    </row>
    <row r="840" spans="34:46" ht="14.25" customHeight="1" x14ac:dyDescent="0.45">
      <c r="AH840" s="1"/>
      <c r="AT840" s="2"/>
    </row>
    <row r="841" spans="34:46" ht="14.25" customHeight="1" x14ac:dyDescent="0.45">
      <c r="AH841" s="1"/>
      <c r="AT841" s="2"/>
    </row>
    <row r="842" spans="34:46" ht="14.25" customHeight="1" x14ac:dyDescent="0.45">
      <c r="AH842" s="1"/>
      <c r="AT842" s="2"/>
    </row>
    <row r="843" spans="34:46" ht="14.25" customHeight="1" x14ac:dyDescent="0.45">
      <c r="AH843" s="1"/>
      <c r="AT843" s="2"/>
    </row>
    <row r="844" spans="34:46" ht="14.25" customHeight="1" x14ac:dyDescent="0.45">
      <c r="AH844" s="1"/>
      <c r="AT844" s="2"/>
    </row>
    <row r="845" spans="34:46" ht="14.25" customHeight="1" x14ac:dyDescent="0.45">
      <c r="AH845" s="1"/>
      <c r="AT845" s="2"/>
    </row>
    <row r="846" spans="34:46" ht="14.25" customHeight="1" x14ac:dyDescent="0.45">
      <c r="AH846" s="1"/>
      <c r="AT846" s="2"/>
    </row>
    <row r="847" spans="34:46" ht="14.25" customHeight="1" x14ac:dyDescent="0.45">
      <c r="AH847" s="1"/>
      <c r="AT847" s="2"/>
    </row>
    <row r="848" spans="34:46" ht="14.25" customHeight="1" x14ac:dyDescent="0.45">
      <c r="AH848" s="1"/>
      <c r="AT848" s="2"/>
    </row>
    <row r="849" spans="34:46" ht="14.25" customHeight="1" x14ac:dyDescent="0.45">
      <c r="AH849" s="1"/>
      <c r="AT849" s="2"/>
    </row>
    <row r="850" spans="34:46" ht="14.25" customHeight="1" x14ac:dyDescent="0.45">
      <c r="AH850" s="1"/>
      <c r="AT850" s="2"/>
    </row>
    <row r="851" spans="34:46" ht="14.25" customHeight="1" x14ac:dyDescent="0.45">
      <c r="AH851" s="1"/>
      <c r="AT851" s="2"/>
    </row>
    <row r="852" spans="34:46" ht="14.25" customHeight="1" x14ac:dyDescent="0.45">
      <c r="AH852" s="1"/>
      <c r="AT852" s="2"/>
    </row>
    <row r="853" spans="34:46" ht="14.25" customHeight="1" x14ac:dyDescent="0.45">
      <c r="AH853" s="1"/>
      <c r="AT853" s="2"/>
    </row>
    <row r="854" spans="34:46" ht="14.25" customHeight="1" x14ac:dyDescent="0.45">
      <c r="AH854" s="1"/>
      <c r="AT854" s="2"/>
    </row>
    <row r="855" spans="34:46" ht="14.25" customHeight="1" x14ac:dyDescent="0.45">
      <c r="AH855" s="1"/>
      <c r="AT855" s="2"/>
    </row>
    <row r="856" spans="34:46" ht="14.25" customHeight="1" x14ac:dyDescent="0.45">
      <c r="AH856" s="1"/>
      <c r="AT856" s="2"/>
    </row>
    <row r="857" spans="34:46" ht="14.25" customHeight="1" x14ac:dyDescent="0.45">
      <c r="AH857" s="1"/>
      <c r="AT857" s="2"/>
    </row>
    <row r="858" spans="34:46" ht="14.25" customHeight="1" x14ac:dyDescent="0.45">
      <c r="AH858" s="1"/>
      <c r="AT858" s="2"/>
    </row>
    <row r="859" spans="34:46" ht="14.25" customHeight="1" x14ac:dyDescent="0.45">
      <c r="AH859" s="1"/>
      <c r="AT859" s="2"/>
    </row>
    <row r="860" spans="34:46" ht="14.25" customHeight="1" x14ac:dyDescent="0.45">
      <c r="AH860" s="1"/>
      <c r="AT860" s="2"/>
    </row>
    <row r="861" spans="34:46" ht="14.25" customHeight="1" x14ac:dyDescent="0.45">
      <c r="AH861" s="1"/>
      <c r="AT861" s="2"/>
    </row>
    <row r="862" spans="34:46" ht="14.25" customHeight="1" x14ac:dyDescent="0.45">
      <c r="AH862" s="1"/>
      <c r="AT862" s="2"/>
    </row>
    <row r="863" spans="34:46" ht="14.25" customHeight="1" x14ac:dyDescent="0.45">
      <c r="AH863" s="1"/>
      <c r="AT863" s="2"/>
    </row>
    <row r="864" spans="34:46" ht="14.25" customHeight="1" x14ac:dyDescent="0.45">
      <c r="AH864" s="1"/>
      <c r="AT864" s="2"/>
    </row>
    <row r="865" spans="34:46" ht="14.25" customHeight="1" x14ac:dyDescent="0.45">
      <c r="AH865" s="1"/>
      <c r="AT865" s="2"/>
    </row>
    <row r="866" spans="34:46" ht="14.25" customHeight="1" x14ac:dyDescent="0.45">
      <c r="AH866" s="1"/>
      <c r="AT866" s="2"/>
    </row>
    <row r="867" spans="34:46" ht="14.25" customHeight="1" x14ac:dyDescent="0.45">
      <c r="AH867" s="1"/>
      <c r="AT867" s="2"/>
    </row>
    <row r="868" spans="34:46" ht="14.25" customHeight="1" x14ac:dyDescent="0.45">
      <c r="AH868" s="1"/>
      <c r="AT868" s="2"/>
    </row>
    <row r="869" spans="34:46" ht="14.25" customHeight="1" x14ac:dyDescent="0.45">
      <c r="AH869" s="1"/>
      <c r="AT869" s="2"/>
    </row>
    <row r="870" spans="34:46" ht="14.25" customHeight="1" x14ac:dyDescent="0.45">
      <c r="AH870" s="1"/>
      <c r="AT870" s="2"/>
    </row>
    <row r="871" spans="34:46" ht="14.25" customHeight="1" x14ac:dyDescent="0.45">
      <c r="AH871" s="1"/>
      <c r="AT871" s="2"/>
    </row>
    <row r="872" spans="34:46" ht="14.25" customHeight="1" x14ac:dyDescent="0.45">
      <c r="AH872" s="1"/>
      <c r="AT872" s="2"/>
    </row>
    <row r="873" spans="34:46" ht="14.25" customHeight="1" x14ac:dyDescent="0.45">
      <c r="AH873" s="1"/>
      <c r="AT873" s="2"/>
    </row>
    <row r="874" spans="34:46" ht="14.25" customHeight="1" x14ac:dyDescent="0.45">
      <c r="AH874" s="1"/>
      <c r="AT874" s="2"/>
    </row>
    <row r="875" spans="34:46" ht="14.25" customHeight="1" x14ac:dyDescent="0.45">
      <c r="AH875" s="1"/>
      <c r="AT875" s="2"/>
    </row>
    <row r="876" spans="34:46" ht="14.25" customHeight="1" x14ac:dyDescent="0.45">
      <c r="AH876" s="1"/>
      <c r="AT876" s="2"/>
    </row>
    <row r="877" spans="34:46" ht="14.25" customHeight="1" x14ac:dyDescent="0.45">
      <c r="AH877" s="1"/>
      <c r="AT877" s="2"/>
    </row>
    <row r="878" spans="34:46" ht="14.25" customHeight="1" x14ac:dyDescent="0.45">
      <c r="AH878" s="1"/>
      <c r="AT878" s="2"/>
    </row>
    <row r="879" spans="34:46" ht="14.25" customHeight="1" x14ac:dyDescent="0.45">
      <c r="AH879" s="1"/>
      <c r="AT879" s="2"/>
    </row>
    <row r="880" spans="34:46" ht="14.25" customHeight="1" x14ac:dyDescent="0.45">
      <c r="AH880" s="1"/>
      <c r="AT880" s="2"/>
    </row>
    <row r="881" spans="34:46" ht="14.25" customHeight="1" x14ac:dyDescent="0.45">
      <c r="AH881" s="1"/>
      <c r="AT881" s="2"/>
    </row>
    <row r="882" spans="34:46" ht="14.25" customHeight="1" x14ac:dyDescent="0.45">
      <c r="AH882" s="1"/>
      <c r="AT882" s="2"/>
    </row>
    <row r="883" spans="34:46" ht="14.25" customHeight="1" x14ac:dyDescent="0.45">
      <c r="AH883" s="1"/>
      <c r="AT883" s="2"/>
    </row>
    <row r="884" spans="34:46" ht="14.25" customHeight="1" x14ac:dyDescent="0.45">
      <c r="AH884" s="1"/>
      <c r="AT884" s="2"/>
    </row>
    <row r="885" spans="34:46" ht="14.25" customHeight="1" x14ac:dyDescent="0.45">
      <c r="AH885" s="1"/>
      <c r="AT885" s="2"/>
    </row>
    <row r="886" spans="34:46" ht="14.25" customHeight="1" x14ac:dyDescent="0.45">
      <c r="AH886" s="1"/>
      <c r="AT886" s="2"/>
    </row>
    <row r="887" spans="34:46" ht="14.25" customHeight="1" x14ac:dyDescent="0.45">
      <c r="AH887" s="1"/>
      <c r="AT887" s="2"/>
    </row>
    <row r="888" spans="34:46" ht="14.25" customHeight="1" x14ac:dyDescent="0.45">
      <c r="AH888" s="1"/>
      <c r="AT888" s="2"/>
    </row>
    <row r="889" spans="34:46" ht="14.25" customHeight="1" x14ac:dyDescent="0.45">
      <c r="AH889" s="1"/>
      <c r="AT889" s="2"/>
    </row>
    <row r="890" spans="34:46" ht="14.25" customHeight="1" x14ac:dyDescent="0.45">
      <c r="AH890" s="1"/>
      <c r="AT890" s="2"/>
    </row>
    <row r="891" spans="34:46" ht="14.25" customHeight="1" x14ac:dyDescent="0.45">
      <c r="AH891" s="1"/>
      <c r="AT891" s="2"/>
    </row>
    <row r="892" spans="34:46" ht="14.25" customHeight="1" x14ac:dyDescent="0.45">
      <c r="AH892" s="1"/>
      <c r="AT892" s="2"/>
    </row>
    <row r="893" spans="34:46" ht="14.25" customHeight="1" x14ac:dyDescent="0.45">
      <c r="AH893" s="1"/>
      <c r="AT893" s="2"/>
    </row>
    <row r="894" spans="34:46" ht="14.25" customHeight="1" x14ac:dyDescent="0.45">
      <c r="AH894" s="1"/>
      <c r="AT894" s="2"/>
    </row>
    <row r="895" spans="34:46" ht="14.25" customHeight="1" x14ac:dyDescent="0.45">
      <c r="AH895" s="1"/>
      <c r="AT895" s="2"/>
    </row>
    <row r="896" spans="34:46" ht="14.25" customHeight="1" x14ac:dyDescent="0.45">
      <c r="AH896" s="1"/>
      <c r="AT896" s="2"/>
    </row>
    <row r="897" spans="34:46" ht="14.25" customHeight="1" x14ac:dyDescent="0.45">
      <c r="AH897" s="1"/>
      <c r="AT897" s="2"/>
    </row>
    <row r="898" spans="34:46" ht="14.25" customHeight="1" x14ac:dyDescent="0.45">
      <c r="AH898" s="1"/>
      <c r="AT898" s="2"/>
    </row>
    <row r="899" spans="34:46" ht="14.25" customHeight="1" x14ac:dyDescent="0.45">
      <c r="AH899" s="1"/>
      <c r="AT899" s="2"/>
    </row>
    <row r="900" spans="34:46" ht="14.25" customHeight="1" x14ac:dyDescent="0.45">
      <c r="AH900" s="1"/>
      <c r="AT900" s="2"/>
    </row>
    <row r="901" spans="34:46" ht="14.25" customHeight="1" x14ac:dyDescent="0.45">
      <c r="AH901" s="1"/>
      <c r="AT901" s="2"/>
    </row>
    <row r="902" spans="34:46" ht="14.25" customHeight="1" x14ac:dyDescent="0.45">
      <c r="AH902" s="1"/>
      <c r="AT902" s="2"/>
    </row>
    <row r="903" spans="34:46" ht="14.25" customHeight="1" x14ac:dyDescent="0.45">
      <c r="AH903" s="1"/>
      <c r="AT903" s="2"/>
    </row>
    <row r="904" spans="34:46" ht="14.25" customHeight="1" x14ac:dyDescent="0.45">
      <c r="AH904" s="1"/>
      <c r="AT904" s="2"/>
    </row>
    <row r="905" spans="34:46" ht="14.25" customHeight="1" x14ac:dyDescent="0.45">
      <c r="AH905" s="1"/>
      <c r="AT905" s="2"/>
    </row>
    <row r="906" spans="34:46" ht="14.25" customHeight="1" x14ac:dyDescent="0.45">
      <c r="AH906" s="1"/>
      <c r="AT906" s="2"/>
    </row>
    <row r="907" spans="34:46" ht="14.25" customHeight="1" x14ac:dyDescent="0.45">
      <c r="AH907" s="1"/>
      <c r="AT907" s="2"/>
    </row>
    <row r="908" spans="34:46" ht="14.25" customHeight="1" x14ac:dyDescent="0.45">
      <c r="AH908" s="1"/>
      <c r="AT908" s="2"/>
    </row>
    <row r="909" spans="34:46" ht="14.25" customHeight="1" x14ac:dyDescent="0.45">
      <c r="AH909" s="1"/>
      <c r="AT909" s="2"/>
    </row>
    <row r="910" spans="34:46" ht="14.25" customHeight="1" x14ac:dyDescent="0.45">
      <c r="AH910" s="1"/>
      <c r="AT910" s="2"/>
    </row>
    <row r="911" spans="34:46" ht="14.25" customHeight="1" x14ac:dyDescent="0.45">
      <c r="AH911" s="1"/>
      <c r="AT911" s="2"/>
    </row>
    <row r="912" spans="34:46" ht="14.25" customHeight="1" x14ac:dyDescent="0.45">
      <c r="AH912" s="1"/>
      <c r="AT912" s="2"/>
    </row>
    <row r="913" spans="34:46" ht="14.25" customHeight="1" x14ac:dyDescent="0.45">
      <c r="AH913" s="1"/>
      <c r="AT913" s="2"/>
    </row>
    <row r="914" spans="34:46" ht="14.25" customHeight="1" x14ac:dyDescent="0.45">
      <c r="AH914" s="1"/>
      <c r="AT914" s="2"/>
    </row>
    <row r="915" spans="34:46" ht="14.25" customHeight="1" x14ac:dyDescent="0.45">
      <c r="AH915" s="1"/>
      <c r="AT915" s="2"/>
    </row>
    <row r="916" spans="34:46" ht="14.25" customHeight="1" x14ac:dyDescent="0.45">
      <c r="AH916" s="1"/>
      <c r="AT916" s="2"/>
    </row>
    <row r="917" spans="34:46" ht="14.25" customHeight="1" x14ac:dyDescent="0.45">
      <c r="AH917" s="1"/>
      <c r="AT917" s="2"/>
    </row>
  </sheetData>
  <mergeCells count="2">
    <mergeCell ref="B2:C2"/>
    <mergeCell ref="M2:O2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743B-4D34-48EE-AA62-9812252BD824}">
  <dimension ref="A1:F53"/>
  <sheetViews>
    <sheetView topLeftCell="A29" zoomScale="85" zoomScaleNormal="85" workbookViewId="0">
      <selection activeCell="G16" sqref="G16"/>
    </sheetView>
  </sheetViews>
  <sheetFormatPr defaultRowHeight="14.25" x14ac:dyDescent="0.45"/>
  <cols>
    <col min="1" max="1" width="27.53125" customWidth="1"/>
    <col min="2" max="2" width="22" customWidth="1"/>
    <col min="3" max="3" width="27.1328125" customWidth="1"/>
    <col min="4" max="4" width="24.3984375" customWidth="1"/>
    <col min="5" max="8" width="17.59765625" customWidth="1"/>
  </cols>
  <sheetData>
    <row r="1" spans="1:4" x14ac:dyDescent="0.45">
      <c r="A1" s="77" t="s">
        <v>353</v>
      </c>
    </row>
    <row r="2" spans="1:4" x14ac:dyDescent="0.45">
      <c r="A2" t="s">
        <v>139</v>
      </c>
      <c r="B2">
        <v>25000</v>
      </c>
    </row>
    <row r="3" spans="1:4" ht="14.65" thickBot="1" x14ac:dyDescent="0.5">
      <c r="A3" s="20" t="s">
        <v>93</v>
      </c>
      <c r="D3" s="4" t="s">
        <v>114</v>
      </c>
    </row>
    <row r="4" spans="1:4" ht="14.65" thickBot="1" x14ac:dyDescent="0.5">
      <c r="A4" s="36" t="s">
        <v>99</v>
      </c>
      <c r="B4" s="34" t="s">
        <v>100</v>
      </c>
      <c r="C4" s="34" t="s">
        <v>94</v>
      </c>
      <c r="D4" s="35" t="s">
        <v>93</v>
      </c>
    </row>
    <row r="5" spans="1:4" x14ac:dyDescent="0.45">
      <c r="A5" s="37" t="s">
        <v>95</v>
      </c>
      <c r="B5" s="41">
        <f>Draft!B46</f>
        <v>107</v>
      </c>
      <c r="C5" s="30">
        <f>B5*0.1</f>
        <v>10.700000000000001</v>
      </c>
      <c r="D5" s="42">
        <f>B5+C5</f>
        <v>117.7</v>
      </c>
    </row>
    <row r="6" spans="1:4" x14ac:dyDescent="0.45">
      <c r="A6" s="37" t="s">
        <v>96</v>
      </c>
      <c r="B6" s="41">
        <f>Draft!B47</f>
        <v>205</v>
      </c>
      <c r="C6" s="30">
        <f t="shared" ref="C6:C8" si="0">B6*0.1</f>
        <v>20.5</v>
      </c>
      <c r="D6" s="42">
        <f t="shared" ref="D6:D8" si="1">B6+C6</f>
        <v>225.5</v>
      </c>
    </row>
    <row r="7" spans="1:4" x14ac:dyDescent="0.45">
      <c r="A7" s="37" t="s">
        <v>97</v>
      </c>
      <c r="B7" s="41">
        <f>Draft!B48</f>
        <v>42</v>
      </c>
      <c r="C7" s="30">
        <f t="shared" si="0"/>
        <v>4.2</v>
      </c>
      <c r="D7" s="42">
        <f t="shared" si="1"/>
        <v>46.2</v>
      </c>
    </row>
    <row r="8" spans="1:4" ht="14.65" thickBot="1" x14ac:dyDescent="0.5">
      <c r="A8" s="38" t="s">
        <v>98</v>
      </c>
      <c r="B8" s="43">
        <f>Draft!B49</f>
        <v>182</v>
      </c>
      <c r="C8" s="32">
        <f t="shared" si="0"/>
        <v>18.2</v>
      </c>
      <c r="D8" s="44">
        <f t="shared" si="1"/>
        <v>200.2</v>
      </c>
    </row>
    <row r="9" spans="1:4" ht="14.65" thickBot="1" x14ac:dyDescent="0.5"/>
    <row r="10" spans="1:4" ht="14.65" thickBot="1" x14ac:dyDescent="0.5">
      <c r="A10" s="36" t="s">
        <v>31</v>
      </c>
      <c r="B10" s="35" t="s">
        <v>93</v>
      </c>
    </row>
    <row r="11" spans="1:4" x14ac:dyDescent="0.45">
      <c r="A11" s="37" t="s">
        <v>118</v>
      </c>
      <c r="B11" s="39">
        <v>38000</v>
      </c>
    </row>
    <row r="12" spans="1:4" x14ac:dyDescent="0.45">
      <c r="A12" s="37" t="s">
        <v>119</v>
      </c>
      <c r="B12" s="39">
        <f>B11*32%</f>
        <v>12160</v>
      </c>
    </row>
    <row r="13" spans="1:4" ht="14.65" thickBot="1" x14ac:dyDescent="0.5">
      <c r="A13" s="53" t="s">
        <v>120</v>
      </c>
      <c r="B13" s="108">
        <f>B11+B12</f>
        <v>50160</v>
      </c>
    </row>
    <row r="14" spans="1:4" ht="14.65" thickBot="1" x14ac:dyDescent="0.5"/>
    <row r="15" spans="1:4" ht="14.65" thickBot="1" x14ac:dyDescent="0.5">
      <c r="A15" s="36" t="s">
        <v>33</v>
      </c>
      <c r="B15" s="34" t="s">
        <v>124</v>
      </c>
      <c r="C15" s="35" t="s">
        <v>93</v>
      </c>
    </row>
    <row r="16" spans="1:4" x14ac:dyDescent="0.45">
      <c r="A16" s="37" t="s">
        <v>121</v>
      </c>
      <c r="B16" s="30" t="s">
        <v>30</v>
      </c>
      <c r="C16" s="31">
        <f>Draft!B59</f>
        <v>6761933539397</v>
      </c>
    </row>
    <row r="17" spans="1:4" x14ac:dyDescent="0.45">
      <c r="A17" s="37" t="s">
        <v>122</v>
      </c>
      <c r="B17" s="30" t="s">
        <v>30</v>
      </c>
      <c r="C17" s="31">
        <f>Draft!B60</f>
        <v>8584209924182</v>
      </c>
    </row>
    <row r="18" spans="1:4" x14ac:dyDescent="0.45">
      <c r="A18" s="37" t="s">
        <v>123</v>
      </c>
      <c r="B18" s="30" t="s">
        <v>30</v>
      </c>
      <c r="C18" s="31">
        <f>Draft!B60</f>
        <v>8584209924182</v>
      </c>
    </row>
    <row r="19" spans="1:4" ht="14.65" thickBot="1" x14ac:dyDescent="0.5">
      <c r="A19" s="53" t="s">
        <v>49</v>
      </c>
      <c r="B19" s="65"/>
      <c r="C19" s="99">
        <f>SUM(C16:C18)</f>
        <v>23930353387761</v>
      </c>
    </row>
    <row r="22" spans="1:4" ht="14.65" thickBot="1" x14ac:dyDescent="0.5">
      <c r="A22" s="20" t="s">
        <v>332</v>
      </c>
    </row>
    <row r="23" spans="1:4" ht="14.65" thickBot="1" x14ac:dyDescent="0.5">
      <c r="A23" s="36" t="s">
        <v>334</v>
      </c>
      <c r="B23" s="106" t="s">
        <v>330</v>
      </c>
      <c r="C23" s="106" t="s">
        <v>331</v>
      </c>
      <c r="D23" s="63" t="s">
        <v>82</v>
      </c>
    </row>
    <row r="24" spans="1:4" x14ac:dyDescent="0.45">
      <c r="A24" s="61" t="s">
        <v>349</v>
      </c>
      <c r="B24" s="100"/>
      <c r="C24" s="100"/>
      <c r="D24" s="101"/>
    </row>
    <row r="25" spans="1:4" x14ac:dyDescent="0.45">
      <c r="A25" s="37" t="s">
        <v>95</v>
      </c>
      <c r="B25" s="30">
        <v>1.37</v>
      </c>
      <c r="C25" s="41">
        <f>'Dự toán Tiêu thụ, sản xuất'!AA28*'Định mức'!B2</f>
        <v>6864968.7350314567</v>
      </c>
      <c r="D25" s="39">
        <f>B25*C25</f>
        <v>9405007.1669930965</v>
      </c>
    </row>
    <row r="26" spans="1:4" x14ac:dyDescent="0.45">
      <c r="A26" s="37" t="s">
        <v>96</v>
      </c>
      <c r="B26" s="30">
        <v>0.78</v>
      </c>
      <c r="C26" s="41">
        <f>B2*'Dự toán Tiêu thụ, sản xuất'!AA30</f>
        <v>2712527.2605164247</v>
      </c>
      <c r="D26" s="39">
        <f t="shared" ref="D26:D28" si="2">B26*C26</f>
        <v>2115771.2632028111</v>
      </c>
    </row>
    <row r="27" spans="1:4" x14ac:dyDescent="0.45">
      <c r="A27" s="37" t="s">
        <v>97</v>
      </c>
      <c r="B27" s="30">
        <v>0.27</v>
      </c>
      <c r="C27" s="41">
        <f>'Dự toán Tiêu thụ, sản xuất'!AA32*'Định mức'!B2</f>
        <v>1050000</v>
      </c>
      <c r="D27" s="39">
        <f t="shared" si="2"/>
        <v>283500</v>
      </c>
    </row>
    <row r="28" spans="1:4" ht="14.65" thickBot="1" x14ac:dyDescent="0.5">
      <c r="A28" s="37" t="s">
        <v>98</v>
      </c>
      <c r="B28" s="30">
        <v>0.12</v>
      </c>
      <c r="C28" s="41">
        <f>B2*'Dự toán Tiêu thụ, sản xuất'!AA33</f>
        <v>4550000</v>
      </c>
      <c r="D28" s="39">
        <f t="shared" si="2"/>
        <v>546000</v>
      </c>
    </row>
    <row r="29" spans="1:4" ht="14.65" thickBot="1" x14ac:dyDescent="0.5">
      <c r="A29" s="36" t="s">
        <v>49</v>
      </c>
      <c r="B29" s="34"/>
      <c r="C29" s="34"/>
      <c r="D29" s="35">
        <f>SUM(D25:D28)</f>
        <v>12350278.430195907</v>
      </c>
    </row>
    <row r="30" spans="1:4" x14ac:dyDescent="0.45">
      <c r="A30" s="61" t="s">
        <v>333</v>
      </c>
      <c r="B30" s="30"/>
      <c r="C30" s="30"/>
      <c r="D30" s="39"/>
    </row>
    <row r="31" spans="1:4" ht="14.65" thickBot="1" x14ac:dyDescent="0.5">
      <c r="A31" s="37" t="s">
        <v>7</v>
      </c>
      <c r="B31" s="30">
        <v>1</v>
      </c>
      <c r="C31" s="30">
        <f>D29</f>
        <v>12350278.430195907</v>
      </c>
      <c r="D31" s="39">
        <f>B31*C31</f>
        <v>12350278.430195907</v>
      </c>
    </row>
    <row r="32" spans="1:4" ht="14.65" thickBot="1" x14ac:dyDescent="0.5">
      <c r="A32" s="36" t="s">
        <v>49</v>
      </c>
      <c r="B32" s="34"/>
      <c r="C32" s="34"/>
      <c r="D32" s="35">
        <f>D31</f>
        <v>12350278.430195907</v>
      </c>
    </row>
    <row r="33" spans="1:6" x14ac:dyDescent="0.45">
      <c r="A33" s="61" t="s">
        <v>338</v>
      </c>
      <c r="B33" s="30"/>
      <c r="C33" s="30"/>
      <c r="D33" s="39"/>
    </row>
    <row r="34" spans="1:6" ht="14.65" thickBot="1" x14ac:dyDescent="0.5">
      <c r="A34" s="38" t="s">
        <v>7</v>
      </c>
      <c r="B34" s="32">
        <v>1</v>
      </c>
      <c r="C34" s="32">
        <f>D29</f>
        <v>12350278.430195907</v>
      </c>
      <c r="D34" s="40">
        <f>B34*C34</f>
        <v>12350278.430195907</v>
      </c>
    </row>
    <row r="35" spans="1:6" ht="14.65" thickBot="1" x14ac:dyDescent="0.5">
      <c r="A35" s="53" t="s">
        <v>49</v>
      </c>
      <c r="B35" s="65"/>
      <c r="C35" s="65"/>
      <c r="D35" s="108">
        <f>D34</f>
        <v>12350278.430195907</v>
      </c>
    </row>
    <row r="37" spans="1:6" ht="14.65" thickBot="1" x14ac:dyDescent="0.5">
      <c r="A37" s="103" t="s">
        <v>335</v>
      </c>
    </row>
    <row r="38" spans="1:6" ht="14.65" thickBot="1" x14ac:dyDescent="0.5">
      <c r="A38" s="36" t="s">
        <v>334</v>
      </c>
      <c r="B38" s="106" t="s">
        <v>336</v>
      </c>
      <c r="C38" s="106" t="s">
        <v>331</v>
      </c>
      <c r="D38" s="63" t="s">
        <v>82</v>
      </c>
    </row>
    <row r="39" spans="1:6" x14ac:dyDescent="0.45">
      <c r="A39" s="61" t="s">
        <v>5</v>
      </c>
      <c r="B39" s="30">
        <v>9.6</v>
      </c>
      <c r="C39" s="30">
        <f>$B$13</f>
        <v>50160</v>
      </c>
      <c r="D39" s="104">
        <f>B39*C39</f>
        <v>481536</v>
      </c>
    </row>
    <row r="40" spans="1:6" x14ac:dyDescent="0.45">
      <c r="A40" s="61" t="s">
        <v>0</v>
      </c>
      <c r="B40" s="30">
        <v>12.5</v>
      </c>
      <c r="C40" s="30">
        <f t="shared" ref="C40:C41" si="3">$B$13</f>
        <v>50160</v>
      </c>
      <c r="D40" s="104">
        <f t="shared" ref="D40:D41" si="4">B40*C40</f>
        <v>627000</v>
      </c>
    </row>
    <row r="41" spans="1:6" ht="14.65" thickBot="1" x14ac:dyDescent="0.5">
      <c r="A41" s="53" t="s">
        <v>337</v>
      </c>
      <c r="B41" s="32">
        <v>12.5</v>
      </c>
      <c r="C41" s="32">
        <f t="shared" si="3"/>
        <v>50160</v>
      </c>
      <c r="D41" s="108">
        <f t="shared" si="4"/>
        <v>627000</v>
      </c>
    </row>
    <row r="43" spans="1:6" ht="14.65" thickBot="1" x14ac:dyDescent="0.5">
      <c r="A43" s="103" t="s">
        <v>339</v>
      </c>
    </row>
    <row r="44" spans="1:6" ht="14.65" thickBot="1" x14ac:dyDescent="0.5">
      <c r="A44" s="36" t="s">
        <v>334</v>
      </c>
      <c r="B44" s="106" t="s">
        <v>124</v>
      </c>
      <c r="C44" s="106" t="s">
        <v>354</v>
      </c>
      <c r="D44" s="106" t="s">
        <v>357</v>
      </c>
      <c r="E44" s="106" t="s">
        <v>358</v>
      </c>
      <c r="F44" s="63" t="s">
        <v>329</v>
      </c>
    </row>
    <row r="45" spans="1:6" x14ac:dyDescent="0.45">
      <c r="A45" s="61" t="s">
        <v>5</v>
      </c>
      <c r="B45" s="110" t="s">
        <v>340</v>
      </c>
      <c r="C45" s="185">
        <f>(D39+D29)*'Dự toán Tiêu thụ, sản xuất'!T40</f>
        <v>3017170190600.8242</v>
      </c>
      <c r="D45" s="184">
        <f>$C$19/SUM($C$45:$C$47)*C45</f>
        <v>582078656822.12842</v>
      </c>
      <c r="E45" s="47">
        <f>'Dự toán Tiêu thụ, sản xuất'!T40</f>
        <v>235132</v>
      </c>
      <c r="F45" s="186">
        <f>D45/E45</f>
        <v>2475539.9385116803</v>
      </c>
    </row>
    <row r="46" spans="1:6" x14ac:dyDescent="0.45">
      <c r="A46" s="61" t="s">
        <v>0</v>
      </c>
      <c r="B46" s="110" t="s">
        <v>340</v>
      </c>
      <c r="C46" s="185">
        <f>(D32+D40)*'Dự toán Tiêu thụ, sản xuất'!T41</f>
        <v>66086468057079.031</v>
      </c>
      <c r="D46" s="184">
        <f t="shared" ref="D46:D47" si="5">$C$19/SUM($C$45:$C$47)*C46</f>
        <v>12749536860936.184</v>
      </c>
      <c r="E46" s="47">
        <f>'Dự toán Tiêu thụ, sản xuất'!T41</f>
        <v>5092475.1605318971</v>
      </c>
      <c r="F46" s="186">
        <f t="shared" ref="F46:F47" si="6">D46/E46</f>
        <v>2503603.1515182736</v>
      </c>
    </row>
    <row r="47" spans="1:6" ht="14.65" thickBot="1" x14ac:dyDescent="0.5">
      <c r="A47" s="53" t="s">
        <v>337</v>
      </c>
      <c r="B47" s="112" t="s">
        <v>340</v>
      </c>
      <c r="C47" s="187">
        <f>(D35+D41)*'Dự toán Tiêu thụ, sản xuất'!T42</f>
        <v>54937929066064.484</v>
      </c>
      <c r="D47" s="188">
        <f t="shared" si="5"/>
        <v>10598737870002.688</v>
      </c>
      <c r="E47" s="89">
        <f>'Dự toán Tiêu thụ, sản xuất'!T42</f>
        <v>4233393.7243908802</v>
      </c>
      <c r="F47" s="99">
        <f t="shared" si="6"/>
        <v>2503603.1515182732</v>
      </c>
    </row>
    <row r="49" spans="1:5" ht="14.65" thickBot="1" x14ac:dyDescent="0.5">
      <c r="A49" s="103" t="s">
        <v>359</v>
      </c>
    </row>
    <row r="50" spans="1:5" ht="14.65" thickBot="1" x14ac:dyDescent="0.5">
      <c r="A50" s="36" t="s">
        <v>334</v>
      </c>
      <c r="B50" s="106" t="s">
        <v>30</v>
      </c>
      <c r="C50" s="106" t="s">
        <v>31</v>
      </c>
      <c r="D50" s="106" t="s">
        <v>33</v>
      </c>
      <c r="E50" s="63" t="s">
        <v>329</v>
      </c>
    </row>
    <row r="51" spans="1:5" x14ac:dyDescent="0.45">
      <c r="A51" s="61" t="s">
        <v>5</v>
      </c>
      <c r="B51" s="184">
        <f>D29</f>
        <v>12350278.430195907</v>
      </c>
      <c r="C51" s="184">
        <f>D39</f>
        <v>481536</v>
      </c>
      <c r="D51" s="185">
        <f>F45</f>
        <v>2475539.9385116803</v>
      </c>
      <c r="E51" s="31">
        <f>SUM(B51:D51)</f>
        <v>15307354.368707588</v>
      </c>
    </row>
    <row r="52" spans="1:5" x14ac:dyDescent="0.45">
      <c r="A52" s="61" t="s">
        <v>0</v>
      </c>
      <c r="B52" s="184">
        <f>D32</f>
        <v>12350278.430195907</v>
      </c>
      <c r="C52" s="184">
        <f t="shared" ref="C52:C53" si="7">D40</f>
        <v>627000</v>
      </c>
      <c r="D52" s="185">
        <f t="shared" ref="D52:D53" si="8">F46</f>
        <v>2503603.1515182736</v>
      </c>
      <c r="E52" s="31">
        <f t="shared" ref="E52:E53" si="9">SUM(B52:D52)</f>
        <v>15480881.581714181</v>
      </c>
    </row>
    <row r="53" spans="1:5" ht="14.65" thickBot="1" x14ac:dyDescent="0.5">
      <c r="A53" s="53" t="s">
        <v>337</v>
      </c>
      <c r="B53" s="188">
        <f>D35</f>
        <v>12350278.430195907</v>
      </c>
      <c r="C53" s="188">
        <f t="shared" si="7"/>
        <v>627000</v>
      </c>
      <c r="D53" s="187">
        <f t="shared" si="8"/>
        <v>2503603.1515182732</v>
      </c>
      <c r="E53" s="33">
        <f t="shared" si="9"/>
        <v>15480881.581714179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34A9-9CDE-46B9-B89A-DD487EEA94CA}">
  <dimension ref="A1:AF51"/>
  <sheetViews>
    <sheetView zoomScale="82" zoomScaleNormal="100" workbookViewId="0">
      <selection activeCell="U21" sqref="U21"/>
    </sheetView>
  </sheetViews>
  <sheetFormatPr defaultRowHeight="14.25" x14ac:dyDescent="0.45"/>
  <cols>
    <col min="1" max="1" width="20.1328125" customWidth="1"/>
    <col min="2" max="2" width="15.3984375" customWidth="1"/>
    <col min="3" max="17" width="14.3984375" hidden="1" customWidth="1"/>
    <col min="18" max="18" width="14.3984375" customWidth="1"/>
    <col min="19" max="19" width="24.46484375" customWidth="1"/>
    <col min="20" max="21" width="14.3984375" customWidth="1"/>
    <col min="22" max="22" width="17.59765625" customWidth="1"/>
    <col min="23" max="23" width="16.73046875" customWidth="1"/>
    <col min="24" max="24" width="16.59765625" customWidth="1"/>
    <col min="25" max="26" width="17.59765625" customWidth="1"/>
    <col min="27" max="27" width="17.59765625" style="75" customWidth="1"/>
    <col min="28" max="32" width="16.1328125" customWidth="1"/>
  </cols>
  <sheetData>
    <row r="1" spans="1:32" ht="14.65" thickBot="1" x14ac:dyDescent="0.5">
      <c r="A1" s="20" t="s">
        <v>328</v>
      </c>
    </row>
    <row r="2" spans="1:32" ht="19.149999999999999" x14ac:dyDescent="0.45">
      <c r="A2" s="136" t="s">
        <v>125</v>
      </c>
      <c r="B2" s="137" t="s">
        <v>138</v>
      </c>
      <c r="C2" s="137" t="str">
        <f>"Q1 /20"</f>
        <v>Q1 /20</v>
      </c>
      <c r="D2" s="137" t="str">
        <f>"Q2 /20"</f>
        <v>Q2 /20</v>
      </c>
      <c r="E2" s="137" t="str">
        <f>"Q3 /20"</f>
        <v>Q3 /20</v>
      </c>
      <c r="F2" s="137" t="str">
        <f>"Q1 /21"</f>
        <v>Q1 /21</v>
      </c>
      <c r="G2" s="137" t="str">
        <f>"Q2 /21"</f>
        <v>Q2 /21</v>
      </c>
      <c r="H2" s="137" t="str">
        <f>"Q3 /21"</f>
        <v>Q3 /21</v>
      </c>
      <c r="I2" s="138" t="str">
        <f>"Q4 /21"</f>
        <v>Q4 /21</v>
      </c>
      <c r="J2" s="137" t="str">
        <f>"Q1 /22"</f>
        <v>Q1 /22</v>
      </c>
      <c r="K2" s="137" t="str">
        <f>"Q2 /22"</f>
        <v>Q2 /22</v>
      </c>
      <c r="L2" s="137" t="str">
        <f>"Q3 /22"</f>
        <v>Q3 /22</v>
      </c>
      <c r="M2" s="138" t="str">
        <f>"Q4 /22"</f>
        <v>Q4 /22</v>
      </c>
      <c r="N2" s="139" t="str">
        <f>"Q1 /23"</f>
        <v>Q1 /23</v>
      </c>
      <c r="O2" s="139" t="str">
        <f>"Q2 /23"</f>
        <v>Q2 /23</v>
      </c>
      <c r="P2" s="139" t="str">
        <f>"Q3 /23"</f>
        <v>Q3 /23</v>
      </c>
      <c r="Q2" s="140" t="str">
        <f>"Q4 /23"</f>
        <v>Q4 /23</v>
      </c>
      <c r="R2" s="137" t="str">
        <f>"Q1 /24"</f>
        <v>Q1 /24</v>
      </c>
      <c r="S2" s="137" t="str">
        <f>"Q2 /24"</f>
        <v>Q2 /24</v>
      </c>
      <c r="T2" s="137" t="str">
        <f>"Q3 /24"</f>
        <v>Q3 /24</v>
      </c>
      <c r="U2" s="138" t="str">
        <f>"Q4 /24"</f>
        <v>Q4 /24</v>
      </c>
      <c r="V2" s="141" t="s">
        <v>289</v>
      </c>
      <c r="W2" s="137" t="str">
        <f>"Q1 /25"</f>
        <v>Q1 /25</v>
      </c>
      <c r="X2" s="137" t="str">
        <f>"Q2 /25"</f>
        <v>Q2 /25</v>
      </c>
      <c r="Y2" s="137" t="str">
        <f>"Q3 /25"</f>
        <v>Q3 /25</v>
      </c>
      <c r="Z2" s="138" t="str">
        <f>"Q4 /25"</f>
        <v>Q4 /25</v>
      </c>
      <c r="AA2" s="141" t="s">
        <v>288</v>
      </c>
      <c r="AB2" s="142">
        <v>2026</v>
      </c>
      <c r="AC2" s="142">
        <v>2027</v>
      </c>
      <c r="AD2" s="142">
        <v>2028</v>
      </c>
      <c r="AE2" s="142">
        <v>2029</v>
      </c>
      <c r="AF2" s="143">
        <v>2030</v>
      </c>
    </row>
    <row r="3" spans="1:32" ht="19.149999999999999" x14ac:dyDescent="0.45">
      <c r="A3" s="144" t="s">
        <v>126</v>
      </c>
      <c r="B3" s="131" t="s">
        <v>127</v>
      </c>
      <c r="C3" s="131"/>
      <c r="D3" s="131"/>
      <c r="E3" s="131"/>
      <c r="F3" s="145">
        <v>855046</v>
      </c>
      <c r="G3" s="145">
        <v>983086</v>
      </c>
      <c r="H3" s="145">
        <v>959447</v>
      </c>
      <c r="I3" s="114">
        <v>1092104</v>
      </c>
      <c r="J3" s="145">
        <v>1340302</v>
      </c>
      <c r="K3" s="145">
        <v>1031121</v>
      </c>
      <c r="L3" s="145">
        <v>1077151</v>
      </c>
      <c r="M3" s="114">
        <v>820740</v>
      </c>
      <c r="N3" s="145">
        <v>869616</v>
      </c>
      <c r="O3" s="145">
        <v>784454</v>
      </c>
      <c r="P3" s="145">
        <v>920987</v>
      </c>
      <c r="Q3" s="114">
        <v>1212796</v>
      </c>
      <c r="R3" s="146">
        <v>956414</v>
      </c>
      <c r="S3" s="146">
        <f>$R$3*(1+S5)</f>
        <v>1004234.7000000001</v>
      </c>
      <c r="T3" s="146">
        <f>$R$3*(1+T5)</f>
        <v>1071183.6800000002</v>
      </c>
      <c r="U3" s="115">
        <f>$R$3*(1+U5)</f>
        <v>1090311.9600000002</v>
      </c>
      <c r="V3" s="116">
        <f>SUM(R3:U3)</f>
        <v>4122144.3400000008</v>
      </c>
      <c r="W3" s="146">
        <f>U3*(1+W5)</f>
        <v>1155730.6776000003</v>
      </c>
      <c r="X3" s="146">
        <f t="shared" ref="X3:Z3" si="0">W3*(1+X5)</f>
        <v>1144173.3708240003</v>
      </c>
      <c r="Y3" s="146">
        <f t="shared" si="0"/>
        <v>1212823.7730734404</v>
      </c>
      <c r="Z3" s="115">
        <f t="shared" si="0"/>
        <v>1394747.3390344563</v>
      </c>
      <c r="AA3" s="117">
        <f>SUM(W3:Z3)</f>
        <v>4907475.1605318971</v>
      </c>
      <c r="AB3" s="145"/>
      <c r="AC3" s="145"/>
      <c r="AD3" s="145"/>
      <c r="AE3" s="145"/>
      <c r="AF3" s="147"/>
    </row>
    <row r="4" spans="1:32" ht="19.149999999999999" x14ac:dyDescent="0.45">
      <c r="A4" s="144"/>
      <c r="B4" s="131" t="s">
        <v>128</v>
      </c>
      <c r="C4" s="148">
        <v>11</v>
      </c>
      <c r="D4" s="148">
        <v>12</v>
      </c>
      <c r="E4" s="148">
        <v>13</v>
      </c>
      <c r="F4" s="149">
        <v>14.96</v>
      </c>
      <c r="G4" s="149">
        <v>17.45</v>
      </c>
      <c r="H4" s="149">
        <v>16.21</v>
      </c>
      <c r="I4" s="118">
        <v>18.7</v>
      </c>
      <c r="J4" s="149">
        <v>18.55</v>
      </c>
      <c r="K4" s="149">
        <v>19.8</v>
      </c>
      <c r="L4" s="149">
        <v>16.52</v>
      </c>
      <c r="M4" s="118">
        <v>15.95</v>
      </c>
      <c r="N4" s="150">
        <v>17.23</v>
      </c>
      <c r="O4" s="150">
        <v>16.309999999999999</v>
      </c>
      <c r="P4" s="150">
        <v>14.92</v>
      </c>
      <c r="Q4" s="119">
        <v>14.81</v>
      </c>
      <c r="R4" s="151">
        <v>15.74</v>
      </c>
      <c r="S4" s="151">
        <v>15.4</v>
      </c>
      <c r="T4" s="146">
        <v>15.1</v>
      </c>
      <c r="U4" s="115">
        <v>14.9</v>
      </c>
      <c r="V4" s="117">
        <f t="shared" ref="V4:V31" si="1">AVERAGE(R4:U4)</f>
        <v>15.285</v>
      </c>
      <c r="W4" s="146">
        <f>U4*(1+W6)</f>
        <v>15.984719999999999</v>
      </c>
      <c r="X4" s="146">
        <f t="shared" ref="X4:Z4" si="2">W4*(1+X6)</f>
        <v>15.462019656000001</v>
      </c>
      <c r="Y4" s="146">
        <f t="shared" si="2"/>
        <v>17.47208221128</v>
      </c>
      <c r="Z4" s="115">
        <f t="shared" si="2"/>
        <v>18.869848788182402</v>
      </c>
      <c r="AA4" s="117">
        <f t="shared" ref="AA4:AA31" si="3">AVERAGE(W4:Z4)</f>
        <v>16.947167663865599</v>
      </c>
      <c r="AB4" s="152"/>
      <c r="AC4" s="152"/>
      <c r="AD4" s="152"/>
      <c r="AE4" s="152"/>
      <c r="AF4" s="153"/>
    </row>
    <row r="5" spans="1:32" ht="19.149999999999999" x14ac:dyDescent="0.45">
      <c r="A5" s="144"/>
      <c r="B5" s="131" t="s">
        <v>129</v>
      </c>
      <c r="C5" s="131"/>
      <c r="D5" s="131"/>
      <c r="E5" s="131"/>
      <c r="F5" s="154"/>
      <c r="G5" s="155">
        <f>(G3-F3)/F3</f>
        <v>0.14974632943724664</v>
      </c>
      <c r="H5" s="155">
        <f>(H3-$F$3)/$F$3</f>
        <v>0.1220998636330677</v>
      </c>
      <c r="I5" s="120">
        <f>(I3-$F$3)/$F$3</f>
        <v>0.27724590255962839</v>
      </c>
      <c r="J5" s="155">
        <f>J3/I3-1</f>
        <v>0.22726590141598235</v>
      </c>
      <c r="K5" s="155">
        <f>(K3-$J$3)/$J$3</f>
        <v>-0.23068010045497209</v>
      </c>
      <c r="L5" s="155">
        <f>(L3-$J$3)/$J$3</f>
        <v>-0.19633709417728243</v>
      </c>
      <c r="M5" s="120">
        <f>(M3-$J$3)/$J$3</f>
        <v>-0.38764547094610019</v>
      </c>
      <c r="N5" s="155">
        <f>N3/M3-1</f>
        <v>5.9551136779004255E-2</v>
      </c>
      <c r="O5" s="155">
        <f>(O3-$N$3)/$N$3</f>
        <v>-9.7930580854078117E-2</v>
      </c>
      <c r="P5" s="155">
        <f>(P3-$N$3)/$N$3</f>
        <v>5.907320012511269E-2</v>
      </c>
      <c r="Q5" s="120">
        <f>(Q3-$N$3)/$N$3</f>
        <v>0.39463395337712276</v>
      </c>
      <c r="R5" s="134">
        <f>R3/Q3-1</f>
        <v>-0.21139746503121715</v>
      </c>
      <c r="S5" s="134">
        <v>0.05</v>
      </c>
      <c r="T5" s="134">
        <v>0.12</v>
      </c>
      <c r="U5" s="121">
        <v>0.14000000000000001</v>
      </c>
      <c r="V5" s="122">
        <f t="shared" si="1"/>
        <v>2.4650633742195713E-2</v>
      </c>
      <c r="W5" s="156">
        <v>0.06</v>
      </c>
      <c r="X5" s="156">
        <v>-0.01</v>
      </c>
      <c r="Y5" s="156">
        <v>0.06</v>
      </c>
      <c r="Z5" s="123">
        <v>0.15</v>
      </c>
      <c r="AA5" s="124">
        <f t="shared" si="3"/>
        <v>6.5000000000000002E-2</v>
      </c>
      <c r="AB5" s="154"/>
      <c r="AC5" s="154"/>
      <c r="AD5" s="154"/>
      <c r="AE5" s="154"/>
      <c r="AF5" s="157"/>
    </row>
    <row r="6" spans="1:32" ht="19.149999999999999" x14ac:dyDescent="0.45">
      <c r="A6" s="144"/>
      <c r="B6" s="132" t="s">
        <v>130</v>
      </c>
      <c r="C6" s="132"/>
      <c r="D6" s="158">
        <f>(D4-C4)/C4</f>
        <v>9.0909090909090912E-2</v>
      </c>
      <c r="E6" s="158">
        <f>(E4-D4)/D4</f>
        <v>8.3333333333333329E-2</v>
      </c>
      <c r="F6" s="158"/>
      <c r="G6" s="158">
        <f>(G4-F4)/F4</f>
        <v>0.16644385026737957</v>
      </c>
      <c r="H6" s="158">
        <f t="shared" ref="H6:S6" si="4">(H4-G4)/G4</f>
        <v>-7.1060171919770682E-2</v>
      </c>
      <c r="I6" s="125">
        <f t="shared" si="4"/>
        <v>0.15360888340530526</v>
      </c>
      <c r="J6" s="158">
        <f t="shared" si="4"/>
        <v>-8.0213903743314753E-3</v>
      </c>
      <c r="K6" s="158">
        <f t="shared" si="4"/>
        <v>6.7385444743935305E-2</v>
      </c>
      <c r="L6" s="158">
        <f t="shared" si="4"/>
        <v>-0.1656565656565657</v>
      </c>
      <c r="M6" s="125">
        <f t="shared" si="4"/>
        <v>-3.45036319612591E-2</v>
      </c>
      <c r="N6" s="158">
        <f t="shared" si="4"/>
        <v>8.0250783699059636E-2</v>
      </c>
      <c r="O6" s="158">
        <f t="shared" si="4"/>
        <v>-5.3395240858967019E-2</v>
      </c>
      <c r="P6" s="158">
        <f t="shared" si="4"/>
        <v>-8.5223789086449966E-2</v>
      </c>
      <c r="Q6" s="125">
        <f t="shared" si="4"/>
        <v>-7.3726541554959401E-3</v>
      </c>
      <c r="R6" s="134">
        <f t="shared" si="4"/>
        <v>6.2795408507765008E-2</v>
      </c>
      <c r="S6" s="134">
        <f t="shared" si="4"/>
        <v>-2.1601016518424387E-2</v>
      </c>
      <c r="T6" s="134">
        <v>0.1</v>
      </c>
      <c r="U6" s="121">
        <v>0.05</v>
      </c>
      <c r="V6" s="122">
        <f t="shared" si="1"/>
        <v>4.7798597997335157E-2</v>
      </c>
      <c r="W6" s="134">
        <v>7.2800000000000004E-2</v>
      </c>
      <c r="X6" s="134">
        <v>-3.27E-2</v>
      </c>
      <c r="Y6" s="134">
        <v>0.13</v>
      </c>
      <c r="Z6" s="121">
        <v>0.08</v>
      </c>
      <c r="AA6" s="122">
        <f t="shared" si="3"/>
        <v>6.2524999999999997E-2</v>
      </c>
      <c r="AB6" s="155"/>
      <c r="AC6" s="155"/>
      <c r="AD6" s="155"/>
      <c r="AE6" s="155"/>
      <c r="AF6" s="159"/>
    </row>
    <row r="7" spans="1:32" ht="19.149999999999999" x14ac:dyDescent="0.45">
      <c r="A7" s="144"/>
      <c r="B7" s="132" t="s">
        <v>326</v>
      </c>
      <c r="C7" s="132"/>
      <c r="D7" s="158"/>
      <c r="E7" s="158"/>
      <c r="F7" s="158"/>
      <c r="G7" s="158"/>
      <c r="H7" s="158"/>
      <c r="I7" s="125"/>
      <c r="J7" s="158"/>
      <c r="K7" s="158"/>
      <c r="L7" s="158"/>
      <c r="M7" s="125"/>
      <c r="N7" s="158"/>
      <c r="O7" s="158"/>
      <c r="P7" s="158"/>
      <c r="Q7" s="125"/>
      <c r="R7" s="160">
        <f>R3*R4</f>
        <v>15053956.359999999</v>
      </c>
      <c r="S7" s="160">
        <f t="shared" ref="S7:Z7" si="5">S3*S4</f>
        <v>15465214.380000001</v>
      </c>
      <c r="T7" s="160">
        <f t="shared" si="5"/>
        <v>16174873.568000002</v>
      </c>
      <c r="U7" s="126">
        <f t="shared" si="5"/>
        <v>16245648.204000004</v>
      </c>
      <c r="V7" s="127">
        <f>SUM(R7:U7)</f>
        <v>62939692.512000009</v>
      </c>
      <c r="W7" s="160">
        <f t="shared" si="5"/>
        <v>18474031.276846275</v>
      </c>
      <c r="X7" s="160">
        <f t="shared" si="5"/>
        <v>17691231.149552472</v>
      </c>
      <c r="Y7" s="160">
        <f t="shared" si="5"/>
        <v>21190556.670933951</v>
      </c>
      <c r="Z7" s="126">
        <f t="shared" si="5"/>
        <v>26318671.385299966</v>
      </c>
      <c r="AA7" s="127">
        <f>SUM(W7:Z7)</f>
        <v>83674490.482632667</v>
      </c>
      <c r="AB7" s="155"/>
      <c r="AC7" s="155"/>
      <c r="AD7" s="155"/>
      <c r="AE7" s="155"/>
      <c r="AF7" s="159"/>
    </row>
    <row r="8" spans="1:32" ht="19.149999999999999" x14ac:dyDescent="0.45">
      <c r="A8" s="144" t="s">
        <v>131</v>
      </c>
      <c r="B8" s="131" t="s">
        <v>127</v>
      </c>
      <c r="C8" s="131"/>
      <c r="D8" s="131"/>
      <c r="E8" s="131"/>
      <c r="F8" s="145">
        <v>184012</v>
      </c>
      <c r="G8" s="145">
        <v>191237</v>
      </c>
      <c r="H8" s="145">
        <v>122667</v>
      </c>
      <c r="I8" s="114">
        <v>177448</v>
      </c>
      <c r="J8" s="145">
        <v>217815</v>
      </c>
      <c r="K8" s="145">
        <v>159156</v>
      </c>
      <c r="L8" s="145">
        <v>200092</v>
      </c>
      <c r="M8" s="114">
        <v>172234</v>
      </c>
      <c r="N8" s="145">
        <v>160053</v>
      </c>
      <c r="O8" s="145">
        <v>164984</v>
      </c>
      <c r="P8" s="145">
        <v>162648</v>
      </c>
      <c r="Q8" s="114">
        <v>195995</v>
      </c>
      <c r="R8" s="146">
        <v>129682</v>
      </c>
      <c r="S8" s="146">
        <f>$R$8*(1+S10)</f>
        <v>181554.8</v>
      </c>
      <c r="T8" s="146">
        <f>$R$8*(1+T10)</f>
        <v>181554.8</v>
      </c>
      <c r="U8" s="115">
        <f>$R$8*(1+U10)</f>
        <v>194523</v>
      </c>
      <c r="V8" s="116">
        <f>SUM(R8:U8)</f>
        <v>687314.6</v>
      </c>
      <c r="W8" s="146">
        <f>U8*(1+W10)</f>
        <v>223701.44999999998</v>
      </c>
      <c r="X8" s="146">
        <f t="shared" ref="X8:Z8" si="6">W8*(1+X10)</f>
        <v>250545.62400000001</v>
      </c>
      <c r="Y8" s="146">
        <f t="shared" si="6"/>
        <v>263072.90520000004</v>
      </c>
      <c r="Z8" s="115">
        <f t="shared" si="6"/>
        <v>302533.84098000004</v>
      </c>
      <c r="AA8" s="117">
        <f>SUM(W8:Z8)</f>
        <v>1039853.82018</v>
      </c>
      <c r="AB8" s="146"/>
      <c r="AC8" s="146"/>
      <c r="AD8" s="146"/>
      <c r="AE8" s="146"/>
      <c r="AF8" s="161"/>
    </row>
    <row r="9" spans="1:32" ht="19.149999999999999" x14ac:dyDescent="0.45">
      <c r="A9" s="144"/>
      <c r="B9" s="131" t="s">
        <v>128</v>
      </c>
      <c r="C9" s="131"/>
      <c r="D9" s="131"/>
      <c r="E9" s="131"/>
      <c r="F9" s="146">
        <v>19.5</v>
      </c>
      <c r="G9" s="131">
        <v>24.1</v>
      </c>
      <c r="H9" s="146">
        <v>26.6</v>
      </c>
      <c r="I9" s="115">
        <v>26.9</v>
      </c>
      <c r="J9" s="146">
        <v>25.2</v>
      </c>
      <c r="K9" s="146">
        <v>26.8</v>
      </c>
      <c r="L9" s="146">
        <v>22.5</v>
      </c>
      <c r="M9" s="128">
        <v>21.1</v>
      </c>
      <c r="N9" s="146">
        <v>21.6</v>
      </c>
      <c r="O9" s="146">
        <v>20.7</v>
      </c>
      <c r="P9" s="146">
        <v>19.899999999999999</v>
      </c>
      <c r="Q9" s="115">
        <v>18.2</v>
      </c>
      <c r="R9" s="146">
        <v>19.100000000000001</v>
      </c>
      <c r="S9" s="146">
        <v>19.100000000000001</v>
      </c>
      <c r="T9" s="146">
        <f>S9*(1+T11)</f>
        <v>19.386499999999998</v>
      </c>
      <c r="U9" s="115">
        <f>T9*(1+U11)</f>
        <v>19.871162499999997</v>
      </c>
      <c r="V9" s="117">
        <f t="shared" si="1"/>
        <v>19.364415624999999</v>
      </c>
      <c r="W9" s="146">
        <f>U9*(1+W11)</f>
        <v>20.864720624999997</v>
      </c>
      <c r="X9" s="146">
        <f t="shared" ref="X9:Z9" si="7">W9*(1+X11)</f>
        <v>20.656073418749997</v>
      </c>
      <c r="Y9" s="146">
        <f t="shared" si="7"/>
        <v>21.069194887124997</v>
      </c>
      <c r="Z9" s="115">
        <f t="shared" si="7"/>
        <v>21.701270733738749</v>
      </c>
      <c r="AA9" s="117">
        <f t="shared" si="3"/>
        <v>21.072814916153437</v>
      </c>
      <c r="AB9" s="146"/>
      <c r="AC9" s="146"/>
      <c r="AD9" s="146"/>
      <c r="AE9" s="146"/>
      <c r="AF9" s="161"/>
    </row>
    <row r="10" spans="1:32" ht="19.149999999999999" x14ac:dyDescent="0.45">
      <c r="A10" s="144"/>
      <c r="B10" s="131" t="s">
        <v>129</v>
      </c>
      <c r="C10" s="131"/>
      <c r="D10" s="131"/>
      <c r="E10" s="131"/>
      <c r="F10" s="131"/>
      <c r="G10" s="154">
        <f>(G8-$F$8)/$F$8</f>
        <v>3.9263743668891161E-2</v>
      </c>
      <c r="H10" s="154">
        <f>(H8-$F$8)/$F$8</f>
        <v>-0.33337499728278591</v>
      </c>
      <c r="I10" s="129">
        <f>(I8-$F$8)/$F$8</f>
        <v>-3.5671586635654194E-2</v>
      </c>
      <c r="J10" s="154">
        <f>(J8-I8)/I8</f>
        <v>0.22748636220188451</v>
      </c>
      <c r="K10" s="154">
        <f>(K8-$J$8)/$J$8</f>
        <v>-0.2693065215894222</v>
      </c>
      <c r="L10" s="154">
        <f>(L8-$J$8)/$J$8</f>
        <v>-8.1367215297385401E-2</v>
      </c>
      <c r="M10" s="129">
        <f>(M8-$J$8)/$J$8</f>
        <v>-0.20926474301586209</v>
      </c>
      <c r="N10" s="154">
        <f>(N8-M8)/M8</f>
        <v>-7.0723550518480671E-2</v>
      </c>
      <c r="O10" s="154">
        <f>(O8-$N$8)/$N$8</f>
        <v>3.0808544669578202E-2</v>
      </c>
      <c r="P10" s="154">
        <f>(P8-$N$8)/$N$8</f>
        <v>1.6213379318100879E-2</v>
      </c>
      <c r="Q10" s="129">
        <f>(Q8-$N$8)/$N$8</f>
        <v>0.22456311346866351</v>
      </c>
      <c r="R10" s="156">
        <f>(R8-N8)/N8</f>
        <v>-0.18975589336032439</v>
      </c>
      <c r="S10" s="156">
        <v>0.4</v>
      </c>
      <c r="T10" s="156">
        <v>0.4</v>
      </c>
      <c r="U10" s="123">
        <v>0.5</v>
      </c>
      <c r="V10" s="124">
        <f t="shared" si="1"/>
        <v>0.27756102665991889</v>
      </c>
      <c r="W10" s="156">
        <v>0.15</v>
      </c>
      <c r="X10" s="156">
        <v>0.12</v>
      </c>
      <c r="Y10" s="156">
        <v>0.05</v>
      </c>
      <c r="Z10" s="123">
        <v>0.15</v>
      </c>
      <c r="AA10" s="124">
        <f t="shared" si="3"/>
        <v>0.11749999999999999</v>
      </c>
      <c r="AB10" s="162"/>
      <c r="AC10" s="162"/>
      <c r="AD10" s="162"/>
      <c r="AE10" s="162"/>
      <c r="AF10" s="163"/>
    </row>
    <row r="11" spans="1:32" ht="19.149999999999999" x14ac:dyDescent="0.45">
      <c r="A11" s="144"/>
      <c r="B11" s="132" t="s">
        <v>130</v>
      </c>
      <c r="C11" s="132"/>
      <c r="D11" s="132"/>
      <c r="E11" s="132"/>
      <c r="F11" s="132"/>
      <c r="G11" s="158">
        <f>(G9-F9)/F9</f>
        <v>0.23589743589743598</v>
      </c>
      <c r="H11" s="158">
        <f>(H9-G9)/G9</f>
        <v>0.10373443983402489</v>
      </c>
      <c r="I11" s="125">
        <f>(I9-H9)/H9</f>
        <v>1.1278195488721696E-2</v>
      </c>
      <c r="J11" s="158">
        <f>(J9-I9)/I9</f>
        <v>-6.3197026022304814E-2</v>
      </c>
      <c r="K11" s="158">
        <f>(K9-J9)/J9</f>
        <v>6.3492063492063544E-2</v>
      </c>
      <c r="L11" s="158">
        <f>(L9-K9)/K9</f>
        <v>-0.16044776119402987</v>
      </c>
      <c r="M11" s="125">
        <f>(M9-L9)/L9</f>
        <v>-6.2222222222222158E-2</v>
      </c>
      <c r="N11" s="158">
        <f>(N9-M9)/M9</f>
        <v>2.3696682464454975E-2</v>
      </c>
      <c r="O11" s="158">
        <f>(O9-N9)/N9</f>
        <v>-4.1666666666666761E-2</v>
      </c>
      <c r="P11" s="158">
        <f>(P9-O9)/O9</f>
        <v>-3.8647342995169115E-2</v>
      </c>
      <c r="Q11" s="125">
        <f>(Q9-P9)/P9</f>
        <v>-8.5427135678391927E-2</v>
      </c>
      <c r="R11" s="134">
        <f>(R9-Q9)/Q9</f>
        <v>4.9450549450549566E-2</v>
      </c>
      <c r="S11" s="134">
        <f>(S9-R9)/R9</f>
        <v>0</v>
      </c>
      <c r="T11" s="134">
        <v>1.4999999999999999E-2</v>
      </c>
      <c r="U11" s="121">
        <v>2.5000000000000001E-2</v>
      </c>
      <c r="V11" s="122">
        <f t="shared" si="1"/>
        <v>2.236263736263739E-2</v>
      </c>
      <c r="W11" s="134">
        <v>0.05</v>
      </c>
      <c r="X11" s="134">
        <v>-0.01</v>
      </c>
      <c r="Y11" s="134">
        <v>0.02</v>
      </c>
      <c r="Z11" s="121">
        <v>0.03</v>
      </c>
      <c r="AA11" s="122">
        <f t="shared" si="3"/>
        <v>2.2499999999999999E-2</v>
      </c>
      <c r="AB11" s="158"/>
      <c r="AC11" s="158"/>
      <c r="AD11" s="158"/>
      <c r="AE11" s="158"/>
      <c r="AF11" s="164"/>
    </row>
    <row r="12" spans="1:32" ht="19.149999999999999" x14ac:dyDescent="0.45">
      <c r="A12" s="144"/>
      <c r="B12" s="132" t="s">
        <v>326</v>
      </c>
      <c r="C12" s="132"/>
      <c r="D12" s="132"/>
      <c r="E12" s="132"/>
      <c r="F12" s="132"/>
      <c r="G12" s="158"/>
      <c r="H12" s="158"/>
      <c r="I12" s="125"/>
      <c r="J12" s="158"/>
      <c r="K12" s="158"/>
      <c r="L12" s="158"/>
      <c r="M12" s="125"/>
      <c r="N12" s="158"/>
      <c r="O12" s="158"/>
      <c r="P12" s="158"/>
      <c r="Q12" s="125"/>
      <c r="R12" s="165">
        <f>R8*R9</f>
        <v>2476926.2000000002</v>
      </c>
      <c r="S12" s="165">
        <f t="shared" ref="S12:Z12" si="8">S8*S9</f>
        <v>3467696.68</v>
      </c>
      <c r="T12" s="165">
        <f t="shared" si="8"/>
        <v>3519712.1301999995</v>
      </c>
      <c r="U12" s="130">
        <f t="shared" si="8"/>
        <v>3865398.1429874995</v>
      </c>
      <c r="V12" s="127">
        <f>SUM(R12:U12)</f>
        <v>13329733.1531875</v>
      </c>
      <c r="W12" s="165">
        <f t="shared" si="8"/>
        <v>4667468.257657405</v>
      </c>
      <c r="X12" s="165">
        <f t="shared" si="8"/>
        <v>5175288.8040905315</v>
      </c>
      <c r="Y12" s="165">
        <f t="shared" si="8"/>
        <v>5542734.3091809601</v>
      </c>
      <c r="Z12" s="130">
        <f t="shared" si="8"/>
        <v>6565368.7892248472</v>
      </c>
      <c r="AA12" s="127">
        <f>SUM(W12:Z12)</f>
        <v>21950860.160153743</v>
      </c>
      <c r="AB12" s="158"/>
      <c r="AC12" s="158"/>
      <c r="AD12" s="158"/>
      <c r="AE12" s="158"/>
      <c r="AF12" s="164"/>
    </row>
    <row r="13" spans="1:32" ht="19.149999999999999" x14ac:dyDescent="0.45">
      <c r="A13" s="144" t="s">
        <v>4</v>
      </c>
      <c r="B13" s="131" t="s">
        <v>127</v>
      </c>
      <c r="C13" s="131"/>
      <c r="D13" s="131"/>
      <c r="E13" s="131"/>
      <c r="F13" s="145">
        <v>665272</v>
      </c>
      <c r="G13" s="145">
        <v>667572</v>
      </c>
      <c r="H13" s="145">
        <v>608294</v>
      </c>
      <c r="I13" s="114">
        <v>629281</v>
      </c>
      <c r="J13" s="145">
        <v>762695</v>
      </c>
      <c r="K13" s="145">
        <v>662311</v>
      </c>
      <c r="L13" s="145">
        <v>611634</v>
      </c>
      <c r="M13" s="114">
        <v>593244</v>
      </c>
      <c r="N13" s="131">
        <v>482</v>
      </c>
      <c r="O13" s="131">
        <v>734</v>
      </c>
      <c r="P13" s="131">
        <v>766</v>
      </c>
      <c r="Q13" s="128">
        <v>801</v>
      </c>
      <c r="R13" s="146">
        <v>810000</v>
      </c>
      <c r="S13" s="146">
        <f t="shared" ref="S13:T14" si="9">R13*(S15+1)</f>
        <v>826200</v>
      </c>
      <c r="T13" s="146">
        <f t="shared" si="9"/>
        <v>842724</v>
      </c>
      <c r="U13" s="115">
        <f t="shared" ref="U13:U14" si="10">T13*(U15+1)</f>
        <v>876432.96000000008</v>
      </c>
      <c r="V13" s="116">
        <f>SUM(R13:U13)</f>
        <v>3355356.96</v>
      </c>
      <c r="W13" s="166">
        <f t="shared" ref="W13:W14" si="11">U13*(W15+1)</f>
        <v>920254.60800000012</v>
      </c>
      <c r="X13" s="166">
        <f t="shared" ref="X13:X14" si="12">W13*(X15+1)</f>
        <v>938659.70016000012</v>
      </c>
      <c r="Y13" s="146">
        <f t="shared" ref="Y13:Y14" si="13">X13*(Y15+1)</f>
        <v>1079458.655184</v>
      </c>
      <c r="Z13" s="115">
        <f t="shared" ref="Z13:Z14" si="14">Y13*(Z15+1)</f>
        <v>1155020.7610468802</v>
      </c>
      <c r="AA13" s="116">
        <f>SUM(W13:Z13)</f>
        <v>4093393.7243908802</v>
      </c>
      <c r="AB13" s="167"/>
      <c r="AC13" s="167"/>
      <c r="AD13" s="167"/>
      <c r="AE13" s="167"/>
      <c r="AF13" s="168"/>
    </row>
    <row r="14" spans="1:32" ht="19.149999999999999" x14ac:dyDescent="0.45">
      <c r="A14" s="144"/>
      <c r="B14" s="131" t="s">
        <v>128</v>
      </c>
      <c r="C14" s="131"/>
      <c r="D14" s="131"/>
      <c r="E14" s="131"/>
      <c r="F14" s="146">
        <v>17.78</v>
      </c>
      <c r="G14" s="146">
        <v>25.63</v>
      </c>
      <c r="H14" s="131">
        <v>23.85</v>
      </c>
      <c r="I14" s="128">
        <v>22.14</v>
      </c>
      <c r="J14" s="131">
        <v>17.920000000000002</v>
      </c>
      <c r="K14" s="131">
        <v>17.09</v>
      </c>
      <c r="L14" s="131">
        <v>14.31</v>
      </c>
      <c r="M14" s="128">
        <v>13.54</v>
      </c>
      <c r="N14" s="131">
        <v>14.68</v>
      </c>
      <c r="O14" s="131">
        <v>13.45</v>
      </c>
      <c r="P14" s="131">
        <v>12.71</v>
      </c>
      <c r="Q14" s="128">
        <v>13.41</v>
      </c>
      <c r="R14" s="146">
        <v>13.83</v>
      </c>
      <c r="S14" s="146">
        <f t="shared" si="9"/>
        <v>13.691699999999999</v>
      </c>
      <c r="T14" s="146">
        <f t="shared" si="9"/>
        <v>15.06087</v>
      </c>
      <c r="U14" s="115">
        <f t="shared" si="10"/>
        <v>15.8139135</v>
      </c>
      <c r="V14" s="117">
        <f t="shared" si="1"/>
        <v>14.599120874999999</v>
      </c>
      <c r="W14" s="146">
        <f t="shared" si="11"/>
        <v>16.920887445000002</v>
      </c>
      <c r="X14" s="146">
        <f t="shared" si="12"/>
        <v>17.090096319450002</v>
      </c>
      <c r="Y14" s="146">
        <f t="shared" si="13"/>
        <v>19.6536107673675</v>
      </c>
      <c r="Z14" s="115">
        <f t="shared" si="14"/>
        <v>20.439755198062201</v>
      </c>
      <c r="AA14" s="117">
        <f t="shared" si="3"/>
        <v>18.526087432469925</v>
      </c>
      <c r="AB14" s="169"/>
      <c r="AC14" s="169"/>
      <c r="AD14" s="169"/>
      <c r="AE14" s="169"/>
      <c r="AF14" s="170"/>
    </row>
    <row r="15" spans="1:32" ht="19.149999999999999" x14ac:dyDescent="0.45">
      <c r="A15" s="144"/>
      <c r="B15" s="131" t="s">
        <v>129</v>
      </c>
      <c r="C15" s="131"/>
      <c r="D15" s="131"/>
      <c r="E15" s="131"/>
      <c r="F15" s="154"/>
      <c r="G15" s="154">
        <f t="shared" ref="G15" si="15">(G13-F13)/F13</f>
        <v>3.4572325304537094E-3</v>
      </c>
      <c r="H15" s="154">
        <f t="shared" ref="H15" si="16">(H13-G13)/G13</f>
        <v>-8.8796414469150889E-2</v>
      </c>
      <c r="I15" s="129">
        <f t="shared" ref="I15" si="17">(I13-H13)/H13</f>
        <v>3.4501408858216585E-2</v>
      </c>
      <c r="J15" s="154">
        <f t="shared" ref="J15" si="18">(J13-I13)/I13</f>
        <v>0.21201021483248342</v>
      </c>
      <c r="K15" s="154">
        <f t="shared" ref="K15" si="19">(K13-J13)/J13</f>
        <v>-0.13161748798667883</v>
      </c>
      <c r="L15" s="154">
        <f t="shared" ref="L15" si="20">(L13-K13)/K13</f>
        <v>-7.6515413453800404E-2</v>
      </c>
      <c r="M15" s="129">
        <f t="shared" ref="M15" si="21">(M13-L13)/L13</f>
        <v>-3.0067000853451573E-2</v>
      </c>
      <c r="N15" s="154">
        <f t="shared" ref="N15" si="22">(N13-M13)/M13</f>
        <v>-0.99918751812070583</v>
      </c>
      <c r="O15" s="154">
        <f t="shared" ref="O15" si="23">(O13-N13)/N13</f>
        <v>0.52282157676348551</v>
      </c>
      <c r="P15" s="154">
        <f t="shared" ref="P15" si="24">(P13-O13)/O13</f>
        <v>4.3596730245231606E-2</v>
      </c>
      <c r="Q15" s="129">
        <f t="shared" ref="O15:Q16" si="25">(Q13-P13)/P13</f>
        <v>4.5691906005221931E-2</v>
      </c>
      <c r="R15" s="156">
        <f>(R13-Q13)/Q13</f>
        <v>1010.2359550561798</v>
      </c>
      <c r="S15" s="156">
        <v>0.02</v>
      </c>
      <c r="T15" s="156">
        <v>0.02</v>
      </c>
      <c r="U15" s="123">
        <v>0.04</v>
      </c>
      <c r="V15" s="124">
        <f t="shared" si="1"/>
        <v>252.57898876404494</v>
      </c>
      <c r="W15" s="156">
        <v>0.05</v>
      </c>
      <c r="X15" s="156">
        <v>0.02</v>
      </c>
      <c r="Y15" s="156">
        <v>0.15</v>
      </c>
      <c r="Z15" s="123">
        <v>7.0000000000000007E-2</v>
      </c>
      <c r="AA15" s="124">
        <f t="shared" si="3"/>
        <v>7.2500000000000009E-2</v>
      </c>
      <c r="AB15" s="154"/>
      <c r="AC15" s="154"/>
      <c r="AD15" s="154"/>
      <c r="AE15" s="154"/>
      <c r="AF15" s="157"/>
    </row>
    <row r="16" spans="1:32" ht="19.149999999999999" x14ac:dyDescent="0.45">
      <c r="A16" s="144"/>
      <c r="B16" s="132" t="s">
        <v>130</v>
      </c>
      <c r="C16" s="132"/>
      <c r="D16" s="132"/>
      <c r="E16" s="132"/>
      <c r="F16" s="132"/>
      <c r="G16" s="158">
        <f t="shared" ref="G16:N16" si="26">(G14-F14)/F14</f>
        <v>0.44150731158605161</v>
      </c>
      <c r="H16" s="158">
        <f t="shared" si="26"/>
        <v>-6.9449863441279652E-2</v>
      </c>
      <c r="I16" s="125">
        <f t="shared" si="26"/>
        <v>-7.1698113207547196E-2</v>
      </c>
      <c r="J16" s="158">
        <f t="shared" si="26"/>
        <v>-0.19060523938572713</v>
      </c>
      <c r="K16" s="158">
        <f t="shared" si="26"/>
        <v>-4.6316964285714385E-2</v>
      </c>
      <c r="L16" s="158">
        <f t="shared" si="26"/>
        <v>-0.16266822703335279</v>
      </c>
      <c r="M16" s="125">
        <f t="shared" si="26"/>
        <v>-5.3808525506638803E-2</v>
      </c>
      <c r="N16" s="158">
        <f t="shared" si="26"/>
        <v>8.419497784342693E-2</v>
      </c>
      <c r="O16" s="158">
        <f t="shared" si="25"/>
        <v>-8.3787465940054526E-2</v>
      </c>
      <c r="P16" s="158">
        <f t="shared" si="25"/>
        <v>-5.501858736059468E-2</v>
      </c>
      <c r="Q16" s="125">
        <f t="shared" si="25"/>
        <v>5.5074744295829994E-2</v>
      </c>
      <c r="R16" s="134">
        <v>0.05</v>
      </c>
      <c r="S16" s="134">
        <v>-0.01</v>
      </c>
      <c r="T16" s="134">
        <v>0.1</v>
      </c>
      <c r="U16" s="121">
        <v>0.05</v>
      </c>
      <c r="V16" s="122">
        <f t="shared" si="1"/>
        <v>4.7500000000000001E-2</v>
      </c>
      <c r="W16" s="134">
        <v>7.0000000000000007E-2</v>
      </c>
      <c r="X16" s="134">
        <v>0.01</v>
      </c>
      <c r="Y16" s="134">
        <v>0.15</v>
      </c>
      <c r="Z16" s="121">
        <v>0.04</v>
      </c>
      <c r="AA16" s="122">
        <f t="shared" si="3"/>
        <v>6.7499999999999991E-2</v>
      </c>
      <c r="AB16" s="155"/>
      <c r="AC16" s="155"/>
      <c r="AD16" s="155"/>
      <c r="AE16" s="155"/>
      <c r="AF16" s="159"/>
    </row>
    <row r="17" spans="1:32" ht="19.149999999999999" x14ac:dyDescent="0.45">
      <c r="A17" s="144"/>
      <c r="B17" s="132" t="s">
        <v>326</v>
      </c>
      <c r="C17" s="132"/>
      <c r="D17" s="132"/>
      <c r="E17" s="132"/>
      <c r="F17" s="132"/>
      <c r="G17" s="158"/>
      <c r="H17" s="158"/>
      <c r="I17" s="125"/>
      <c r="J17" s="158"/>
      <c r="K17" s="158"/>
      <c r="L17" s="158"/>
      <c r="M17" s="125"/>
      <c r="N17" s="158"/>
      <c r="O17" s="158"/>
      <c r="P17" s="158"/>
      <c r="Q17" s="125"/>
      <c r="R17" s="165">
        <f>R13*R14</f>
        <v>11202300</v>
      </c>
      <c r="S17" s="165">
        <f t="shared" ref="S17:Z17" si="27">S13*S14</f>
        <v>11312082.539999999</v>
      </c>
      <c r="T17" s="165">
        <f t="shared" si="27"/>
        <v>12692156.60988</v>
      </c>
      <c r="U17" s="130">
        <f t="shared" si="27"/>
        <v>13859835.017988961</v>
      </c>
      <c r="V17" s="127">
        <f>SUM(R17:U17)</f>
        <v>49066374.167868957</v>
      </c>
      <c r="W17" s="165">
        <f t="shared" si="27"/>
        <v>15571524.6427106</v>
      </c>
      <c r="X17" s="165">
        <f t="shared" si="27"/>
        <v>16041784.68692046</v>
      </c>
      <c r="Y17" s="165">
        <f t="shared" si="27"/>
        <v>21215260.248452306</v>
      </c>
      <c r="Z17" s="130">
        <f t="shared" si="27"/>
        <v>23608341.60447773</v>
      </c>
      <c r="AA17" s="127">
        <f>SUM(W17:Z17)</f>
        <v>76436911.1825611</v>
      </c>
      <c r="AB17" s="155"/>
      <c r="AC17" s="155"/>
      <c r="AD17" s="155"/>
      <c r="AE17" s="155"/>
      <c r="AF17" s="159"/>
    </row>
    <row r="18" spans="1:32" ht="19.149999999999999" x14ac:dyDescent="0.45">
      <c r="A18" s="144" t="s">
        <v>132</v>
      </c>
      <c r="B18" s="131" t="s">
        <v>127</v>
      </c>
      <c r="C18" s="131"/>
      <c r="D18" s="131"/>
      <c r="E18" s="131"/>
      <c r="F18" s="131">
        <v>393</v>
      </c>
      <c r="G18" s="131">
        <v>215</v>
      </c>
      <c r="H18" s="131">
        <v>220</v>
      </c>
      <c r="I18" s="128">
        <v>479</v>
      </c>
      <c r="J18" s="132">
        <v>69</v>
      </c>
      <c r="K18" s="131">
        <v>116</v>
      </c>
      <c r="L18" s="131">
        <v>22</v>
      </c>
      <c r="M18" s="128">
        <v>82</v>
      </c>
      <c r="N18" s="131">
        <v>27</v>
      </c>
      <c r="O18" s="132">
        <v>10</v>
      </c>
      <c r="P18" s="131">
        <v>24</v>
      </c>
      <c r="Q18" s="128">
        <v>79</v>
      </c>
      <c r="R18" s="146">
        <v>39500</v>
      </c>
      <c r="S18" s="146">
        <f t="shared" ref="S18:Z18" si="28">R18*(1+S20)</f>
        <v>23700</v>
      </c>
      <c r="T18" s="146">
        <f t="shared" si="28"/>
        <v>59250</v>
      </c>
      <c r="U18" s="115">
        <f t="shared" si="28"/>
        <v>77025</v>
      </c>
      <c r="V18" s="117">
        <f>SUM(R18:U18)</f>
        <v>199475</v>
      </c>
      <c r="W18" s="146">
        <f>U18*(1+W20)</f>
        <v>46215</v>
      </c>
      <c r="X18" s="146">
        <f t="shared" si="28"/>
        <v>36972</v>
      </c>
      <c r="Y18" s="146">
        <f t="shared" si="28"/>
        <v>55458</v>
      </c>
      <c r="Z18" s="115">
        <f t="shared" si="28"/>
        <v>83187</v>
      </c>
      <c r="AA18" s="117">
        <f>SUM(W18:Z18)</f>
        <v>221832</v>
      </c>
      <c r="AB18" s="131"/>
      <c r="AC18" s="131"/>
      <c r="AD18" s="131"/>
      <c r="AE18" s="131"/>
      <c r="AF18" s="171"/>
    </row>
    <row r="19" spans="1:32" ht="19.149999999999999" x14ac:dyDescent="0.45">
      <c r="A19" s="144"/>
      <c r="B19" s="131" t="s">
        <v>128</v>
      </c>
      <c r="C19" s="131"/>
      <c r="D19" s="131"/>
      <c r="E19" s="131"/>
      <c r="F19" s="131">
        <v>13.7</v>
      </c>
      <c r="G19" s="131">
        <v>17.399999999999999</v>
      </c>
      <c r="H19" s="131">
        <v>15.8</v>
      </c>
      <c r="I19" s="128">
        <v>15.3</v>
      </c>
      <c r="J19" s="131">
        <v>17.010000000000002</v>
      </c>
      <c r="K19" s="131">
        <v>15.5</v>
      </c>
      <c r="L19" s="131">
        <v>13.7</v>
      </c>
      <c r="M19" s="128">
        <v>13.53</v>
      </c>
      <c r="N19" s="131">
        <v>15.51</v>
      </c>
      <c r="O19" s="131">
        <v>13.42</v>
      </c>
      <c r="P19" s="131">
        <v>13.09</v>
      </c>
      <c r="Q19" s="128">
        <v>13.53</v>
      </c>
      <c r="R19" s="146">
        <f>Q19*(1+R21)</f>
        <v>14.299856999999999</v>
      </c>
      <c r="S19" s="146">
        <f t="shared" ref="S19:Z19" si="29">R19*(1+S21)</f>
        <v>13.727862719999999</v>
      </c>
      <c r="T19" s="146">
        <f t="shared" si="29"/>
        <v>13.590584092799999</v>
      </c>
      <c r="U19" s="115">
        <f t="shared" si="29"/>
        <v>13.862395774655999</v>
      </c>
      <c r="V19" s="117">
        <f t="shared" si="1"/>
        <v>13.870174896864</v>
      </c>
      <c r="W19" s="146">
        <f>U19*(1+W21)</f>
        <v>14.971387436628481</v>
      </c>
      <c r="X19" s="146">
        <f t="shared" si="29"/>
        <v>15.270815185361052</v>
      </c>
      <c r="Y19" s="146">
        <f t="shared" si="29"/>
        <v>15.881647792775494</v>
      </c>
      <c r="Z19" s="115">
        <f t="shared" si="29"/>
        <v>16.993363138269778</v>
      </c>
      <c r="AA19" s="117">
        <f t="shared" si="3"/>
        <v>15.779303388258702</v>
      </c>
      <c r="AB19" s="131"/>
      <c r="AC19" s="131"/>
      <c r="AD19" s="131"/>
      <c r="AE19" s="131"/>
      <c r="AF19" s="171"/>
    </row>
    <row r="20" spans="1:32" ht="19.149999999999999" x14ac:dyDescent="0.45">
      <c r="A20" s="144"/>
      <c r="B20" s="131" t="s">
        <v>129</v>
      </c>
      <c r="C20" s="131"/>
      <c r="D20" s="131"/>
      <c r="E20" s="131"/>
      <c r="F20" s="131"/>
      <c r="G20" s="154">
        <f t="shared" ref="G20:P20" si="30">G18/F18-1</f>
        <v>-0.45292620865139954</v>
      </c>
      <c r="H20" s="154">
        <f t="shared" si="30"/>
        <v>2.3255813953488413E-2</v>
      </c>
      <c r="I20" s="129">
        <f t="shared" si="30"/>
        <v>1.1772727272727272</v>
      </c>
      <c r="J20" s="154">
        <f t="shared" si="30"/>
        <v>-0.85594989561586643</v>
      </c>
      <c r="K20" s="154">
        <f t="shared" si="30"/>
        <v>0.68115942028985499</v>
      </c>
      <c r="L20" s="154">
        <f t="shared" si="30"/>
        <v>-0.81034482758620685</v>
      </c>
      <c r="M20" s="129">
        <f t="shared" si="30"/>
        <v>2.7272727272727271</v>
      </c>
      <c r="N20" s="154">
        <f t="shared" si="30"/>
        <v>-0.6707317073170731</v>
      </c>
      <c r="O20" s="154">
        <f t="shared" si="30"/>
        <v>-0.62962962962962965</v>
      </c>
      <c r="P20" s="154">
        <f t="shared" si="30"/>
        <v>1.4</v>
      </c>
      <c r="Q20" s="129">
        <f>Q18/P18-1</f>
        <v>2.2916666666666665</v>
      </c>
      <c r="R20" s="156">
        <v>-0.5</v>
      </c>
      <c r="S20" s="156">
        <v>-0.4</v>
      </c>
      <c r="T20" s="156">
        <v>1.5</v>
      </c>
      <c r="U20" s="123">
        <v>0.3</v>
      </c>
      <c r="V20" s="124">
        <f t="shared" si="1"/>
        <v>0.22499999999999998</v>
      </c>
      <c r="W20" s="156">
        <v>-0.4</v>
      </c>
      <c r="X20" s="156">
        <v>-0.2</v>
      </c>
      <c r="Y20" s="156">
        <v>0.5</v>
      </c>
      <c r="Z20" s="123">
        <v>0.5</v>
      </c>
      <c r="AA20" s="124">
        <f t="shared" si="3"/>
        <v>9.9999999999999978E-2</v>
      </c>
      <c r="AB20" s="131"/>
      <c r="AC20" s="131"/>
      <c r="AD20" s="131"/>
      <c r="AE20" s="131"/>
      <c r="AF20" s="171"/>
    </row>
    <row r="21" spans="1:32" ht="19.149999999999999" x14ac:dyDescent="0.45">
      <c r="A21" s="144"/>
      <c r="B21" s="132" t="s">
        <v>130</v>
      </c>
      <c r="C21" s="132"/>
      <c r="D21" s="132"/>
      <c r="E21" s="132"/>
      <c r="F21" s="132"/>
      <c r="G21" s="158">
        <f t="shared" ref="G21:Q21" si="31">(G19-F19)/F19</f>
        <v>0.27007299270072987</v>
      </c>
      <c r="H21" s="158">
        <f t="shared" si="31"/>
        <v>-9.1954022988505635E-2</v>
      </c>
      <c r="I21" s="125">
        <f t="shared" si="31"/>
        <v>-3.164556962025316E-2</v>
      </c>
      <c r="J21" s="158">
        <f t="shared" si="31"/>
        <v>0.11176470588235299</v>
      </c>
      <c r="K21" s="158">
        <f t="shared" si="31"/>
        <v>-8.8771310993533303E-2</v>
      </c>
      <c r="L21" s="158">
        <f t="shared" si="31"/>
        <v>-0.11612903225806456</v>
      </c>
      <c r="M21" s="125">
        <f t="shared" si="31"/>
        <v>-1.2408759124087588E-2</v>
      </c>
      <c r="N21" s="158">
        <f t="shared" si="31"/>
        <v>0.14634146341463419</v>
      </c>
      <c r="O21" s="158">
        <f t="shared" si="31"/>
        <v>-0.13475177304964539</v>
      </c>
      <c r="P21" s="158">
        <f t="shared" si="31"/>
        <v>-2.4590163934426236E-2</v>
      </c>
      <c r="Q21" s="125">
        <f t="shared" si="31"/>
        <v>3.3613445378151224E-2</v>
      </c>
      <c r="R21" s="134">
        <v>5.6899999999999999E-2</v>
      </c>
      <c r="S21" s="134">
        <v>-0.04</v>
      </c>
      <c r="T21" s="134">
        <v>-0.01</v>
      </c>
      <c r="U21" s="121">
        <v>0.02</v>
      </c>
      <c r="V21" s="122">
        <f t="shared" si="1"/>
        <v>6.7250000000000001E-3</v>
      </c>
      <c r="W21" s="134">
        <v>0.08</v>
      </c>
      <c r="X21" s="134">
        <v>0.02</v>
      </c>
      <c r="Y21" s="134">
        <v>0.04</v>
      </c>
      <c r="Z21" s="121">
        <v>7.0000000000000007E-2</v>
      </c>
      <c r="AA21" s="122">
        <f t="shared" si="3"/>
        <v>5.2500000000000005E-2</v>
      </c>
      <c r="AB21" s="158"/>
      <c r="AC21" s="158"/>
      <c r="AD21" s="158"/>
      <c r="AE21" s="158"/>
      <c r="AF21" s="164"/>
    </row>
    <row r="22" spans="1:32" ht="19.149999999999999" x14ac:dyDescent="0.45">
      <c r="A22" s="144"/>
      <c r="B22" s="132" t="s">
        <v>326</v>
      </c>
      <c r="C22" s="132"/>
      <c r="D22" s="132"/>
      <c r="E22" s="132"/>
      <c r="F22" s="132"/>
      <c r="G22" s="158"/>
      <c r="H22" s="158"/>
      <c r="I22" s="125"/>
      <c r="J22" s="158"/>
      <c r="K22" s="158"/>
      <c r="L22" s="158"/>
      <c r="M22" s="125"/>
      <c r="N22" s="158"/>
      <c r="O22" s="158"/>
      <c r="P22" s="158"/>
      <c r="Q22" s="125"/>
      <c r="R22" s="165">
        <f>R18*R19</f>
        <v>564844.35149999999</v>
      </c>
      <c r="S22" s="165">
        <f t="shared" ref="S22:Z22" si="32">S18*S19</f>
        <v>325350.346464</v>
      </c>
      <c r="T22" s="165">
        <f t="shared" si="32"/>
        <v>805242.10749839991</v>
      </c>
      <c r="U22" s="130">
        <f t="shared" si="32"/>
        <v>1067751.0345428784</v>
      </c>
      <c r="V22" s="127">
        <f>SUM(R22:U22)</f>
        <v>2763187.8400052786</v>
      </c>
      <c r="W22" s="165">
        <f t="shared" si="32"/>
        <v>691902.67038378527</v>
      </c>
      <c r="X22" s="165">
        <f t="shared" si="32"/>
        <v>564592.57903316885</v>
      </c>
      <c r="Y22" s="165">
        <f t="shared" si="32"/>
        <v>880764.42329174338</v>
      </c>
      <c r="Z22" s="130">
        <f t="shared" si="32"/>
        <v>1413626.8993832481</v>
      </c>
      <c r="AA22" s="127">
        <f>SUM(W22:Z22)</f>
        <v>3550886.5720919454</v>
      </c>
      <c r="AB22" s="158"/>
      <c r="AC22" s="158"/>
      <c r="AD22" s="158"/>
      <c r="AE22" s="158"/>
      <c r="AF22" s="164"/>
    </row>
    <row r="23" spans="1:32" ht="19.149999999999999" x14ac:dyDescent="0.45">
      <c r="A23" s="144" t="s">
        <v>133</v>
      </c>
      <c r="B23" s="131" t="s">
        <v>127</v>
      </c>
      <c r="C23" s="131"/>
      <c r="D23" s="131"/>
      <c r="E23" s="131"/>
      <c r="F23" s="131">
        <v>73.748000000000005</v>
      </c>
      <c r="G23" s="131">
        <v>86.203999999999994</v>
      </c>
      <c r="H23" s="131">
        <v>113.123</v>
      </c>
      <c r="I23" s="128">
        <v>155.71</v>
      </c>
      <c r="J23" s="131">
        <v>105.706</v>
      </c>
      <c r="K23" s="131">
        <v>63.527000000000001</v>
      </c>
      <c r="L23" s="146">
        <v>68.691999999999993</v>
      </c>
      <c r="M23" s="128">
        <v>79.459000000000003</v>
      </c>
      <c r="N23" s="131">
        <v>77.989000000000004</v>
      </c>
      <c r="O23" s="131">
        <v>105.908</v>
      </c>
      <c r="P23" s="131">
        <v>65.108999999999995</v>
      </c>
      <c r="Q23" s="128">
        <v>88.554000000000002</v>
      </c>
      <c r="R23" s="146">
        <v>87400</v>
      </c>
      <c r="S23" s="146">
        <f t="shared" ref="S23:Z23" si="33">R23*(1+S25)</f>
        <v>122359.99999999999</v>
      </c>
      <c r="T23" s="146">
        <f t="shared" si="33"/>
        <v>83204.799999999988</v>
      </c>
      <c r="U23" s="115">
        <f t="shared" si="33"/>
        <v>116486.71999999997</v>
      </c>
      <c r="V23" s="117">
        <f>SUM(R23:U23)</f>
        <v>409451.51999999996</v>
      </c>
      <c r="W23" s="146">
        <f>U23*(1+W25)</f>
        <v>116486.71999999997</v>
      </c>
      <c r="X23" s="146">
        <f t="shared" si="33"/>
        <v>163081.40799999994</v>
      </c>
      <c r="Y23" s="146">
        <f t="shared" si="33"/>
        <v>106002.91519999996</v>
      </c>
      <c r="Z23" s="115">
        <f t="shared" si="33"/>
        <v>153704.22703999994</v>
      </c>
      <c r="AA23" s="117">
        <f>SUM(W23:Z23)</f>
        <v>539275.27023999975</v>
      </c>
      <c r="AB23" s="131"/>
      <c r="AC23" s="131"/>
      <c r="AD23" s="131"/>
      <c r="AE23" s="131"/>
      <c r="AF23" s="171"/>
    </row>
    <row r="24" spans="1:32" ht="19.149999999999999" x14ac:dyDescent="0.45">
      <c r="A24" s="144"/>
      <c r="B24" s="131" t="s">
        <v>128</v>
      </c>
      <c r="C24" s="131"/>
      <c r="D24" s="131"/>
      <c r="E24" s="131"/>
      <c r="F24" s="131">
        <v>23</v>
      </c>
      <c r="G24" s="131">
        <v>31</v>
      </c>
      <c r="H24" s="131">
        <v>32.1</v>
      </c>
      <c r="I24" s="128">
        <v>33</v>
      </c>
      <c r="J24" s="131">
        <v>31.8</v>
      </c>
      <c r="K24" s="131">
        <v>31</v>
      </c>
      <c r="L24" s="131">
        <v>30.1</v>
      </c>
      <c r="M24" s="128">
        <v>29</v>
      </c>
      <c r="N24" s="131">
        <v>30</v>
      </c>
      <c r="O24" s="131">
        <v>28</v>
      </c>
      <c r="P24" s="131">
        <v>27</v>
      </c>
      <c r="Q24" s="128">
        <v>24.5</v>
      </c>
      <c r="R24" s="146">
        <f>Q24*(1+R26)</f>
        <v>26.999000000000002</v>
      </c>
      <c r="S24" s="146">
        <f t="shared" ref="S24:Z24" si="34">R24*(1+S26)</f>
        <v>28.799833300000003</v>
      </c>
      <c r="T24" s="146">
        <f t="shared" si="34"/>
        <v>27.647839968000003</v>
      </c>
      <c r="U24" s="115">
        <f t="shared" si="34"/>
        <v>25.71249117024</v>
      </c>
      <c r="V24" s="117">
        <f t="shared" si="1"/>
        <v>27.289791109560003</v>
      </c>
      <c r="W24" s="146">
        <f>U24*(1+W26)</f>
        <v>28.026615375561601</v>
      </c>
      <c r="X24" s="146">
        <f t="shared" si="34"/>
        <v>27.185816914294751</v>
      </c>
      <c r="Y24" s="146">
        <f t="shared" si="34"/>
        <v>25.826526068580012</v>
      </c>
      <c r="Z24" s="115">
        <f t="shared" si="34"/>
        <v>29.700504978867013</v>
      </c>
      <c r="AA24" s="117">
        <f t="shared" si="3"/>
        <v>27.684865834325844</v>
      </c>
      <c r="AB24" s="131"/>
      <c r="AC24" s="131"/>
      <c r="AD24" s="131"/>
      <c r="AE24" s="131"/>
      <c r="AF24" s="171"/>
    </row>
    <row r="25" spans="1:32" ht="19.149999999999999" x14ac:dyDescent="0.45">
      <c r="A25" s="144"/>
      <c r="B25" s="131" t="s">
        <v>129</v>
      </c>
      <c r="C25" s="131"/>
      <c r="D25" s="131"/>
      <c r="E25" s="131"/>
      <c r="F25" s="154"/>
      <c r="G25" s="154">
        <f t="shared" ref="G25:P25" si="35">G23/F23-1</f>
        <v>0.16889949557954087</v>
      </c>
      <c r="H25" s="154">
        <f t="shared" si="35"/>
        <v>0.31227089230198146</v>
      </c>
      <c r="I25" s="129">
        <f t="shared" si="35"/>
        <v>0.37646632426650628</v>
      </c>
      <c r="J25" s="154">
        <f t="shared" si="35"/>
        <v>-0.32113544409479167</v>
      </c>
      <c r="K25" s="154">
        <f t="shared" si="35"/>
        <v>-0.39902181522335534</v>
      </c>
      <c r="L25" s="154">
        <f t="shared" si="35"/>
        <v>8.1304012467139808E-2</v>
      </c>
      <c r="M25" s="129">
        <f t="shared" si="35"/>
        <v>0.15674314330635308</v>
      </c>
      <c r="N25" s="154">
        <f t="shared" si="35"/>
        <v>-1.8500106973407648E-2</v>
      </c>
      <c r="O25" s="154">
        <f t="shared" si="35"/>
        <v>0.35798638269499539</v>
      </c>
      <c r="P25" s="154">
        <f t="shared" si="35"/>
        <v>-0.38523057748234324</v>
      </c>
      <c r="Q25" s="129">
        <f>Q23/P23-1</f>
        <v>0.36008846703220776</v>
      </c>
      <c r="R25" s="156">
        <v>-1.2999999999999999E-2</v>
      </c>
      <c r="S25" s="156">
        <v>0.4</v>
      </c>
      <c r="T25" s="156">
        <v>-0.32</v>
      </c>
      <c r="U25" s="123">
        <v>0.4</v>
      </c>
      <c r="V25" s="124">
        <f t="shared" si="1"/>
        <v>0.11675000000000001</v>
      </c>
      <c r="W25" s="156">
        <v>0</v>
      </c>
      <c r="X25" s="156">
        <v>0.4</v>
      </c>
      <c r="Y25" s="156">
        <v>-0.35</v>
      </c>
      <c r="Z25" s="123">
        <v>0.45</v>
      </c>
      <c r="AA25" s="124">
        <f t="shared" si="3"/>
        <v>0.125</v>
      </c>
      <c r="AB25" s="162"/>
      <c r="AC25" s="162"/>
      <c r="AD25" s="162"/>
      <c r="AE25" s="162"/>
      <c r="AF25" s="163"/>
    </row>
    <row r="26" spans="1:32" ht="19.149999999999999" x14ac:dyDescent="0.45">
      <c r="A26" s="144"/>
      <c r="B26" s="132" t="s">
        <v>130</v>
      </c>
      <c r="C26" s="132"/>
      <c r="D26" s="132"/>
      <c r="E26" s="132"/>
      <c r="F26" s="132"/>
      <c r="G26" s="158">
        <f t="shared" ref="G26:Q26" si="36">(G24-F24)/F24</f>
        <v>0.34782608695652173</v>
      </c>
      <c r="H26" s="158">
        <f t="shared" si="36"/>
        <v>3.5483870967741984E-2</v>
      </c>
      <c r="I26" s="125">
        <f t="shared" si="36"/>
        <v>2.8037383177570048E-2</v>
      </c>
      <c r="J26" s="158">
        <f t="shared" si="36"/>
        <v>-3.6363636363636341E-2</v>
      </c>
      <c r="K26" s="158">
        <f t="shared" si="36"/>
        <v>-2.5157232704402538E-2</v>
      </c>
      <c r="L26" s="158">
        <f t="shared" si="36"/>
        <v>-2.9032258064516082E-2</v>
      </c>
      <c r="M26" s="125">
        <f t="shared" si="36"/>
        <v>-3.6544850498338916E-2</v>
      </c>
      <c r="N26" s="158">
        <f t="shared" si="36"/>
        <v>3.4482758620689655E-2</v>
      </c>
      <c r="O26" s="158">
        <f t="shared" si="36"/>
        <v>-6.6666666666666666E-2</v>
      </c>
      <c r="P26" s="158">
        <f t="shared" si="36"/>
        <v>-3.5714285714285712E-2</v>
      </c>
      <c r="Q26" s="125">
        <f t="shared" si="36"/>
        <v>-9.2592592592592587E-2</v>
      </c>
      <c r="R26" s="134">
        <v>0.10199999999999999</v>
      </c>
      <c r="S26" s="134">
        <v>6.6699999999999995E-2</v>
      </c>
      <c r="T26" s="134">
        <v>-0.04</v>
      </c>
      <c r="U26" s="121">
        <v>-7.0000000000000007E-2</v>
      </c>
      <c r="V26" s="122">
        <f t="shared" si="1"/>
        <v>1.4674999999999994E-2</v>
      </c>
      <c r="W26" s="134">
        <v>0.09</v>
      </c>
      <c r="X26" s="134">
        <v>-0.03</v>
      </c>
      <c r="Y26" s="134">
        <v>-0.05</v>
      </c>
      <c r="Z26" s="121">
        <v>0.15</v>
      </c>
      <c r="AA26" s="122">
        <f t="shared" si="3"/>
        <v>3.9999999999999994E-2</v>
      </c>
      <c r="AB26" s="158"/>
      <c r="AC26" s="158"/>
      <c r="AD26" s="158"/>
      <c r="AE26" s="158"/>
      <c r="AF26" s="164"/>
    </row>
    <row r="27" spans="1:32" ht="19.149999999999999" x14ac:dyDescent="0.45">
      <c r="A27" s="144"/>
      <c r="B27" s="132" t="s">
        <v>326</v>
      </c>
      <c r="C27" s="132"/>
      <c r="D27" s="132"/>
      <c r="E27" s="132"/>
      <c r="F27" s="132"/>
      <c r="G27" s="158"/>
      <c r="H27" s="158"/>
      <c r="I27" s="125"/>
      <c r="J27" s="158"/>
      <c r="K27" s="158"/>
      <c r="L27" s="158"/>
      <c r="M27" s="125"/>
      <c r="N27" s="158"/>
      <c r="O27" s="158"/>
      <c r="P27" s="158"/>
      <c r="Q27" s="125"/>
      <c r="R27" s="165">
        <f>R23*R24</f>
        <v>2359712.6</v>
      </c>
      <c r="S27" s="165">
        <f t="shared" ref="S27:Z27" si="37">S23*S24</f>
        <v>3523947.6025879998</v>
      </c>
      <c r="T27" s="165">
        <f t="shared" si="37"/>
        <v>2300432.9949694462</v>
      </c>
      <c r="U27" s="130">
        <f t="shared" si="37"/>
        <v>2995163.7594502186</v>
      </c>
      <c r="V27" s="133">
        <f>SUM(R27:U27)</f>
        <v>11179256.957007665</v>
      </c>
      <c r="W27" s="165">
        <f t="shared" si="37"/>
        <v>3264728.4978007381</v>
      </c>
      <c r="X27" s="165">
        <f t="shared" si="37"/>
        <v>4433501.3000134015</v>
      </c>
      <c r="Y27" s="165">
        <f t="shared" si="37"/>
        <v>2737687.0527582755</v>
      </c>
      <c r="Z27" s="130">
        <f t="shared" si="37"/>
        <v>4565093.1604744243</v>
      </c>
      <c r="AA27" s="133">
        <f>SUM(W27:Z27)</f>
        <v>15001010.011046838</v>
      </c>
      <c r="AB27" s="158"/>
      <c r="AC27" s="158"/>
      <c r="AD27" s="158"/>
      <c r="AE27" s="158"/>
      <c r="AF27" s="164"/>
    </row>
    <row r="28" spans="1:32" ht="19.149999999999999" x14ac:dyDescent="0.45">
      <c r="A28" s="144" t="s">
        <v>134</v>
      </c>
      <c r="B28" s="131" t="s">
        <v>136</v>
      </c>
      <c r="C28" s="172" t="s">
        <v>135</v>
      </c>
      <c r="D28" s="131"/>
      <c r="E28" s="131"/>
      <c r="F28" s="131">
        <v>131.07</v>
      </c>
      <c r="G28" s="131">
        <v>158.44999999999999</v>
      </c>
      <c r="H28" s="131">
        <v>256.3</v>
      </c>
      <c r="I28" s="128">
        <v>304.75</v>
      </c>
      <c r="J28" s="131">
        <v>448.75</v>
      </c>
      <c r="K28" s="131">
        <v>413.75</v>
      </c>
      <c r="L28" s="131">
        <v>279.18</v>
      </c>
      <c r="M28" s="128">
        <v>263.70999999999998</v>
      </c>
      <c r="N28" s="131">
        <v>345.8</v>
      </c>
      <c r="O28" s="131">
        <v>223.3</v>
      </c>
      <c r="P28" s="131">
        <v>270.43</v>
      </c>
      <c r="Q28" s="128">
        <v>328.97</v>
      </c>
      <c r="R28" s="146">
        <v>304.08</v>
      </c>
      <c r="S28" s="146">
        <v>249.58</v>
      </c>
      <c r="T28" s="146">
        <f>S28*(1+T29)</f>
        <v>284.52120000000002</v>
      </c>
      <c r="U28" s="115">
        <f>T28*(1+U29)</f>
        <v>290.21162400000003</v>
      </c>
      <c r="V28" s="117">
        <f t="shared" si="1"/>
        <v>282.098206</v>
      </c>
      <c r="W28" s="146">
        <f>U28*(1+W29)</f>
        <v>284.40739152000003</v>
      </c>
      <c r="X28" s="146">
        <f t="shared" ref="X28:Z28" si="38">W28*(1+X29)</f>
        <v>238.90220887680002</v>
      </c>
      <c r="Y28" s="146">
        <f t="shared" si="38"/>
        <v>281.90460647462402</v>
      </c>
      <c r="Z28" s="115">
        <f t="shared" si="38"/>
        <v>293.180790733609</v>
      </c>
      <c r="AA28" s="117">
        <f t="shared" si="3"/>
        <v>274.59874940125826</v>
      </c>
      <c r="AB28" s="131"/>
      <c r="AC28" s="131"/>
      <c r="AD28" s="131"/>
      <c r="AE28" s="131"/>
      <c r="AF28" s="171"/>
    </row>
    <row r="29" spans="1:32" ht="19.149999999999999" x14ac:dyDescent="0.45">
      <c r="A29" s="173"/>
      <c r="B29" s="132" t="s">
        <v>130</v>
      </c>
      <c r="C29" s="132"/>
      <c r="D29" s="132"/>
      <c r="E29" s="132"/>
      <c r="F29" s="132"/>
      <c r="G29" s="134">
        <f t="shared" ref="G29:S29" si="39">(G28-F28)/F28</f>
        <v>0.20889600976577399</v>
      </c>
      <c r="H29" s="134">
        <f t="shared" si="39"/>
        <v>0.61754496686651961</v>
      </c>
      <c r="I29" s="121">
        <f t="shared" si="39"/>
        <v>0.18903628560280916</v>
      </c>
      <c r="J29" s="134">
        <f t="shared" si="39"/>
        <v>0.47251845775225593</v>
      </c>
      <c r="K29" s="134">
        <f t="shared" si="39"/>
        <v>-7.7994428969359333E-2</v>
      </c>
      <c r="L29" s="134">
        <f t="shared" si="39"/>
        <v>-0.32524471299093655</v>
      </c>
      <c r="M29" s="121">
        <f t="shared" si="39"/>
        <v>-5.5412278816534231E-2</v>
      </c>
      <c r="N29" s="134">
        <f t="shared" si="39"/>
        <v>0.31128891585453733</v>
      </c>
      <c r="O29" s="134">
        <f t="shared" si="39"/>
        <v>-0.354251012145749</v>
      </c>
      <c r="P29" s="134">
        <f t="shared" si="39"/>
        <v>0.21106135244066276</v>
      </c>
      <c r="Q29" s="121">
        <f t="shared" si="39"/>
        <v>0.21647006619088127</v>
      </c>
      <c r="R29" s="134">
        <f t="shared" si="39"/>
        <v>-7.5660394564854058E-2</v>
      </c>
      <c r="S29" s="134">
        <f t="shared" si="39"/>
        <v>-0.17922915022362529</v>
      </c>
      <c r="T29" s="134">
        <v>0.14000000000000001</v>
      </c>
      <c r="U29" s="121">
        <v>0.02</v>
      </c>
      <c r="V29" s="122">
        <f t="shared" si="1"/>
        <v>-2.3722386197119836E-2</v>
      </c>
      <c r="W29" s="134">
        <v>-0.02</v>
      </c>
      <c r="X29" s="134">
        <v>-0.16</v>
      </c>
      <c r="Y29" s="134">
        <v>0.18</v>
      </c>
      <c r="Z29" s="121">
        <v>0.04</v>
      </c>
      <c r="AA29" s="122">
        <f t="shared" si="3"/>
        <v>0.01</v>
      </c>
      <c r="AB29" s="154"/>
      <c r="AC29" s="154"/>
      <c r="AD29" s="154"/>
      <c r="AE29" s="154"/>
      <c r="AF29" s="157"/>
    </row>
    <row r="30" spans="1:32" ht="19.149999999999999" x14ac:dyDescent="0.45">
      <c r="A30" s="144" t="s">
        <v>137</v>
      </c>
      <c r="B30" s="131" t="s">
        <v>136</v>
      </c>
      <c r="C30" s="172" t="s">
        <v>135</v>
      </c>
      <c r="D30" s="131"/>
      <c r="E30" s="131"/>
      <c r="F30" s="131">
        <v>165.61</v>
      </c>
      <c r="G30" s="131">
        <v>205.73</v>
      </c>
      <c r="H30" s="131">
        <v>159.25</v>
      </c>
      <c r="I30" s="128">
        <v>94.97</v>
      </c>
      <c r="J30" s="131">
        <v>141.99</v>
      </c>
      <c r="K30" s="131">
        <v>150.77000000000001</v>
      </c>
      <c r="L30" s="131">
        <v>107.22</v>
      </c>
      <c r="M30" s="128">
        <v>93.25</v>
      </c>
      <c r="N30" s="131">
        <v>125.75</v>
      </c>
      <c r="O30" s="131">
        <v>105.07</v>
      </c>
      <c r="P30" s="131">
        <v>112.46</v>
      </c>
      <c r="Q30" s="128">
        <v>130.46</v>
      </c>
      <c r="R30" s="146">
        <v>124.86</v>
      </c>
      <c r="S30" s="146">
        <v>107.69</v>
      </c>
      <c r="T30" s="146">
        <f>S30*(1+T31)</f>
        <v>118.459</v>
      </c>
      <c r="U30" s="115">
        <f>T30*(1+U31)</f>
        <v>114.90523</v>
      </c>
      <c r="V30" s="117">
        <f t="shared" si="1"/>
        <v>116.47855750000001</v>
      </c>
      <c r="W30" s="146">
        <f>U30*(1+W31)</f>
        <v>111.45807309999999</v>
      </c>
      <c r="X30" s="146">
        <f t="shared" ref="X30:Z30" si="40">W30*(1+X31)</f>
        <v>98.08310432799999</v>
      </c>
      <c r="Y30" s="146">
        <f t="shared" si="40"/>
        <v>112.79556997719997</v>
      </c>
      <c r="Z30" s="115">
        <f t="shared" si="40"/>
        <v>111.66761427742797</v>
      </c>
      <c r="AA30" s="117">
        <f t="shared" si="3"/>
        <v>108.50109042065698</v>
      </c>
      <c r="AB30" s="131"/>
      <c r="AC30" s="131"/>
      <c r="AD30" s="131"/>
      <c r="AE30" s="131"/>
      <c r="AF30" s="171"/>
    </row>
    <row r="31" spans="1:32" ht="19.149999999999999" x14ac:dyDescent="0.45">
      <c r="A31" s="173"/>
      <c r="B31" s="132" t="s">
        <v>130</v>
      </c>
      <c r="C31" s="132"/>
      <c r="D31" s="132"/>
      <c r="E31" s="132"/>
      <c r="F31" s="134"/>
      <c r="G31" s="134">
        <f t="shared" ref="G31:S31" si="41">(G30-F30)/F30</f>
        <v>0.2422559024213512</v>
      </c>
      <c r="H31" s="134">
        <f t="shared" si="41"/>
        <v>-0.22592718611772708</v>
      </c>
      <c r="I31" s="121">
        <f t="shared" si="41"/>
        <v>-0.40364207221350079</v>
      </c>
      <c r="J31" s="134">
        <f t="shared" si="41"/>
        <v>0.49510371696325167</v>
      </c>
      <c r="K31" s="134">
        <f t="shared" si="41"/>
        <v>6.1835340516937815E-2</v>
      </c>
      <c r="L31" s="134">
        <f t="shared" si="41"/>
        <v>-0.28885056708894347</v>
      </c>
      <c r="M31" s="121">
        <f t="shared" si="41"/>
        <v>-0.13029285581048311</v>
      </c>
      <c r="N31" s="134">
        <f t="shared" si="41"/>
        <v>0.34852546916890081</v>
      </c>
      <c r="O31" s="134">
        <f t="shared" si="41"/>
        <v>-0.1644532803180915</v>
      </c>
      <c r="P31" s="134">
        <f t="shared" si="41"/>
        <v>7.0334063005615316E-2</v>
      </c>
      <c r="Q31" s="121">
        <f t="shared" si="41"/>
        <v>0.16005690912324397</v>
      </c>
      <c r="R31" s="134">
        <f t="shared" si="41"/>
        <v>-4.2925034493331349E-2</v>
      </c>
      <c r="S31" s="134">
        <f t="shared" si="41"/>
        <v>-0.13751401569758132</v>
      </c>
      <c r="T31" s="134">
        <v>0.1</v>
      </c>
      <c r="U31" s="121">
        <v>-0.03</v>
      </c>
      <c r="V31" s="122">
        <f t="shared" si="1"/>
        <v>-2.7609762547728164E-2</v>
      </c>
      <c r="W31" s="134">
        <v>-0.03</v>
      </c>
      <c r="X31" s="134">
        <v>-0.12</v>
      </c>
      <c r="Y31" s="134">
        <v>0.15</v>
      </c>
      <c r="Z31" s="121">
        <v>-0.01</v>
      </c>
      <c r="AA31" s="122">
        <f t="shared" si="3"/>
        <v>-2.5000000000000001E-3</v>
      </c>
      <c r="AB31" s="162"/>
      <c r="AC31" s="162"/>
      <c r="AD31" s="162"/>
      <c r="AE31" s="162"/>
      <c r="AF31" s="163"/>
    </row>
    <row r="32" spans="1:32" ht="19.149999999999999" x14ac:dyDescent="0.45">
      <c r="A32" s="173" t="s">
        <v>97</v>
      </c>
      <c r="B32" s="132" t="s">
        <v>136</v>
      </c>
      <c r="C32" s="132"/>
      <c r="D32" s="132"/>
      <c r="E32" s="132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5">
        <v>42</v>
      </c>
      <c r="W32" s="134"/>
      <c r="X32" s="134"/>
      <c r="Y32" s="134"/>
      <c r="Z32" s="134"/>
      <c r="AA32" s="135">
        <f>Draft!B48</f>
        <v>42</v>
      </c>
      <c r="AB32" s="162"/>
      <c r="AC32" s="162"/>
      <c r="AD32" s="162"/>
      <c r="AE32" s="162"/>
      <c r="AF32" s="163"/>
    </row>
    <row r="33" spans="1:32" ht="19.5" thickBot="1" x14ac:dyDescent="0.5">
      <c r="A33" s="174" t="s">
        <v>98</v>
      </c>
      <c r="B33" s="175" t="s">
        <v>136</v>
      </c>
      <c r="C33" s="175"/>
      <c r="D33" s="175"/>
      <c r="E33" s="175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7">
        <v>182</v>
      </c>
      <c r="W33" s="176"/>
      <c r="X33" s="176"/>
      <c r="Y33" s="176"/>
      <c r="Z33" s="176"/>
      <c r="AA33" s="177">
        <f>Draft!B49</f>
        <v>182</v>
      </c>
      <c r="AB33" s="178"/>
      <c r="AC33" s="178"/>
      <c r="AD33" s="178"/>
      <c r="AE33" s="178"/>
      <c r="AF33" s="179"/>
    </row>
    <row r="34" spans="1:32" x14ac:dyDescent="0.45">
      <c r="A34" s="4" t="s">
        <v>355</v>
      </c>
    </row>
    <row r="35" spans="1:32" x14ac:dyDescent="0.45">
      <c r="A35" s="4" t="s">
        <v>356</v>
      </c>
    </row>
    <row r="36" spans="1:32" x14ac:dyDescent="0.45">
      <c r="A36" s="4" t="s">
        <v>327</v>
      </c>
    </row>
    <row r="38" spans="1:32" ht="14.65" thickBot="1" x14ac:dyDescent="0.5">
      <c r="A38" s="20" t="s">
        <v>341</v>
      </c>
    </row>
    <row r="39" spans="1:32" ht="14.65" thickBot="1" x14ac:dyDescent="0.5">
      <c r="A39" s="36" t="s">
        <v>334</v>
      </c>
      <c r="B39" s="106" t="s">
        <v>342</v>
      </c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 t="s">
        <v>1</v>
      </c>
      <c r="S39" s="106" t="s">
        <v>343</v>
      </c>
      <c r="T39" s="63" t="s">
        <v>12</v>
      </c>
    </row>
    <row r="40" spans="1:32" x14ac:dyDescent="0.45">
      <c r="A40" s="96" t="s">
        <v>5</v>
      </c>
      <c r="B40" s="47">
        <v>143700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>
        <f>AA18</f>
        <v>221832</v>
      </c>
      <c r="S40" s="47">
        <v>157000</v>
      </c>
      <c r="T40" s="183">
        <f>R40+S40-B40</f>
        <v>235132</v>
      </c>
    </row>
    <row r="41" spans="1:32" x14ac:dyDescent="0.45">
      <c r="A41" s="96" t="s">
        <v>0</v>
      </c>
      <c r="B41" s="47">
        <v>2015000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>
        <f>AA3</f>
        <v>4907475.1605318971</v>
      </c>
      <c r="S41" s="47">
        <v>2200000</v>
      </c>
      <c r="T41" s="183">
        <f t="shared" ref="T41:T42" si="42">R41+S41-B41</f>
        <v>5092475.1605318971</v>
      </c>
    </row>
    <row r="42" spans="1:32" ht="14.65" thickBot="1" x14ac:dyDescent="0.5">
      <c r="A42" s="98" t="s">
        <v>337</v>
      </c>
      <c r="B42" s="89">
        <v>1430000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>
        <f>AA13</f>
        <v>4093393.7243908802</v>
      </c>
      <c r="S42" s="89">
        <v>1570000</v>
      </c>
      <c r="T42" s="50">
        <f t="shared" si="42"/>
        <v>4233393.7243908802</v>
      </c>
    </row>
    <row r="43" spans="1:32" x14ac:dyDescent="0.45">
      <c r="T43" s="20"/>
    </row>
    <row r="44" spans="1:32" ht="14.65" thickBot="1" x14ac:dyDescent="0.5">
      <c r="A44" s="20" t="s">
        <v>360</v>
      </c>
    </row>
    <row r="45" spans="1:32" ht="14.65" thickBot="1" x14ac:dyDescent="0.5">
      <c r="A45" s="36" t="s">
        <v>334</v>
      </c>
      <c r="B45" s="34" t="s">
        <v>1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 t="s">
        <v>48</v>
      </c>
      <c r="S45" s="63" t="s">
        <v>361</v>
      </c>
    </row>
    <row r="46" spans="1:32" x14ac:dyDescent="0.45">
      <c r="A46" s="37" t="s">
        <v>5</v>
      </c>
      <c r="B46" s="47">
        <f>AA18</f>
        <v>221832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184">
        <f>'Định mức'!E51</f>
        <v>15307354.368707588</v>
      </c>
      <c r="S46" s="111">
        <f>B46*R46</f>
        <v>3395661034319.1416</v>
      </c>
    </row>
    <row r="47" spans="1:32" x14ac:dyDescent="0.45">
      <c r="A47" s="37" t="s">
        <v>0</v>
      </c>
      <c r="B47" s="47">
        <f>AA3</f>
        <v>4907475.1605318971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184">
        <f>'Định mức'!E52</f>
        <v>15480881.581714181</v>
      </c>
      <c r="S47" s="111">
        <f t="shared" ref="S47:S50" si="43">B47*R47</f>
        <v>75972041825398.094</v>
      </c>
    </row>
    <row r="48" spans="1:32" x14ac:dyDescent="0.45">
      <c r="A48" s="37" t="s">
        <v>337</v>
      </c>
      <c r="B48" s="47">
        <f>AA13</f>
        <v>4093393.7243908802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184">
        <f>'Định mức'!E53</f>
        <v>15480881.581714179</v>
      </c>
      <c r="S48" s="111">
        <f t="shared" si="43"/>
        <v>63369343514627.188</v>
      </c>
    </row>
    <row r="49" spans="1:20" x14ac:dyDescent="0.45">
      <c r="A49" s="37" t="s">
        <v>2</v>
      </c>
      <c r="B49" s="47">
        <f>AA8</f>
        <v>1039853.82018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184">
        <f>AA9*10^6*0.85</f>
        <v>17911892.678730421</v>
      </c>
      <c r="S49" s="111">
        <f t="shared" si="43"/>
        <v>18625750028632.004</v>
      </c>
      <c r="T49" s="206"/>
    </row>
    <row r="50" spans="1:20" x14ac:dyDescent="0.45">
      <c r="A50" s="37" t="s">
        <v>6</v>
      </c>
      <c r="B50" s="47">
        <f>AA23</f>
        <v>539275.27023999975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184">
        <f>AA24*10^6*0.85</f>
        <v>23532135.959176965</v>
      </c>
      <c r="S50" s="111">
        <f t="shared" si="43"/>
        <v>12690298978709.574</v>
      </c>
      <c r="T50" s="207"/>
    </row>
    <row r="51" spans="1:20" ht="14.65" thickBot="1" x14ac:dyDescent="0.5">
      <c r="A51" s="53" t="s">
        <v>49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190">
        <f>SUM(S46:S50)</f>
        <v>174053095381686</v>
      </c>
    </row>
  </sheetData>
  <mergeCells count="1">
    <mergeCell ref="T49:T50"/>
  </mergeCells>
  <hyperlinks>
    <hyperlink ref="C28" r:id="rId1" xr:uid="{594B0DE6-8336-400D-A3A4-02203A2DAF69}"/>
    <hyperlink ref="C30" r:id="rId2" xr:uid="{FCAF64E3-86CE-4731-AD29-3115BB1C4BF3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BD91-14AC-4D96-AD08-F64A2F727299}">
  <dimension ref="A1:J12"/>
  <sheetViews>
    <sheetView workbookViewId="0">
      <selection activeCell="F14" sqref="F14"/>
    </sheetView>
  </sheetViews>
  <sheetFormatPr defaultRowHeight="14.25" x14ac:dyDescent="0.45"/>
  <cols>
    <col min="1" max="1" width="28.3984375" customWidth="1"/>
    <col min="2" max="2" width="15.1328125" customWidth="1"/>
    <col min="3" max="3" width="13.73046875" customWidth="1"/>
    <col min="4" max="11" width="16.3984375" customWidth="1"/>
  </cols>
  <sheetData>
    <row r="1" spans="1:10" ht="14.65" thickBot="1" x14ac:dyDescent="0.5">
      <c r="A1" s="36" t="s">
        <v>142</v>
      </c>
      <c r="B1" s="34">
        <v>2022</v>
      </c>
      <c r="C1" s="34">
        <v>2023</v>
      </c>
      <c r="D1" s="51">
        <v>2024</v>
      </c>
      <c r="E1" s="51">
        <v>2025</v>
      </c>
      <c r="F1" s="51">
        <v>2026</v>
      </c>
      <c r="G1" s="51">
        <v>2027</v>
      </c>
      <c r="H1" s="51">
        <v>2028</v>
      </c>
      <c r="I1" s="51">
        <v>2029</v>
      </c>
      <c r="J1" s="52">
        <v>2030</v>
      </c>
    </row>
    <row r="2" spans="1:10" x14ac:dyDescent="0.45">
      <c r="A2" s="37" t="s">
        <v>141</v>
      </c>
      <c r="B2" s="30"/>
      <c r="C2" s="30"/>
      <c r="D2" s="30">
        <f>D8*$F$8</f>
        <v>59499.999999999993</v>
      </c>
      <c r="E2" s="30">
        <f>E8*$F$8</f>
        <v>4250</v>
      </c>
      <c r="F2" s="30"/>
      <c r="G2" s="30"/>
      <c r="H2" s="30"/>
      <c r="I2" s="30"/>
      <c r="J2" s="39"/>
    </row>
    <row r="3" spans="1:10" x14ac:dyDescent="0.45">
      <c r="A3" s="37" t="s">
        <v>145</v>
      </c>
      <c r="B3" s="41"/>
      <c r="C3" s="41"/>
      <c r="D3" s="41">
        <f>D5*'Dự toán TSCĐ'!D8</f>
        <v>2673.0750000000003</v>
      </c>
      <c r="E3" s="41">
        <f>E5*'Dự toán TSCĐ'!E8</f>
        <v>4021.3568999999993</v>
      </c>
      <c r="F3" s="41">
        <f>F5*'Dự toán TSCĐ'!F8</f>
        <v>5926.7627189999985</v>
      </c>
      <c r="G3" s="41">
        <f>G5*'Dự toán TSCĐ'!G8</f>
        <v>6234.171053189998</v>
      </c>
      <c r="H3" s="41">
        <f>H5*'Dự toán TSCĐ'!H8</f>
        <v>6474.3156452918975</v>
      </c>
      <c r="I3" s="41">
        <f>I5*'Dự toán TSCĐ'!I8</f>
        <v>6726.0839333405165</v>
      </c>
      <c r="J3" s="42">
        <f>J5*'Dự toán TSCĐ'!J8</f>
        <v>6987.5742420326796</v>
      </c>
    </row>
    <row r="4" spans="1:10" ht="16.5" customHeight="1" x14ac:dyDescent="0.45">
      <c r="A4" s="61" t="s">
        <v>49</v>
      </c>
      <c r="B4" s="56"/>
      <c r="C4" s="56"/>
      <c r="D4" s="56">
        <f t="shared" ref="D4:J4" si="0">SUM(D2:D3)</f>
        <v>62173.07499999999</v>
      </c>
      <c r="E4" s="56">
        <f t="shared" si="0"/>
        <v>8271.3568999999989</v>
      </c>
      <c r="F4" s="56">
        <f t="shared" si="0"/>
        <v>5926.7627189999985</v>
      </c>
      <c r="G4" s="56">
        <f t="shared" si="0"/>
        <v>6234.171053189998</v>
      </c>
      <c r="H4" s="56">
        <f t="shared" si="0"/>
        <v>6474.3156452918975</v>
      </c>
      <c r="I4" s="56">
        <f t="shared" si="0"/>
        <v>6726.0839333405165</v>
      </c>
      <c r="J4" s="57">
        <f t="shared" si="0"/>
        <v>6987.5742420326796</v>
      </c>
    </row>
    <row r="5" spans="1:10" ht="16.5" customHeight="1" thickBot="1" x14ac:dyDescent="0.5">
      <c r="A5" s="38" t="s">
        <v>146</v>
      </c>
      <c r="B5" s="58">
        <v>1.4999999999999999E-2</v>
      </c>
      <c r="C5" s="59">
        <v>1.4999999999999999E-2</v>
      </c>
      <c r="D5" s="59">
        <v>2.5000000000000001E-2</v>
      </c>
      <c r="E5" s="59">
        <v>0.03</v>
      </c>
      <c r="F5" s="59">
        <v>0.03</v>
      </c>
      <c r="G5" s="59">
        <v>0.03</v>
      </c>
      <c r="H5" s="59">
        <v>0.03</v>
      </c>
      <c r="I5" s="59">
        <v>0.03</v>
      </c>
      <c r="J5" s="60">
        <v>0.03</v>
      </c>
    </row>
    <row r="6" spans="1:10" ht="16.5" customHeight="1" thickBot="1" x14ac:dyDescent="0.5">
      <c r="A6" s="4"/>
    </row>
    <row r="7" spans="1:10" ht="14.65" thickBot="1" x14ac:dyDescent="0.5">
      <c r="A7" s="36" t="s">
        <v>143</v>
      </c>
      <c r="B7" s="34">
        <v>2022</v>
      </c>
      <c r="C7" s="34">
        <v>2023</v>
      </c>
      <c r="D7" s="51">
        <v>2024</v>
      </c>
      <c r="E7" s="51">
        <v>2025</v>
      </c>
      <c r="F7" s="63" t="s">
        <v>144</v>
      </c>
      <c r="G7" s="45"/>
      <c r="H7" s="45"/>
      <c r="I7" s="45"/>
      <c r="J7" s="45"/>
    </row>
    <row r="8" spans="1:10" ht="14.65" thickBot="1" x14ac:dyDescent="0.5">
      <c r="A8" s="38" t="s">
        <v>141</v>
      </c>
      <c r="B8" s="62">
        <v>0.1</v>
      </c>
      <c r="C8" s="62">
        <v>0.15</v>
      </c>
      <c r="D8" s="62">
        <v>0.7</v>
      </c>
      <c r="E8" s="62">
        <v>0.05</v>
      </c>
      <c r="F8" s="40">
        <v>85000</v>
      </c>
    </row>
    <row r="9" spans="1:10" x14ac:dyDescent="0.45">
      <c r="A9" s="4"/>
    </row>
    <row r="10" spans="1:10" x14ac:dyDescent="0.45">
      <c r="A10" s="20"/>
      <c r="B10" s="20"/>
      <c r="C10" s="20"/>
      <c r="D10" s="45"/>
      <c r="E10" s="45"/>
      <c r="F10" s="45"/>
      <c r="G10" s="45"/>
      <c r="H10" s="45"/>
      <c r="I10" s="45"/>
      <c r="J10" s="45"/>
    </row>
    <row r="11" spans="1:10" x14ac:dyDescent="0.45">
      <c r="A11" s="4"/>
    </row>
    <row r="12" spans="1:10" x14ac:dyDescent="0.45">
      <c r="A12" s="4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5669-2983-4D43-8762-BB1B292AE322}">
  <dimension ref="A1:J25"/>
  <sheetViews>
    <sheetView workbookViewId="0">
      <selection activeCell="F27" sqref="F27"/>
    </sheetView>
  </sheetViews>
  <sheetFormatPr defaultRowHeight="14.25" x14ac:dyDescent="0.45"/>
  <cols>
    <col min="1" max="1" width="24.265625" customWidth="1"/>
    <col min="2" max="9" width="18" customWidth="1"/>
    <col min="10" max="10" width="16.1328125" customWidth="1"/>
  </cols>
  <sheetData>
    <row r="1" spans="1:10" ht="14.65" thickBot="1" x14ac:dyDescent="0.5">
      <c r="A1" s="36" t="s">
        <v>152</v>
      </c>
      <c r="B1" s="34">
        <v>2022</v>
      </c>
      <c r="C1" s="34">
        <v>2023</v>
      </c>
      <c r="D1" s="51">
        <v>2024</v>
      </c>
      <c r="E1" s="51">
        <v>2025</v>
      </c>
      <c r="F1" s="51">
        <v>2026</v>
      </c>
      <c r="G1" s="51">
        <v>2027</v>
      </c>
      <c r="H1" s="51">
        <v>2028</v>
      </c>
      <c r="I1" s="51">
        <v>2029</v>
      </c>
      <c r="J1" s="52">
        <v>2030</v>
      </c>
    </row>
    <row r="2" spans="1:10" x14ac:dyDescent="0.45">
      <c r="A2" s="37" t="s">
        <v>153</v>
      </c>
      <c r="B2" s="47">
        <v>8289</v>
      </c>
      <c r="C2" s="47">
        <v>13334</v>
      </c>
      <c r="D2" s="47">
        <f>C5</f>
        <v>26053</v>
      </c>
      <c r="E2" s="47">
        <f t="shared" ref="E2:J2" si="0">D5</f>
        <v>62173.074999999983</v>
      </c>
      <c r="F2" s="47">
        <f t="shared" si="0"/>
        <v>8271.3568999999989</v>
      </c>
      <c r="G2" s="47">
        <f t="shared" si="0"/>
        <v>5926.7627189999985</v>
      </c>
      <c r="H2" s="47">
        <f t="shared" si="0"/>
        <v>6234.1710531899989</v>
      </c>
      <c r="I2" s="47">
        <f t="shared" si="0"/>
        <v>6474.3156452918975</v>
      </c>
      <c r="J2" s="48">
        <f t="shared" si="0"/>
        <v>6726.0839333405165</v>
      </c>
    </row>
    <row r="3" spans="1:10" x14ac:dyDescent="0.45">
      <c r="A3" s="37" t="s">
        <v>154</v>
      </c>
      <c r="B3" s="47"/>
      <c r="C3" s="47"/>
      <c r="D3" s="47">
        <f>'Kế hoạch đầu tư'!D4</f>
        <v>62173.07499999999</v>
      </c>
      <c r="E3" s="47">
        <f>'Kế hoạch đầu tư'!E4</f>
        <v>8271.3568999999989</v>
      </c>
      <c r="F3" s="47">
        <f>'Kế hoạch đầu tư'!F4</f>
        <v>5926.7627189999985</v>
      </c>
      <c r="G3" s="47">
        <f>'Kế hoạch đầu tư'!G4</f>
        <v>6234.171053189998</v>
      </c>
      <c r="H3" s="47">
        <f>'Kế hoạch đầu tư'!H4</f>
        <v>6474.3156452918975</v>
      </c>
      <c r="I3" s="47">
        <f>'Kế hoạch đầu tư'!I4</f>
        <v>6726.0839333405165</v>
      </c>
      <c r="J3" s="48">
        <f>'Kế hoạch đầu tư'!J4</f>
        <v>6987.5742420326796</v>
      </c>
    </row>
    <row r="4" spans="1:10" x14ac:dyDescent="0.45">
      <c r="A4" s="37" t="s">
        <v>155</v>
      </c>
      <c r="B4" s="47"/>
      <c r="C4" s="47"/>
      <c r="D4" s="47">
        <f>D2</f>
        <v>26053</v>
      </c>
      <c r="E4" s="47">
        <f t="shared" ref="E4:J4" si="1">E2</f>
        <v>62173.074999999983</v>
      </c>
      <c r="F4" s="47">
        <f t="shared" si="1"/>
        <v>8271.3568999999989</v>
      </c>
      <c r="G4" s="47">
        <f t="shared" si="1"/>
        <v>5926.7627189999985</v>
      </c>
      <c r="H4" s="47">
        <f t="shared" si="1"/>
        <v>6234.1710531899989</v>
      </c>
      <c r="I4" s="47">
        <f t="shared" si="1"/>
        <v>6474.3156452918975</v>
      </c>
      <c r="J4" s="48">
        <f t="shared" si="1"/>
        <v>6726.0839333405165</v>
      </c>
    </row>
    <row r="5" spans="1:10" ht="14.65" thickBot="1" x14ac:dyDescent="0.5">
      <c r="A5" s="53" t="s">
        <v>156</v>
      </c>
      <c r="B5" s="49">
        <v>13334</v>
      </c>
      <c r="C5" s="49">
        <v>26053</v>
      </c>
      <c r="D5" s="49">
        <f>D2+D3-D4</f>
        <v>62173.074999999983</v>
      </c>
      <c r="E5" s="49">
        <f t="shared" ref="E5:J5" si="2">E2+E3-E4</f>
        <v>8271.3568999999989</v>
      </c>
      <c r="F5" s="49">
        <f t="shared" si="2"/>
        <v>5926.7627189999985</v>
      </c>
      <c r="G5" s="49">
        <f t="shared" si="2"/>
        <v>6234.1710531899989</v>
      </c>
      <c r="H5" s="49">
        <f t="shared" si="2"/>
        <v>6474.3156452918975</v>
      </c>
      <c r="I5" s="49">
        <f t="shared" si="2"/>
        <v>6726.0839333405165</v>
      </c>
      <c r="J5" s="50">
        <f t="shared" si="2"/>
        <v>6987.5742420326787</v>
      </c>
    </row>
    <row r="6" spans="1:10" ht="14.65" thickBot="1" x14ac:dyDescent="0.5"/>
    <row r="7" spans="1:10" ht="14.65" thickBot="1" x14ac:dyDescent="0.5">
      <c r="A7" s="36" t="s">
        <v>147</v>
      </c>
      <c r="B7" s="34">
        <v>2022</v>
      </c>
      <c r="C7" s="34">
        <v>2023</v>
      </c>
      <c r="D7" s="51">
        <v>2024</v>
      </c>
      <c r="E7" s="51">
        <v>2025</v>
      </c>
      <c r="F7" s="51">
        <v>2026</v>
      </c>
      <c r="G7" s="51">
        <v>2027</v>
      </c>
      <c r="H7" s="51">
        <v>2028</v>
      </c>
      <c r="I7" s="51">
        <v>2029</v>
      </c>
      <c r="J7" s="52">
        <v>2030</v>
      </c>
    </row>
    <row r="8" spans="1:10" x14ac:dyDescent="0.45">
      <c r="A8" s="37" t="s">
        <v>149</v>
      </c>
      <c r="B8" s="54">
        <v>91026</v>
      </c>
      <c r="C8" s="54">
        <v>98976</v>
      </c>
      <c r="D8" s="47">
        <f>C11</f>
        <v>106923</v>
      </c>
      <c r="E8" s="47">
        <f t="shared" ref="E8:J8" si="3">D11</f>
        <v>134045.22999999998</v>
      </c>
      <c r="F8" s="47">
        <f t="shared" si="3"/>
        <v>197558.75729999997</v>
      </c>
      <c r="G8" s="47">
        <f t="shared" si="3"/>
        <v>207805.70177299995</v>
      </c>
      <c r="H8" s="47">
        <f t="shared" si="3"/>
        <v>215810.52150972994</v>
      </c>
      <c r="I8" s="47">
        <f t="shared" si="3"/>
        <v>224202.79777801724</v>
      </c>
      <c r="J8" s="48">
        <f t="shared" si="3"/>
        <v>232919.14140108932</v>
      </c>
    </row>
    <row r="9" spans="1:10" x14ac:dyDescent="0.45">
      <c r="A9" s="37" t="s">
        <v>157</v>
      </c>
      <c r="B9" s="54"/>
      <c r="C9" s="54"/>
      <c r="D9" s="54">
        <f>D8*1%</f>
        <v>1069.23</v>
      </c>
      <c r="E9" s="54">
        <f t="shared" ref="E9:J9" si="4">E8*1%</f>
        <v>1340.4522999999999</v>
      </c>
      <c r="F9" s="54">
        <f t="shared" si="4"/>
        <v>1975.5875729999998</v>
      </c>
      <c r="G9" s="54">
        <f t="shared" si="4"/>
        <v>2078.0570177299996</v>
      </c>
      <c r="H9" s="54">
        <f t="shared" si="4"/>
        <v>2158.1052150972996</v>
      </c>
      <c r="I9" s="54">
        <f t="shared" si="4"/>
        <v>2242.0279777801725</v>
      </c>
      <c r="J9" s="55">
        <f t="shared" si="4"/>
        <v>2329.1914140108934</v>
      </c>
    </row>
    <row r="10" spans="1:10" x14ac:dyDescent="0.45">
      <c r="A10" s="37" t="s">
        <v>150</v>
      </c>
      <c r="B10" s="54"/>
      <c r="C10" s="54"/>
      <c r="D10" s="54">
        <f>D4</f>
        <v>26053</v>
      </c>
      <c r="E10" s="54">
        <f t="shared" ref="E10:J10" si="5">E4</f>
        <v>62173.074999999983</v>
      </c>
      <c r="F10" s="54">
        <f t="shared" si="5"/>
        <v>8271.3568999999989</v>
      </c>
      <c r="G10" s="54">
        <f t="shared" si="5"/>
        <v>5926.7627189999985</v>
      </c>
      <c r="H10" s="54">
        <f t="shared" si="5"/>
        <v>6234.1710531899989</v>
      </c>
      <c r="I10" s="54">
        <f t="shared" si="5"/>
        <v>6474.3156452918975</v>
      </c>
      <c r="J10" s="55">
        <f t="shared" si="5"/>
        <v>6726.0839333405165</v>
      </c>
    </row>
    <row r="11" spans="1:10" ht="14.65" thickBot="1" x14ac:dyDescent="0.5">
      <c r="A11" s="53" t="s">
        <v>151</v>
      </c>
      <c r="B11" s="49">
        <v>98976</v>
      </c>
      <c r="C11" s="49">
        <v>106923</v>
      </c>
      <c r="D11" s="49">
        <f>D8+D9+D10</f>
        <v>134045.22999999998</v>
      </c>
      <c r="E11" s="49">
        <f t="shared" ref="E11:J11" si="6">E8+E9+E10</f>
        <v>197558.75729999997</v>
      </c>
      <c r="F11" s="49">
        <f t="shared" si="6"/>
        <v>207805.70177299995</v>
      </c>
      <c r="G11" s="49">
        <f t="shared" si="6"/>
        <v>215810.52150972994</v>
      </c>
      <c r="H11" s="49">
        <f t="shared" si="6"/>
        <v>224202.79777801724</v>
      </c>
      <c r="I11" s="49">
        <f t="shared" si="6"/>
        <v>232919.14140108932</v>
      </c>
      <c r="J11" s="50">
        <f t="shared" si="6"/>
        <v>241974.41674844071</v>
      </c>
    </row>
    <row r="12" spans="1:10" ht="14.65" thickBot="1" x14ac:dyDescent="0.5">
      <c r="B12" s="46"/>
      <c r="C12" s="46"/>
      <c r="D12" s="46"/>
    </row>
    <row r="13" spans="1:10" ht="14.65" thickBot="1" x14ac:dyDescent="0.5">
      <c r="A13" s="36" t="s">
        <v>121</v>
      </c>
      <c r="B13" s="34">
        <v>2022</v>
      </c>
      <c r="C13" s="34">
        <v>2023</v>
      </c>
      <c r="D13" s="51">
        <v>2024</v>
      </c>
      <c r="E13" s="51">
        <v>2025</v>
      </c>
      <c r="F13" s="51">
        <v>2026</v>
      </c>
      <c r="G13" s="51">
        <v>2027</v>
      </c>
      <c r="H13" s="51">
        <v>2028</v>
      </c>
      <c r="I13" s="51">
        <v>2029</v>
      </c>
      <c r="J13" s="52">
        <v>2030</v>
      </c>
    </row>
    <row r="14" spans="1:10" x14ac:dyDescent="0.45">
      <c r="A14" s="37" t="s">
        <v>158</v>
      </c>
      <c r="B14" s="64"/>
      <c r="C14" s="64"/>
      <c r="D14" s="30">
        <v>17</v>
      </c>
      <c r="E14" s="30">
        <v>17</v>
      </c>
      <c r="F14" s="30">
        <v>17</v>
      </c>
      <c r="G14" s="30">
        <v>17</v>
      </c>
      <c r="H14" s="30">
        <v>17</v>
      </c>
      <c r="I14" s="30">
        <v>17</v>
      </c>
      <c r="J14" s="39">
        <v>17</v>
      </c>
    </row>
    <row r="15" spans="1:10" x14ac:dyDescent="0.45">
      <c r="A15" s="37" t="s">
        <v>159</v>
      </c>
      <c r="B15" s="30"/>
      <c r="C15" s="30"/>
      <c r="D15" s="47">
        <f>D9+D10</f>
        <v>27122.23</v>
      </c>
      <c r="E15" s="47">
        <f t="shared" ref="E15:J15" si="7">E9+E10</f>
        <v>63513.52729999998</v>
      </c>
      <c r="F15" s="47">
        <f t="shared" si="7"/>
        <v>10246.944473</v>
      </c>
      <c r="G15" s="47">
        <f t="shared" si="7"/>
        <v>8004.8197367299981</v>
      </c>
      <c r="H15" s="47">
        <f t="shared" si="7"/>
        <v>8392.2762682872981</v>
      </c>
      <c r="I15" s="47">
        <f t="shared" si="7"/>
        <v>8716.343623072069</v>
      </c>
      <c r="J15" s="48">
        <f t="shared" si="7"/>
        <v>9055.2753473514094</v>
      </c>
    </row>
    <row r="16" spans="1:10" x14ac:dyDescent="0.45">
      <c r="A16" s="66" t="s">
        <v>160</v>
      </c>
      <c r="B16" s="67"/>
      <c r="C16" s="68"/>
      <c r="D16" s="68">
        <v>6762</v>
      </c>
      <c r="E16" s="68">
        <v>6762</v>
      </c>
      <c r="F16" s="68">
        <v>6762</v>
      </c>
      <c r="G16" s="68">
        <v>6762</v>
      </c>
      <c r="H16" s="68">
        <v>6762</v>
      </c>
      <c r="I16" s="68">
        <v>6762</v>
      </c>
      <c r="J16" s="69">
        <v>6762</v>
      </c>
    </row>
    <row r="17" spans="1:10" ht="14.65" thickBot="1" x14ac:dyDescent="0.5">
      <c r="A17" s="70">
        <v>2024</v>
      </c>
      <c r="B17" s="67"/>
      <c r="C17" s="68"/>
      <c r="D17" s="68">
        <f>D$15/D$14</f>
        <v>1595.4252941176471</v>
      </c>
      <c r="E17" s="68">
        <f>D17</f>
        <v>1595.4252941176471</v>
      </c>
      <c r="F17" s="68">
        <f t="shared" ref="F17:J17" si="8">E17</f>
        <v>1595.4252941176471</v>
      </c>
      <c r="G17" s="68">
        <f t="shared" si="8"/>
        <v>1595.4252941176471</v>
      </c>
      <c r="H17" s="68">
        <f t="shared" si="8"/>
        <v>1595.4252941176471</v>
      </c>
      <c r="I17" s="68">
        <f t="shared" si="8"/>
        <v>1595.4252941176471</v>
      </c>
      <c r="J17" s="69">
        <f t="shared" si="8"/>
        <v>1595.4252941176471</v>
      </c>
    </row>
    <row r="18" spans="1:10" x14ac:dyDescent="0.45">
      <c r="A18" s="70">
        <v>2025</v>
      </c>
      <c r="B18" s="71"/>
      <c r="C18" s="71"/>
      <c r="D18" s="71"/>
      <c r="E18" s="68">
        <f>E$15/E$14</f>
        <v>3736.0898411764692</v>
      </c>
      <c r="F18" s="68">
        <f>E18</f>
        <v>3736.0898411764692</v>
      </c>
      <c r="G18" s="68">
        <f t="shared" ref="G18:J18" si="9">F18</f>
        <v>3736.0898411764692</v>
      </c>
      <c r="H18" s="68">
        <f t="shared" si="9"/>
        <v>3736.0898411764692</v>
      </c>
      <c r="I18" s="68">
        <f t="shared" si="9"/>
        <v>3736.0898411764692</v>
      </c>
      <c r="J18" s="69">
        <f t="shared" si="9"/>
        <v>3736.0898411764692</v>
      </c>
    </row>
    <row r="19" spans="1:10" x14ac:dyDescent="0.45">
      <c r="A19" s="70">
        <v>2026</v>
      </c>
      <c r="B19" s="67"/>
      <c r="C19" s="68"/>
      <c r="D19" s="68"/>
      <c r="E19" s="68"/>
      <c r="F19" s="68">
        <f>F$15/F$14</f>
        <v>602.76143958823525</v>
      </c>
      <c r="G19" s="68">
        <f>F19</f>
        <v>602.76143958823525</v>
      </c>
      <c r="H19" s="68">
        <f t="shared" ref="H19:J19" si="10">G19</f>
        <v>602.76143958823525</v>
      </c>
      <c r="I19" s="68">
        <f t="shared" si="10"/>
        <v>602.76143958823525</v>
      </c>
      <c r="J19" s="69">
        <f t="shared" si="10"/>
        <v>602.76143958823525</v>
      </c>
    </row>
    <row r="20" spans="1:10" x14ac:dyDescent="0.45">
      <c r="A20" s="70">
        <v>2027</v>
      </c>
      <c r="B20" s="67"/>
      <c r="C20" s="68"/>
      <c r="D20" s="68"/>
      <c r="E20" s="68"/>
      <c r="F20" s="68"/>
      <c r="G20" s="68">
        <f>G$15/G$14</f>
        <v>470.87174921941164</v>
      </c>
      <c r="H20" s="68">
        <f>G20</f>
        <v>470.87174921941164</v>
      </c>
      <c r="I20" s="68">
        <f t="shared" ref="I20:J20" si="11">H20</f>
        <v>470.87174921941164</v>
      </c>
      <c r="J20" s="69">
        <f t="shared" si="11"/>
        <v>470.87174921941164</v>
      </c>
    </row>
    <row r="21" spans="1:10" x14ac:dyDescent="0.45">
      <c r="A21" s="70">
        <v>2028</v>
      </c>
      <c r="B21" s="67"/>
      <c r="C21" s="68"/>
      <c r="D21" s="68"/>
      <c r="E21" s="68"/>
      <c r="F21" s="68"/>
      <c r="G21" s="68"/>
      <c r="H21" s="68">
        <f>H$15/H$14</f>
        <v>493.66330989925285</v>
      </c>
      <c r="I21" s="68">
        <f>H21</f>
        <v>493.66330989925285</v>
      </c>
      <c r="J21" s="69">
        <f>I21</f>
        <v>493.66330989925285</v>
      </c>
    </row>
    <row r="22" spans="1:10" x14ac:dyDescent="0.45">
      <c r="A22" s="70">
        <v>2029</v>
      </c>
      <c r="B22" s="67"/>
      <c r="C22" s="68"/>
      <c r="D22" s="68"/>
      <c r="E22" s="68"/>
      <c r="F22" s="68"/>
      <c r="G22" s="68"/>
      <c r="H22" s="68"/>
      <c r="I22" s="68">
        <f>I$15/I$14</f>
        <v>512.72609547482762</v>
      </c>
      <c r="J22" s="69">
        <f>I22</f>
        <v>512.72609547482762</v>
      </c>
    </row>
    <row r="23" spans="1:10" x14ac:dyDescent="0.45">
      <c r="A23" s="70">
        <v>2030</v>
      </c>
      <c r="B23" s="67"/>
      <c r="C23" s="68"/>
      <c r="D23" s="68"/>
      <c r="E23" s="68"/>
      <c r="F23" s="68"/>
      <c r="G23" s="68"/>
      <c r="H23" s="68"/>
      <c r="I23" s="68"/>
      <c r="J23" s="69">
        <f>J$15/J$14</f>
        <v>532.66325572655353</v>
      </c>
    </row>
    <row r="24" spans="1:10" x14ac:dyDescent="0.45">
      <c r="A24" s="66" t="s">
        <v>49</v>
      </c>
      <c r="B24" s="72"/>
      <c r="C24" s="72"/>
      <c r="D24" s="73">
        <f>SUM(D16:D23)</f>
        <v>8357.4252941176474</v>
      </c>
      <c r="E24" s="73">
        <f t="shared" ref="E24:J24" si="12">SUM(E16:E23)</f>
        <v>12093.515135294117</v>
      </c>
      <c r="F24" s="73">
        <f t="shared" si="12"/>
        <v>12696.276574882353</v>
      </c>
      <c r="G24" s="73">
        <f t="shared" si="12"/>
        <v>13167.148324101765</v>
      </c>
      <c r="H24" s="73">
        <f t="shared" si="12"/>
        <v>13660.811634001018</v>
      </c>
      <c r="I24" s="73">
        <f t="shared" si="12"/>
        <v>14173.537729475845</v>
      </c>
      <c r="J24" s="74">
        <f t="shared" si="12"/>
        <v>14706.200985202398</v>
      </c>
    </row>
    <row r="25" spans="1:10" ht="14.65" thickBot="1" x14ac:dyDescent="0.5">
      <c r="A25" s="53" t="s">
        <v>161</v>
      </c>
      <c r="B25" s="65"/>
      <c r="C25" s="49">
        <v>35136</v>
      </c>
      <c r="D25" s="49">
        <f>C25+D24</f>
        <v>43493.425294117646</v>
      </c>
      <c r="E25" s="49">
        <f t="shared" ref="E25:J25" si="13">D25+E24</f>
        <v>55586.940429411763</v>
      </c>
      <c r="F25" s="49">
        <f t="shared" si="13"/>
        <v>68283.217004294114</v>
      </c>
      <c r="G25" s="49">
        <f t="shared" si="13"/>
        <v>81450.365328395885</v>
      </c>
      <c r="H25" s="49">
        <f t="shared" si="13"/>
        <v>95111.176962396901</v>
      </c>
      <c r="I25" s="49">
        <f t="shared" si="13"/>
        <v>109284.71469187275</v>
      </c>
      <c r="J25" s="50">
        <f t="shared" si="13"/>
        <v>123990.91567707516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3B7D-CBCB-4C72-9928-925D77EC95C4}">
  <dimension ref="A1:L104"/>
  <sheetViews>
    <sheetView tabSelected="1" workbookViewId="0">
      <pane xSplit="1" topLeftCell="B1" activePane="topRight" state="frozen"/>
      <selection pane="topRight" activeCell="H14" sqref="H14"/>
    </sheetView>
  </sheetViews>
  <sheetFormatPr defaultRowHeight="14.25" x14ac:dyDescent="0.45"/>
  <cols>
    <col min="1" max="1" width="24.53125" customWidth="1"/>
    <col min="2" max="10" width="14.9296875" customWidth="1"/>
    <col min="11" max="12" width="17.265625" customWidth="1"/>
  </cols>
  <sheetData>
    <row r="1" spans="1:12" ht="14.65" thickBot="1" x14ac:dyDescent="0.5">
      <c r="A1" s="193"/>
      <c r="B1" s="105">
        <v>2022</v>
      </c>
      <c r="C1" s="34">
        <v>2023</v>
      </c>
      <c r="D1" s="51">
        <v>2024</v>
      </c>
      <c r="E1" s="51">
        <v>2025</v>
      </c>
      <c r="F1" s="51">
        <v>2026</v>
      </c>
      <c r="G1" s="51">
        <v>2027</v>
      </c>
      <c r="H1" s="51">
        <v>2028</v>
      </c>
      <c r="I1" s="51">
        <v>2029</v>
      </c>
      <c r="J1" s="52">
        <v>2030</v>
      </c>
    </row>
    <row r="2" spans="1:12" x14ac:dyDescent="0.45">
      <c r="A2" s="61" t="s">
        <v>316</v>
      </c>
      <c r="B2" s="47">
        <f>SUM(B3:B4)</f>
        <v>51025.337067137662</v>
      </c>
      <c r="C2" s="47">
        <f t="shared" ref="C2:E2" si="0">SUM(C3:C4)</f>
        <v>59846.049847302667</v>
      </c>
      <c r="D2" s="47">
        <f t="shared" si="0"/>
        <v>91428.5</v>
      </c>
      <c r="E2" s="47">
        <f t="shared" si="0"/>
        <v>108614.95826756397</v>
      </c>
      <c r="F2" s="30"/>
      <c r="G2" s="30"/>
      <c r="H2" s="30"/>
      <c r="I2" s="30"/>
      <c r="J2" s="39"/>
    </row>
    <row r="3" spans="1:12" x14ac:dyDescent="0.45">
      <c r="A3" s="37" t="s">
        <v>316</v>
      </c>
      <c r="B3" s="47">
        <f>BS!D63/10^9</f>
        <v>46748.670400470997</v>
      </c>
      <c r="C3" s="47">
        <f>BS!E63/10^9</f>
        <v>54981.883180636003</v>
      </c>
      <c r="D3" s="47">
        <v>85456</v>
      </c>
      <c r="E3" s="47">
        <f>C3*WC!G22/WC!E22*1.2</f>
        <v>106976.62493423064</v>
      </c>
      <c r="F3" s="30"/>
      <c r="G3" s="30"/>
      <c r="H3" s="30"/>
      <c r="I3" s="30"/>
      <c r="J3" s="39"/>
    </row>
    <row r="4" spans="1:12" x14ac:dyDescent="0.45">
      <c r="A4" s="37" t="s">
        <v>294</v>
      </c>
      <c r="B4" s="47">
        <f>SUM(B14,B25,B36,B47,B58,B69,B80,B91,B102)</f>
        <v>4276.6666666666661</v>
      </c>
      <c r="C4" s="47">
        <f t="shared" ref="C4:E4" si="1">SUM(C14,C25,C36,C47,C58,C69,C80,C91,C102)</f>
        <v>4864.1666666666661</v>
      </c>
      <c r="D4" s="47">
        <f t="shared" si="1"/>
        <v>5972.5</v>
      </c>
      <c r="E4" s="47">
        <f t="shared" si="1"/>
        <v>1638.3333333333333</v>
      </c>
      <c r="F4" s="41"/>
      <c r="G4" s="41"/>
      <c r="H4" s="41"/>
      <c r="I4" s="41"/>
      <c r="J4" s="42"/>
    </row>
    <row r="5" spans="1:12" ht="14.65" thickBot="1" x14ac:dyDescent="0.5">
      <c r="A5" s="53" t="s">
        <v>290</v>
      </c>
      <c r="B5" s="89">
        <f>SUM(B13,B24,B35,B46,B57,B68,B79,B90,B101)</f>
        <v>13055.333333333334</v>
      </c>
      <c r="C5" s="89">
        <f t="shared" ref="C5:E5" si="2">SUM(C13,C24,C35,C46,C57,C68,C79,C90,C101)</f>
        <v>8634.1666666666679</v>
      </c>
      <c r="D5" s="89">
        <f t="shared" si="2"/>
        <v>3071.666666666667</v>
      </c>
      <c r="E5" s="89">
        <f t="shared" si="2"/>
        <v>1433.3333333333337</v>
      </c>
      <c r="F5" s="43"/>
      <c r="G5" s="43"/>
      <c r="H5" s="43"/>
      <c r="I5" s="43"/>
      <c r="J5" s="44"/>
      <c r="K5" s="77" t="s">
        <v>306</v>
      </c>
    </row>
    <row r="6" spans="1:12" ht="14.65" thickBot="1" x14ac:dyDescent="0.5">
      <c r="A6" s="20"/>
      <c r="K6" s="20" t="s">
        <v>307</v>
      </c>
      <c r="L6" s="20" t="s">
        <v>308</v>
      </c>
    </row>
    <row r="7" spans="1:12" ht="14.65" thickBot="1" x14ac:dyDescent="0.5">
      <c r="A7" s="79" t="s">
        <v>297</v>
      </c>
      <c r="B7" s="34">
        <v>2022</v>
      </c>
      <c r="C7" s="34">
        <v>2023</v>
      </c>
      <c r="D7" s="51">
        <v>2024</v>
      </c>
      <c r="E7" s="51">
        <v>2025</v>
      </c>
      <c r="F7" s="51">
        <v>2026</v>
      </c>
      <c r="G7" s="51">
        <v>2027</v>
      </c>
      <c r="H7" s="51">
        <v>2028</v>
      </c>
      <c r="I7" s="51">
        <v>2029</v>
      </c>
      <c r="J7" s="52">
        <v>2030</v>
      </c>
    </row>
    <row r="8" spans="1:12" x14ac:dyDescent="0.45">
      <c r="A8" s="80" t="s">
        <v>291</v>
      </c>
      <c r="B8" s="30">
        <v>7364</v>
      </c>
      <c r="C8" s="30">
        <f>B11</f>
        <v>5199</v>
      </c>
      <c r="D8" s="30">
        <f>C11</f>
        <v>3466</v>
      </c>
      <c r="E8" s="30">
        <f>D11</f>
        <v>1733</v>
      </c>
      <c r="F8" s="30"/>
      <c r="G8" s="30"/>
      <c r="H8" s="30"/>
      <c r="I8" s="30"/>
      <c r="J8" s="39"/>
      <c r="L8" s="4" t="s">
        <v>309</v>
      </c>
    </row>
    <row r="9" spans="1:12" x14ac:dyDescent="0.45">
      <c r="A9" s="81" t="s">
        <v>154</v>
      </c>
      <c r="B9" s="30" t="str">
        <f>IF(B$11-B$8&gt;0,B$11-B$8,"")</f>
        <v/>
      </c>
      <c r="C9" s="30" t="str">
        <f t="shared" ref="C9:E9" si="3">IF(C$11-C$8&gt;0,C$11-C$8,"")</f>
        <v/>
      </c>
      <c r="D9" s="30" t="str">
        <f t="shared" si="3"/>
        <v/>
      </c>
      <c r="E9" s="30" t="str">
        <f t="shared" si="3"/>
        <v/>
      </c>
      <c r="F9" s="30"/>
      <c r="G9" s="30"/>
      <c r="H9" s="30"/>
      <c r="I9" s="30"/>
      <c r="J9" s="39"/>
    </row>
    <row r="10" spans="1:12" x14ac:dyDescent="0.45">
      <c r="A10" s="81" t="s">
        <v>292</v>
      </c>
      <c r="B10" s="30">
        <f>IF(B$11-B$8&lt;0,B$11-B$8,"")</f>
        <v>-2165</v>
      </c>
      <c r="C10" s="30">
        <f t="shared" ref="C10:E10" si="4">IF(C$11-C$8&lt;0,C$11-C$8,"")</f>
        <v>-1733</v>
      </c>
      <c r="D10" s="30">
        <f t="shared" si="4"/>
        <v>-1733</v>
      </c>
      <c r="E10" s="30">
        <f t="shared" si="4"/>
        <v>-1733</v>
      </c>
      <c r="F10" s="30"/>
      <c r="G10" s="30"/>
      <c r="H10" s="30"/>
      <c r="I10" s="30"/>
      <c r="J10" s="39"/>
    </row>
    <row r="11" spans="1:12" x14ac:dyDescent="0.45">
      <c r="A11" s="80" t="s">
        <v>293</v>
      </c>
      <c r="B11" s="30">
        <v>5199</v>
      </c>
      <c r="C11" s="30">
        <f>B11-$B$11/3</f>
        <v>3466</v>
      </c>
      <c r="D11" s="30">
        <f t="shared" ref="D11:E11" si="5">C11-$B$11/3</f>
        <v>1733</v>
      </c>
      <c r="E11" s="30">
        <f t="shared" si="5"/>
        <v>0</v>
      </c>
      <c r="F11" s="30"/>
      <c r="G11" s="30"/>
      <c r="H11" s="30"/>
      <c r="I11" s="30"/>
      <c r="J11" s="39"/>
    </row>
    <row r="12" spans="1:12" x14ac:dyDescent="0.45">
      <c r="A12" s="82" t="s">
        <v>107</v>
      </c>
      <c r="B12" s="30"/>
      <c r="C12" s="30"/>
      <c r="D12" s="30"/>
      <c r="E12" s="30"/>
      <c r="F12" s="30"/>
      <c r="G12" s="30"/>
      <c r="H12" s="30"/>
      <c r="I12" s="30"/>
      <c r="J12" s="39"/>
    </row>
    <row r="13" spans="1:12" x14ac:dyDescent="0.45">
      <c r="A13" s="81" t="s">
        <v>290</v>
      </c>
      <c r="B13" s="30">
        <f>B11-B14</f>
        <v>3466</v>
      </c>
      <c r="C13" s="30">
        <f t="shared" ref="C13:E13" si="6">C11-C14</f>
        <v>1733</v>
      </c>
      <c r="D13" s="30">
        <f t="shared" si="6"/>
        <v>0</v>
      </c>
      <c r="E13" s="30">
        <f t="shared" si="6"/>
        <v>0</v>
      </c>
      <c r="F13" s="30"/>
      <c r="G13" s="30"/>
      <c r="H13" s="30"/>
      <c r="I13" s="30"/>
      <c r="J13" s="39"/>
    </row>
    <row r="14" spans="1:12" x14ac:dyDescent="0.45">
      <c r="A14" s="81" t="s">
        <v>294</v>
      </c>
      <c r="B14" s="30">
        <f t="shared" ref="B14:D14" si="7">IF(C10&lt;0,-C10,0)</f>
        <v>1733</v>
      </c>
      <c r="C14" s="30">
        <f t="shared" si="7"/>
        <v>1733</v>
      </c>
      <c r="D14" s="30">
        <f t="shared" si="7"/>
        <v>1733</v>
      </c>
      <c r="E14" s="30">
        <f>IF(F10&lt;0,-F10,0)</f>
        <v>0</v>
      </c>
      <c r="F14" s="30"/>
      <c r="G14" s="30"/>
      <c r="H14" s="30"/>
      <c r="I14" s="30"/>
      <c r="J14" s="39"/>
    </row>
    <row r="15" spans="1:12" x14ac:dyDescent="0.45">
      <c r="A15" s="80" t="s">
        <v>295</v>
      </c>
      <c r="B15" s="30"/>
      <c r="C15" s="30"/>
      <c r="D15" s="30"/>
      <c r="E15" s="30"/>
      <c r="F15" s="30"/>
      <c r="G15" s="30"/>
      <c r="H15" s="30"/>
      <c r="I15" s="30"/>
      <c r="J15" s="39"/>
    </row>
    <row r="16" spans="1:12" ht="14.65" thickBot="1" x14ac:dyDescent="0.5">
      <c r="A16" s="83" t="s">
        <v>296</v>
      </c>
      <c r="B16" s="32"/>
      <c r="C16" s="32"/>
      <c r="D16" s="32"/>
      <c r="E16" s="32"/>
      <c r="F16" s="32"/>
      <c r="G16" s="32"/>
      <c r="H16" s="32"/>
      <c r="I16" s="32"/>
      <c r="J16" s="40"/>
    </row>
    <row r="17" spans="1:12" ht="14.65" thickBot="1" x14ac:dyDescent="0.5"/>
    <row r="18" spans="1:12" ht="14.65" thickBot="1" x14ac:dyDescent="0.5">
      <c r="A18" s="79" t="s">
        <v>298</v>
      </c>
      <c r="B18" s="34">
        <v>2022</v>
      </c>
      <c r="C18" s="34">
        <v>2023</v>
      </c>
      <c r="D18" s="51">
        <v>2024</v>
      </c>
      <c r="E18" s="51">
        <v>2025</v>
      </c>
      <c r="F18" s="51">
        <v>2026</v>
      </c>
      <c r="G18" s="51">
        <v>2027</v>
      </c>
      <c r="H18" s="51">
        <v>2028</v>
      </c>
      <c r="I18" s="51">
        <v>2029</v>
      </c>
      <c r="J18" s="52">
        <v>2030</v>
      </c>
      <c r="L18" s="4" t="s">
        <v>309</v>
      </c>
    </row>
    <row r="19" spans="1:12" x14ac:dyDescent="0.45">
      <c r="A19" s="80" t="s">
        <v>291</v>
      </c>
      <c r="B19" s="41">
        <v>6823</v>
      </c>
      <c r="C19" s="41">
        <f>B22</f>
        <v>5164</v>
      </c>
      <c r="D19" s="41">
        <f>C22</f>
        <v>3442.666666666667</v>
      </c>
      <c r="E19" s="41">
        <f>D22</f>
        <v>1721.3333333333337</v>
      </c>
      <c r="F19" s="30"/>
      <c r="G19" s="30"/>
      <c r="H19" s="30"/>
      <c r="I19" s="30"/>
      <c r="J19" s="39"/>
    </row>
    <row r="20" spans="1:12" x14ac:dyDescent="0.45">
      <c r="A20" s="81" t="s">
        <v>154</v>
      </c>
      <c r="B20" s="41" t="str">
        <f>IF(B$22-B$19&gt;0,B$22-B$19,"")</f>
        <v/>
      </c>
      <c r="C20" s="41" t="str">
        <f t="shared" ref="C20:E20" si="8">IF(C$22-C$19&gt;0,C$22-C$19,"")</f>
        <v/>
      </c>
      <c r="D20" s="41" t="str">
        <f t="shared" si="8"/>
        <v/>
      </c>
      <c r="E20" s="41" t="str">
        <f t="shared" si="8"/>
        <v/>
      </c>
      <c r="F20" s="30"/>
      <c r="G20" s="30"/>
      <c r="H20" s="30"/>
      <c r="I20" s="30"/>
      <c r="J20" s="39"/>
    </row>
    <row r="21" spans="1:12" x14ac:dyDescent="0.45">
      <c r="A21" s="81" t="s">
        <v>292</v>
      </c>
      <c r="B21" s="41">
        <f>IF(B$22-B$19&lt;0,B$22-B$19,"")</f>
        <v>-1659</v>
      </c>
      <c r="C21" s="41">
        <f t="shared" ref="C21:E21" si="9">IF(C$22-C$19&lt;0,C$22-C$19,"")</f>
        <v>-1721.333333333333</v>
      </c>
      <c r="D21" s="41">
        <f t="shared" si="9"/>
        <v>-1721.3333333333333</v>
      </c>
      <c r="E21" s="41">
        <f t="shared" si="9"/>
        <v>-1721.3333333333337</v>
      </c>
      <c r="F21" s="30"/>
      <c r="G21" s="30"/>
      <c r="H21" s="30"/>
      <c r="I21" s="30"/>
      <c r="J21" s="39"/>
    </row>
    <row r="22" spans="1:12" x14ac:dyDescent="0.45">
      <c r="A22" s="80" t="s">
        <v>293</v>
      </c>
      <c r="B22" s="41">
        <v>5164</v>
      </c>
      <c r="C22" s="41">
        <f>B22-$B$22/3</f>
        <v>3442.666666666667</v>
      </c>
      <c r="D22" s="41">
        <f t="shared" ref="D22:E22" si="10">C22-$B$22/3</f>
        <v>1721.3333333333337</v>
      </c>
      <c r="E22" s="41">
        <f t="shared" si="10"/>
        <v>0</v>
      </c>
      <c r="F22" s="30"/>
      <c r="G22" s="30"/>
      <c r="H22" s="30"/>
      <c r="I22" s="30"/>
      <c r="J22" s="39"/>
    </row>
    <row r="23" spans="1:12" x14ac:dyDescent="0.45">
      <c r="A23" s="82" t="s">
        <v>107</v>
      </c>
      <c r="B23" s="30"/>
      <c r="C23" s="30"/>
      <c r="D23" s="30"/>
      <c r="E23" s="30"/>
      <c r="F23" s="30"/>
      <c r="G23" s="30"/>
      <c r="H23" s="30"/>
      <c r="I23" s="30"/>
      <c r="J23" s="39"/>
    </row>
    <row r="24" spans="1:12" x14ac:dyDescent="0.45">
      <c r="A24" s="81" t="s">
        <v>290</v>
      </c>
      <c r="B24" s="41">
        <f>B22-B25</f>
        <v>3442.666666666667</v>
      </c>
      <c r="C24" s="41">
        <f t="shared" ref="C24:E24" si="11">C22-C25</f>
        <v>1721.3333333333337</v>
      </c>
      <c r="D24" s="41">
        <f t="shared" si="11"/>
        <v>0</v>
      </c>
      <c r="E24" s="41">
        <f t="shared" si="11"/>
        <v>0</v>
      </c>
      <c r="F24" s="30"/>
      <c r="G24" s="30"/>
      <c r="H24" s="30"/>
      <c r="I24" s="30"/>
      <c r="J24" s="39"/>
    </row>
    <row r="25" spans="1:12" x14ac:dyDescent="0.45">
      <c r="A25" s="81" t="s">
        <v>294</v>
      </c>
      <c r="B25" s="41">
        <f t="shared" ref="B25:E25" si="12">IF(C21&lt;0,-C21,0)</f>
        <v>1721.333333333333</v>
      </c>
      <c r="C25" s="41">
        <f t="shared" si="12"/>
        <v>1721.3333333333333</v>
      </c>
      <c r="D25" s="41">
        <f t="shared" si="12"/>
        <v>1721.3333333333337</v>
      </c>
      <c r="E25" s="41">
        <f t="shared" si="12"/>
        <v>0</v>
      </c>
      <c r="F25" s="30"/>
      <c r="G25" s="30"/>
      <c r="H25" s="30"/>
      <c r="I25" s="30"/>
      <c r="J25" s="39"/>
    </row>
    <row r="26" spans="1:12" x14ac:dyDescent="0.45">
      <c r="A26" s="80" t="s">
        <v>295</v>
      </c>
      <c r="B26" s="30"/>
      <c r="C26" s="30"/>
      <c r="D26" s="30"/>
      <c r="E26" s="30"/>
      <c r="F26" s="30"/>
      <c r="G26" s="30"/>
      <c r="H26" s="30"/>
      <c r="I26" s="30"/>
      <c r="J26" s="39"/>
    </row>
    <row r="27" spans="1:12" ht="14.65" thickBot="1" x14ac:dyDescent="0.5">
      <c r="A27" s="83" t="s">
        <v>296</v>
      </c>
      <c r="B27" s="32"/>
      <c r="C27" s="32"/>
      <c r="D27" s="32"/>
      <c r="E27" s="32"/>
      <c r="F27" s="32"/>
      <c r="G27" s="32"/>
      <c r="H27" s="32"/>
      <c r="I27" s="32"/>
      <c r="J27" s="40"/>
    </row>
    <row r="28" spans="1:12" ht="14.65" thickBot="1" x14ac:dyDescent="0.5"/>
    <row r="29" spans="1:12" ht="14.65" thickBot="1" x14ac:dyDescent="0.5">
      <c r="A29" s="79" t="s">
        <v>301</v>
      </c>
      <c r="B29" s="34">
        <v>2022</v>
      </c>
      <c r="C29" s="34">
        <v>2023</v>
      </c>
      <c r="D29" s="51">
        <v>2024</v>
      </c>
      <c r="E29" s="51">
        <v>2025</v>
      </c>
      <c r="F29" s="51">
        <v>2026</v>
      </c>
      <c r="G29" s="51">
        <v>2027</v>
      </c>
      <c r="H29" s="51">
        <v>2028</v>
      </c>
      <c r="I29" s="51">
        <v>2029</v>
      </c>
      <c r="J29" s="52">
        <v>2030</v>
      </c>
      <c r="L29" s="4" t="s">
        <v>310</v>
      </c>
    </row>
    <row r="30" spans="1:12" x14ac:dyDescent="0.45">
      <c r="A30" s="80" t="s">
        <v>291</v>
      </c>
      <c r="B30" s="30">
        <v>697</v>
      </c>
      <c r="C30" s="30">
        <f>B33</f>
        <v>761</v>
      </c>
      <c r="D30" s="30">
        <f>C33</f>
        <v>413</v>
      </c>
      <c r="E30" s="30">
        <f>D33</f>
        <v>206.5</v>
      </c>
      <c r="F30" s="30"/>
      <c r="G30" s="30"/>
      <c r="H30" s="30"/>
      <c r="I30" s="30"/>
      <c r="J30" s="39"/>
    </row>
    <row r="31" spans="1:12" x14ac:dyDescent="0.45">
      <c r="A31" s="81" t="s">
        <v>154</v>
      </c>
      <c r="B31" s="41">
        <f>IF(B$33-B$30&gt;0,B$33-B$30,"")</f>
        <v>64</v>
      </c>
      <c r="C31" s="41" t="str">
        <f t="shared" ref="C31:E31" si="13">IF(C$33-C$30&gt;0,C$33-C$30,"")</f>
        <v/>
      </c>
      <c r="D31" s="41" t="str">
        <f t="shared" si="13"/>
        <v/>
      </c>
      <c r="E31" s="41" t="str">
        <f t="shared" si="13"/>
        <v/>
      </c>
      <c r="F31" s="30"/>
      <c r="G31" s="30"/>
      <c r="H31" s="30"/>
      <c r="I31" s="30"/>
      <c r="J31" s="39"/>
    </row>
    <row r="32" spans="1:12" x14ac:dyDescent="0.45">
      <c r="A32" s="81" t="s">
        <v>292</v>
      </c>
      <c r="B32" s="41" t="str">
        <f>IF(B$33-B$30&lt;0,B$33-B$30,"")</f>
        <v/>
      </c>
      <c r="C32" s="41">
        <f t="shared" ref="C32:E32" si="14">IF(C$33-C$30&lt;0,C$33-C$30,"")</f>
        <v>-348</v>
      </c>
      <c r="D32" s="41">
        <f t="shared" si="14"/>
        <v>-206.5</v>
      </c>
      <c r="E32" s="41">
        <f t="shared" si="14"/>
        <v>-206.5</v>
      </c>
      <c r="F32" s="30"/>
      <c r="G32" s="30"/>
      <c r="H32" s="30"/>
      <c r="I32" s="30"/>
      <c r="J32" s="39"/>
    </row>
    <row r="33" spans="1:12" x14ac:dyDescent="0.45">
      <c r="A33" s="80" t="s">
        <v>293</v>
      </c>
      <c r="B33" s="30">
        <v>761</v>
      </c>
      <c r="C33" s="30">
        <v>413</v>
      </c>
      <c r="D33" s="30">
        <f>C33-$C$33/2</f>
        <v>206.5</v>
      </c>
      <c r="E33" s="30">
        <f>D33-$C$33/2</f>
        <v>0</v>
      </c>
      <c r="F33" s="30"/>
      <c r="G33" s="30"/>
      <c r="H33" s="30"/>
      <c r="I33" s="30"/>
      <c r="J33" s="39"/>
    </row>
    <row r="34" spans="1:12" x14ac:dyDescent="0.45">
      <c r="A34" s="82" t="s">
        <v>107</v>
      </c>
      <c r="B34" s="30"/>
      <c r="C34" s="30"/>
      <c r="D34" s="30"/>
      <c r="E34" s="30"/>
      <c r="F34" s="30"/>
      <c r="G34" s="30"/>
      <c r="H34" s="30"/>
      <c r="I34" s="30"/>
      <c r="J34" s="39"/>
    </row>
    <row r="35" spans="1:12" x14ac:dyDescent="0.45">
      <c r="A35" s="81" t="s">
        <v>290</v>
      </c>
      <c r="B35" s="41">
        <f>B33-B36</f>
        <v>413</v>
      </c>
      <c r="C35" s="41">
        <f t="shared" ref="C35:E35" si="15">C33-C36</f>
        <v>206.5</v>
      </c>
      <c r="D35" s="41">
        <f t="shared" si="15"/>
        <v>0</v>
      </c>
      <c r="E35" s="41">
        <f t="shared" si="15"/>
        <v>0</v>
      </c>
      <c r="F35" s="30"/>
      <c r="G35" s="30"/>
      <c r="H35" s="30"/>
      <c r="I35" s="30"/>
      <c r="J35" s="39"/>
    </row>
    <row r="36" spans="1:12" x14ac:dyDescent="0.45">
      <c r="A36" s="81" t="s">
        <v>294</v>
      </c>
      <c r="B36" s="41">
        <f t="shared" ref="B36:E36" si="16">IF(C32&lt;0,-C32,0)</f>
        <v>348</v>
      </c>
      <c r="C36" s="41">
        <f t="shared" si="16"/>
        <v>206.5</v>
      </c>
      <c r="D36" s="41">
        <f t="shared" si="16"/>
        <v>206.5</v>
      </c>
      <c r="E36" s="41">
        <f t="shared" si="16"/>
        <v>0</v>
      </c>
      <c r="F36" s="30"/>
      <c r="G36" s="30"/>
      <c r="H36" s="30"/>
      <c r="I36" s="30"/>
      <c r="J36" s="39"/>
    </row>
    <row r="37" spans="1:12" x14ac:dyDescent="0.45">
      <c r="A37" s="80" t="s">
        <v>295</v>
      </c>
      <c r="B37" s="30"/>
      <c r="C37" s="30"/>
      <c r="D37" s="30"/>
      <c r="E37" s="30"/>
      <c r="F37" s="30"/>
      <c r="G37" s="30"/>
      <c r="H37" s="30"/>
      <c r="I37" s="30"/>
      <c r="J37" s="39"/>
    </row>
    <row r="38" spans="1:12" ht="14.65" thickBot="1" x14ac:dyDescent="0.5">
      <c r="A38" s="83" t="s">
        <v>296</v>
      </c>
      <c r="B38" s="32"/>
      <c r="C38" s="32"/>
      <c r="D38" s="32"/>
      <c r="E38" s="32"/>
      <c r="F38" s="32"/>
      <c r="G38" s="32"/>
      <c r="H38" s="32"/>
      <c r="I38" s="32"/>
      <c r="J38" s="40"/>
    </row>
    <row r="39" spans="1:12" ht="14.65" thickBot="1" x14ac:dyDescent="0.5"/>
    <row r="40" spans="1:12" ht="14.65" thickBot="1" x14ac:dyDescent="0.5">
      <c r="A40" s="79" t="s">
        <v>299</v>
      </c>
      <c r="B40" s="34">
        <v>2022</v>
      </c>
      <c r="C40" s="34">
        <v>2023</v>
      </c>
      <c r="D40" s="51">
        <v>2024</v>
      </c>
      <c r="E40" s="51">
        <v>2025</v>
      </c>
      <c r="F40" s="51">
        <v>2026</v>
      </c>
      <c r="G40" s="51">
        <v>2027</v>
      </c>
      <c r="H40" s="51">
        <v>2028</v>
      </c>
      <c r="I40" s="51">
        <v>2029</v>
      </c>
      <c r="J40" s="52">
        <v>2030</v>
      </c>
      <c r="L40" s="4" t="s">
        <v>315</v>
      </c>
    </row>
    <row r="41" spans="1:12" x14ac:dyDescent="0.45">
      <c r="A41" s="80" t="s">
        <v>291</v>
      </c>
      <c r="B41" s="30">
        <v>1313</v>
      </c>
      <c r="C41" s="30">
        <f>B44</f>
        <v>3482</v>
      </c>
      <c r="D41" s="30">
        <f>C44</f>
        <v>3890</v>
      </c>
      <c r="E41" s="41">
        <f t="shared" ref="E41:G41" si="17">D44</f>
        <v>4300</v>
      </c>
      <c r="F41" s="41">
        <f t="shared" si="17"/>
        <v>2866.666666666667</v>
      </c>
      <c r="G41" s="41">
        <f t="shared" si="17"/>
        <v>1433.3333333333337</v>
      </c>
      <c r="H41" s="30"/>
      <c r="I41" s="30"/>
      <c r="J41" s="39"/>
    </row>
    <row r="42" spans="1:12" x14ac:dyDescent="0.45">
      <c r="A42" s="81" t="s">
        <v>154</v>
      </c>
      <c r="B42" s="41">
        <f>IF(B$44-B$41&gt;0,B$44-B$41,"")</f>
        <v>2169</v>
      </c>
      <c r="C42" s="41">
        <f>IF(C$44-C$41&gt;0,C$44-C$41,"")</f>
        <v>408</v>
      </c>
      <c r="D42" s="41">
        <f t="shared" ref="D42:G42" si="18">IF(D$44-D$41&gt;0,D$44-D$41,"")</f>
        <v>410</v>
      </c>
      <c r="E42" s="41" t="str">
        <f t="shared" si="18"/>
        <v/>
      </c>
      <c r="F42" s="41" t="str">
        <f t="shared" si="18"/>
        <v/>
      </c>
      <c r="G42" s="41" t="str">
        <f t="shared" si="18"/>
        <v/>
      </c>
      <c r="H42" s="30"/>
      <c r="I42" s="30"/>
      <c r="J42" s="39"/>
    </row>
    <row r="43" spans="1:12" x14ac:dyDescent="0.45">
      <c r="A43" s="81" t="s">
        <v>292</v>
      </c>
      <c r="B43" s="41" t="str">
        <f>IF(B$44-B$41&lt;0,B$44-B$41,"")</f>
        <v/>
      </c>
      <c r="C43" s="41" t="str">
        <f>IF(C$44-C$41&lt;0,C$44-C$41,"")</f>
        <v/>
      </c>
      <c r="D43" s="41" t="str">
        <f t="shared" ref="D43:G43" si="19">IF(D$44-D$41&lt;0,D$44-D$41,"")</f>
        <v/>
      </c>
      <c r="E43" s="41">
        <f t="shared" si="19"/>
        <v>-1433.333333333333</v>
      </c>
      <c r="F43" s="41">
        <f t="shared" si="19"/>
        <v>-1433.3333333333333</v>
      </c>
      <c r="G43" s="41">
        <f t="shared" si="19"/>
        <v>-1433.3333333333337</v>
      </c>
      <c r="H43" s="30"/>
      <c r="I43" s="30"/>
      <c r="J43" s="39"/>
    </row>
    <row r="44" spans="1:12" x14ac:dyDescent="0.45">
      <c r="A44" s="80" t="s">
        <v>293</v>
      </c>
      <c r="B44" s="30">
        <v>3482</v>
      </c>
      <c r="C44" s="30">
        <v>3890</v>
      </c>
      <c r="D44" s="30">
        <v>4300</v>
      </c>
      <c r="E44" s="41">
        <f>D44-$D$44/3</f>
        <v>2866.666666666667</v>
      </c>
      <c r="F44" s="41">
        <f t="shared" ref="F44:G44" si="20">E44-$D$44/3</f>
        <v>1433.3333333333337</v>
      </c>
      <c r="G44" s="41">
        <f t="shared" si="20"/>
        <v>0</v>
      </c>
      <c r="H44" s="30"/>
      <c r="I44" s="30"/>
      <c r="J44" s="39"/>
    </row>
    <row r="45" spans="1:12" x14ac:dyDescent="0.45">
      <c r="A45" s="82" t="s">
        <v>107</v>
      </c>
      <c r="B45" s="30"/>
      <c r="C45" s="30"/>
      <c r="D45" s="30"/>
      <c r="E45" s="30"/>
      <c r="F45" s="30"/>
      <c r="G45" s="30"/>
      <c r="H45" s="30"/>
      <c r="I45" s="30"/>
      <c r="J45" s="39"/>
    </row>
    <row r="46" spans="1:12" x14ac:dyDescent="0.45">
      <c r="A46" s="81" t="s">
        <v>290</v>
      </c>
      <c r="B46" s="41">
        <f>B44-B47</f>
        <v>3482</v>
      </c>
      <c r="C46" s="41">
        <f t="shared" ref="C46:G46" si="21">C44-C47</f>
        <v>3890</v>
      </c>
      <c r="D46" s="41">
        <f t="shared" si="21"/>
        <v>2866.666666666667</v>
      </c>
      <c r="E46" s="41">
        <f t="shared" si="21"/>
        <v>1433.3333333333337</v>
      </c>
      <c r="F46" s="41">
        <f t="shared" si="21"/>
        <v>0</v>
      </c>
      <c r="G46" s="41">
        <f t="shared" si="21"/>
        <v>0</v>
      </c>
      <c r="H46" s="30"/>
      <c r="I46" s="30"/>
      <c r="J46" s="39"/>
    </row>
    <row r="47" spans="1:12" x14ac:dyDescent="0.45">
      <c r="A47" s="81" t="s">
        <v>294</v>
      </c>
      <c r="B47" s="41">
        <f t="shared" ref="B47:G47" si="22">IF(C43&lt;0,-C43,0)</f>
        <v>0</v>
      </c>
      <c r="C47" s="41">
        <f t="shared" si="22"/>
        <v>0</v>
      </c>
      <c r="D47" s="41">
        <f t="shared" si="22"/>
        <v>1433.333333333333</v>
      </c>
      <c r="E47" s="41">
        <f t="shared" si="22"/>
        <v>1433.3333333333333</v>
      </c>
      <c r="F47" s="41">
        <f t="shared" si="22"/>
        <v>1433.3333333333337</v>
      </c>
      <c r="G47" s="41">
        <f t="shared" si="22"/>
        <v>0</v>
      </c>
      <c r="H47" s="30"/>
      <c r="I47" s="30"/>
      <c r="J47" s="39"/>
    </row>
    <row r="48" spans="1:12" x14ac:dyDescent="0.45">
      <c r="A48" s="80" t="s">
        <v>295</v>
      </c>
      <c r="B48" s="30"/>
      <c r="C48" s="30"/>
      <c r="D48" s="30"/>
      <c r="E48" s="30"/>
      <c r="F48" s="30"/>
      <c r="G48" s="30"/>
      <c r="H48" s="30"/>
      <c r="I48" s="30"/>
      <c r="J48" s="39"/>
    </row>
    <row r="49" spans="1:12" ht="14.65" thickBot="1" x14ac:dyDescent="0.5">
      <c r="A49" s="83" t="s">
        <v>296</v>
      </c>
      <c r="B49" s="32"/>
      <c r="C49" s="32"/>
      <c r="D49" s="32"/>
      <c r="E49" s="32"/>
      <c r="F49" s="32"/>
      <c r="G49" s="32"/>
      <c r="H49" s="32"/>
      <c r="I49" s="32"/>
      <c r="J49" s="40"/>
    </row>
    <row r="50" spans="1:12" ht="14.65" thickBot="1" x14ac:dyDescent="0.5"/>
    <row r="51" spans="1:12" ht="14.65" thickBot="1" x14ac:dyDescent="0.5">
      <c r="A51" s="79" t="s">
        <v>300</v>
      </c>
      <c r="B51" s="34">
        <v>2022</v>
      </c>
      <c r="C51" s="34">
        <v>2023</v>
      </c>
      <c r="D51" s="51">
        <v>2024</v>
      </c>
      <c r="E51" s="51">
        <v>2025</v>
      </c>
      <c r="F51" s="51">
        <v>2026</v>
      </c>
      <c r="G51" s="51">
        <v>2027</v>
      </c>
      <c r="H51" s="51">
        <v>2028</v>
      </c>
      <c r="I51" s="51">
        <v>2029</v>
      </c>
      <c r="J51" s="52">
        <v>2030</v>
      </c>
      <c r="L51" s="4" t="s">
        <v>314</v>
      </c>
    </row>
    <row r="52" spans="1:12" x14ac:dyDescent="0.45">
      <c r="A52" s="80" t="s">
        <v>291</v>
      </c>
      <c r="B52" s="41">
        <v>14</v>
      </c>
      <c r="C52" s="41">
        <f>B55</f>
        <v>10</v>
      </c>
      <c r="D52" s="41">
        <f>C55</f>
        <v>6.6666666666666661</v>
      </c>
      <c r="E52" s="41">
        <f>D55</f>
        <v>3.3333333333333326</v>
      </c>
      <c r="F52" s="30"/>
      <c r="G52" s="30"/>
      <c r="H52" s="30"/>
      <c r="I52" s="30"/>
      <c r="J52" s="39"/>
    </row>
    <row r="53" spans="1:12" x14ac:dyDescent="0.45">
      <c r="A53" s="81" t="s">
        <v>154</v>
      </c>
      <c r="B53" s="41" t="str">
        <f>IF(B$55-B$52&gt;0,B$55-B$52,"")</f>
        <v/>
      </c>
      <c r="C53" s="41" t="str">
        <f t="shared" ref="C53:E53" si="23">IF(C$55-C$52&gt;0,C$55-C$52,"")</f>
        <v/>
      </c>
      <c r="D53" s="41" t="str">
        <f t="shared" si="23"/>
        <v/>
      </c>
      <c r="E53" s="41" t="str">
        <f t="shared" si="23"/>
        <v/>
      </c>
      <c r="F53" s="30"/>
      <c r="G53" s="30"/>
      <c r="H53" s="30"/>
      <c r="I53" s="30"/>
      <c r="J53" s="39"/>
    </row>
    <row r="54" spans="1:12" x14ac:dyDescent="0.45">
      <c r="A54" s="81" t="s">
        <v>292</v>
      </c>
      <c r="B54" s="41">
        <f>IF(B$55-B$52&lt;0,B$55-B$52,"")</f>
        <v>-4</v>
      </c>
      <c r="C54" s="41">
        <f t="shared" ref="C54:E54" si="24">IF(C$55-C$52&lt;0,C$55-C$52,"")</f>
        <v>-3.3333333333333339</v>
      </c>
      <c r="D54" s="41">
        <f t="shared" si="24"/>
        <v>-3.3333333333333335</v>
      </c>
      <c r="E54" s="41">
        <f t="shared" si="24"/>
        <v>-3.3333333333333326</v>
      </c>
      <c r="F54" s="30"/>
      <c r="G54" s="30"/>
      <c r="H54" s="30"/>
      <c r="I54" s="30"/>
      <c r="J54" s="39"/>
    </row>
    <row r="55" spans="1:12" x14ac:dyDescent="0.45">
      <c r="A55" s="80" t="s">
        <v>293</v>
      </c>
      <c r="B55" s="41">
        <v>10</v>
      </c>
      <c r="C55" s="41">
        <f>B55-$B$55/3</f>
        <v>6.6666666666666661</v>
      </c>
      <c r="D55" s="41">
        <f t="shared" ref="D55:E55" si="25">C55-$B$55/3</f>
        <v>3.3333333333333326</v>
      </c>
      <c r="E55" s="41">
        <f t="shared" si="25"/>
        <v>0</v>
      </c>
      <c r="F55" s="30"/>
      <c r="G55" s="30"/>
      <c r="H55" s="30"/>
      <c r="I55" s="30"/>
      <c r="J55" s="39"/>
    </row>
    <row r="56" spans="1:12" x14ac:dyDescent="0.45">
      <c r="A56" s="82" t="s">
        <v>107</v>
      </c>
      <c r="B56" s="30"/>
      <c r="C56" s="30"/>
      <c r="D56" s="30"/>
      <c r="E56" s="30"/>
      <c r="F56" s="30"/>
      <c r="G56" s="30"/>
      <c r="H56" s="30"/>
      <c r="I56" s="30"/>
      <c r="J56" s="39"/>
    </row>
    <row r="57" spans="1:12" x14ac:dyDescent="0.45">
      <c r="A57" s="81" t="s">
        <v>290</v>
      </c>
      <c r="B57" s="41">
        <f>B55-B58</f>
        <v>6.6666666666666661</v>
      </c>
      <c r="C57" s="41">
        <f t="shared" ref="C57:E57" si="26">C55-C58</f>
        <v>3.3333333333333326</v>
      </c>
      <c r="D57" s="41">
        <f t="shared" si="26"/>
        <v>0</v>
      </c>
      <c r="E57" s="41">
        <f t="shared" si="26"/>
        <v>0</v>
      </c>
      <c r="F57" s="30"/>
      <c r="G57" s="30"/>
      <c r="H57" s="30"/>
      <c r="I57" s="30"/>
      <c r="J57" s="39"/>
    </row>
    <row r="58" spans="1:12" x14ac:dyDescent="0.45">
      <c r="A58" s="81" t="s">
        <v>294</v>
      </c>
      <c r="B58" s="41">
        <f t="shared" ref="B58:E58" si="27">IF(C54&lt;0,-C54,0)</f>
        <v>3.3333333333333339</v>
      </c>
      <c r="C58" s="41">
        <f t="shared" si="27"/>
        <v>3.3333333333333335</v>
      </c>
      <c r="D58" s="41">
        <f t="shared" si="27"/>
        <v>3.3333333333333326</v>
      </c>
      <c r="E58" s="41">
        <f t="shared" si="27"/>
        <v>0</v>
      </c>
      <c r="F58" s="30"/>
      <c r="G58" s="30"/>
      <c r="H58" s="30"/>
      <c r="I58" s="30"/>
      <c r="J58" s="39"/>
    </row>
    <row r="59" spans="1:12" x14ac:dyDescent="0.45">
      <c r="A59" s="80" t="s">
        <v>295</v>
      </c>
      <c r="B59" s="30"/>
      <c r="C59" s="30"/>
      <c r="D59" s="30"/>
      <c r="E59" s="30"/>
      <c r="F59" s="30"/>
      <c r="G59" s="30"/>
      <c r="H59" s="30"/>
      <c r="I59" s="30"/>
      <c r="J59" s="39"/>
    </row>
    <row r="60" spans="1:12" ht="14.65" thickBot="1" x14ac:dyDescent="0.5">
      <c r="A60" s="83" t="s">
        <v>296</v>
      </c>
      <c r="B60" s="32"/>
      <c r="C60" s="32"/>
      <c r="D60" s="32"/>
      <c r="E60" s="32"/>
      <c r="F60" s="32"/>
      <c r="G60" s="32"/>
      <c r="H60" s="32"/>
      <c r="I60" s="32"/>
      <c r="J60" s="40"/>
    </row>
    <row r="61" spans="1:12" ht="14.65" thickBot="1" x14ac:dyDescent="0.5"/>
    <row r="62" spans="1:12" ht="14.65" thickBot="1" x14ac:dyDescent="0.5">
      <c r="A62" s="79" t="s">
        <v>302</v>
      </c>
      <c r="B62" s="34">
        <v>2022</v>
      </c>
      <c r="C62" s="34">
        <v>2023</v>
      </c>
      <c r="D62" s="51">
        <v>2024</v>
      </c>
      <c r="E62" s="51">
        <v>2025</v>
      </c>
      <c r="F62" s="51">
        <v>2026</v>
      </c>
      <c r="G62" s="51">
        <v>2027</v>
      </c>
      <c r="H62" s="51">
        <v>2028</v>
      </c>
      <c r="I62" s="51">
        <v>2029</v>
      </c>
      <c r="J62" s="52">
        <v>2030</v>
      </c>
      <c r="L62" s="4" t="s">
        <v>310</v>
      </c>
    </row>
    <row r="63" spans="1:12" x14ac:dyDescent="0.45">
      <c r="A63" s="80" t="s">
        <v>291</v>
      </c>
      <c r="B63" s="30"/>
      <c r="C63" s="30">
        <f>B66</f>
        <v>949</v>
      </c>
      <c r="D63" s="30">
        <f>C66</f>
        <v>646</v>
      </c>
      <c r="E63" s="30">
        <f>D66</f>
        <v>323</v>
      </c>
      <c r="F63" s="30"/>
      <c r="G63" s="30"/>
      <c r="H63" s="30"/>
      <c r="I63" s="30"/>
      <c r="J63" s="39"/>
    </row>
    <row r="64" spans="1:12" x14ac:dyDescent="0.45">
      <c r="A64" s="81" t="s">
        <v>154</v>
      </c>
      <c r="B64" s="41">
        <f>IF(B$66-B$63&gt;0,B$66-B$63,"")</f>
        <v>949</v>
      </c>
      <c r="C64" s="41" t="str">
        <f t="shared" ref="C64:E64" si="28">IF(C$66-C$63&gt;0,C$66-C$63,"")</f>
        <v/>
      </c>
      <c r="D64" s="41" t="str">
        <f t="shared" si="28"/>
        <v/>
      </c>
      <c r="E64" s="41" t="str">
        <f t="shared" si="28"/>
        <v/>
      </c>
      <c r="F64" s="30"/>
      <c r="G64" s="30"/>
      <c r="H64" s="30"/>
      <c r="I64" s="30"/>
      <c r="J64" s="39"/>
    </row>
    <row r="65" spans="1:12" x14ac:dyDescent="0.45">
      <c r="A65" s="81" t="s">
        <v>292</v>
      </c>
      <c r="B65" s="41" t="str">
        <f>IF(B$66-B$63&lt;0,B$66-B$63,"")</f>
        <v/>
      </c>
      <c r="C65" s="41">
        <f t="shared" ref="C65:E65" si="29">IF(C$66-C$63&lt;0,C$66-C$63,"")</f>
        <v>-303</v>
      </c>
      <c r="D65" s="41">
        <f t="shared" si="29"/>
        <v>-323</v>
      </c>
      <c r="E65" s="41">
        <f t="shared" si="29"/>
        <v>-323</v>
      </c>
      <c r="F65" s="30"/>
      <c r="G65" s="30"/>
      <c r="H65" s="30"/>
      <c r="I65" s="30"/>
      <c r="J65" s="39"/>
    </row>
    <row r="66" spans="1:12" x14ac:dyDescent="0.45">
      <c r="A66" s="80" t="s">
        <v>293</v>
      </c>
      <c r="B66" s="30">
        <v>949</v>
      </c>
      <c r="C66" s="30">
        <v>646</v>
      </c>
      <c r="D66" s="30">
        <f>C66-$C$66/2</f>
        <v>323</v>
      </c>
      <c r="E66" s="30">
        <f>D66-$C$66/2</f>
        <v>0</v>
      </c>
      <c r="F66" s="30"/>
      <c r="G66" s="30"/>
      <c r="H66" s="30"/>
      <c r="I66" s="30"/>
      <c r="J66" s="39"/>
    </row>
    <row r="67" spans="1:12" x14ac:dyDescent="0.45">
      <c r="A67" s="82" t="s">
        <v>107</v>
      </c>
      <c r="B67" s="30"/>
      <c r="C67" s="30"/>
      <c r="D67" s="30"/>
      <c r="E67" s="30"/>
      <c r="F67" s="30"/>
      <c r="G67" s="30"/>
      <c r="H67" s="30"/>
      <c r="I67" s="30"/>
      <c r="J67" s="39"/>
    </row>
    <row r="68" spans="1:12" x14ac:dyDescent="0.45">
      <c r="A68" s="81" t="s">
        <v>290</v>
      </c>
      <c r="B68" s="41">
        <f>B66-B69</f>
        <v>646</v>
      </c>
      <c r="C68" s="41">
        <f t="shared" ref="C68:E68" si="30">C66-C69</f>
        <v>323</v>
      </c>
      <c r="D68" s="41">
        <f t="shared" si="30"/>
        <v>0</v>
      </c>
      <c r="E68" s="41">
        <f t="shared" si="30"/>
        <v>0</v>
      </c>
      <c r="F68" s="30"/>
      <c r="G68" s="30"/>
      <c r="H68" s="30"/>
      <c r="I68" s="30"/>
      <c r="J68" s="39"/>
    </row>
    <row r="69" spans="1:12" x14ac:dyDescent="0.45">
      <c r="A69" s="81" t="s">
        <v>294</v>
      </c>
      <c r="B69" s="41">
        <f t="shared" ref="B69:E69" si="31">IF(C65&lt;0,-C65,0)</f>
        <v>303</v>
      </c>
      <c r="C69" s="41">
        <f t="shared" si="31"/>
        <v>323</v>
      </c>
      <c r="D69" s="41">
        <f t="shared" si="31"/>
        <v>323</v>
      </c>
      <c r="E69" s="41">
        <f t="shared" si="31"/>
        <v>0</v>
      </c>
      <c r="F69" s="30"/>
      <c r="G69" s="30"/>
      <c r="H69" s="30"/>
      <c r="I69" s="30"/>
      <c r="J69" s="39"/>
    </row>
    <row r="70" spans="1:12" x14ac:dyDescent="0.45">
      <c r="A70" s="80" t="s">
        <v>295</v>
      </c>
      <c r="B70" s="30"/>
      <c r="C70" s="30"/>
      <c r="D70" s="30"/>
      <c r="E70" s="30"/>
      <c r="F70" s="30"/>
      <c r="G70" s="30"/>
      <c r="H70" s="30"/>
      <c r="I70" s="30"/>
      <c r="J70" s="39"/>
    </row>
    <row r="71" spans="1:12" ht="14.65" thickBot="1" x14ac:dyDescent="0.5">
      <c r="A71" s="83" t="s">
        <v>296</v>
      </c>
      <c r="B71" s="32"/>
      <c r="C71" s="32"/>
      <c r="D71" s="32"/>
      <c r="E71" s="32"/>
      <c r="F71" s="32"/>
      <c r="G71" s="32"/>
      <c r="H71" s="32"/>
      <c r="I71" s="32"/>
      <c r="J71" s="40"/>
    </row>
    <row r="72" spans="1:12" ht="14.65" thickBot="1" x14ac:dyDescent="0.5"/>
    <row r="73" spans="1:12" ht="14.65" thickBot="1" x14ac:dyDescent="0.5">
      <c r="A73" s="79" t="s">
        <v>303</v>
      </c>
      <c r="B73" s="34">
        <v>2022</v>
      </c>
      <c r="C73" s="34">
        <v>2023</v>
      </c>
      <c r="D73" s="51">
        <v>2024</v>
      </c>
      <c r="E73" s="51">
        <v>2025</v>
      </c>
      <c r="F73" s="51">
        <v>2026</v>
      </c>
      <c r="G73" s="51">
        <v>2027</v>
      </c>
      <c r="H73" s="51">
        <v>2028</v>
      </c>
      <c r="I73" s="51">
        <v>2029</v>
      </c>
      <c r="J73" s="52">
        <v>2030</v>
      </c>
      <c r="L73" s="4" t="s">
        <v>311</v>
      </c>
    </row>
    <row r="74" spans="1:12" x14ac:dyDescent="0.45">
      <c r="A74" s="80" t="s">
        <v>291</v>
      </c>
      <c r="B74" s="30">
        <v>617</v>
      </c>
      <c r="C74" s="30">
        <f>B77</f>
        <v>659</v>
      </c>
      <c r="D74" s="30">
        <f>C77</f>
        <v>694</v>
      </c>
      <c r="E74" s="30">
        <f>D77</f>
        <v>347</v>
      </c>
      <c r="F74" s="30"/>
      <c r="G74" s="30"/>
      <c r="H74" s="30"/>
      <c r="I74" s="30"/>
      <c r="J74" s="39"/>
    </row>
    <row r="75" spans="1:12" x14ac:dyDescent="0.45">
      <c r="A75" s="81" t="s">
        <v>154</v>
      </c>
      <c r="B75" s="41">
        <f>IF(B$77-B$74&gt;0,B$77-B$74,"")</f>
        <v>42</v>
      </c>
      <c r="C75" s="41">
        <f t="shared" ref="C75:E75" si="32">IF(C$77-C$74&gt;0,C$77-C$74,"")</f>
        <v>35</v>
      </c>
      <c r="D75" s="41" t="str">
        <f t="shared" si="32"/>
        <v/>
      </c>
      <c r="E75" s="41" t="str">
        <f t="shared" si="32"/>
        <v/>
      </c>
      <c r="F75" s="30"/>
      <c r="G75" s="30"/>
      <c r="H75" s="30"/>
      <c r="I75" s="30"/>
      <c r="J75" s="39"/>
    </row>
    <row r="76" spans="1:12" x14ac:dyDescent="0.45">
      <c r="A76" s="81" t="s">
        <v>292</v>
      </c>
      <c r="B76" s="41" t="str">
        <f>IF(B$77-B$74&lt;0,B$77-B$74,"")</f>
        <v/>
      </c>
      <c r="C76" s="41" t="str">
        <f t="shared" ref="C76:E76" si="33">IF(C$77-C$74&lt;0,C$77-C$74,"")</f>
        <v/>
      </c>
      <c r="D76" s="41">
        <f t="shared" si="33"/>
        <v>-347</v>
      </c>
      <c r="E76" s="41">
        <f t="shared" si="33"/>
        <v>-347</v>
      </c>
      <c r="F76" s="30"/>
      <c r="G76" s="30"/>
      <c r="H76" s="30"/>
      <c r="I76" s="30"/>
      <c r="J76" s="39"/>
    </row>
    <row r="77" spans="1:12" x14ac:dyDescent="0.45">
      <c r="A77" s="80" t="s">
        <v>293</v>
      </c>
      <c r="B77" s="30">
        <v>659</v>
      </c>
      <c r="C77" s="30">
        <v>694</v>
      </c>
      <c r="D77" s="30">
        <f>C77-$C$77/2</f>
        <v>347</v>
      </c>
      <c r="E77" s="30">
        <f>D77-$C$77/2</f>
        <v>0</v>
      </c>
      <c r="F77" s="30"/>
      <c r="G77" s="30"/>
      <c r="H77" s="30"/>
      <c r="I77" s="30"/>
      <c r="J77" s="39"/>
    </row>
    <row r="78" spans="1:12" x14ac:dyDescent="0.45">
      <c r="A78" s="82" t="s">
        <v>107</v>
      </c>
      <c r="B78" s="30"/>
      <c r="C78" s="30"/>
      <c r="D78" s="30"/>
      <c r="E78" s="30"/>
      <c r="F78" s="30"/>
      <c r="G78" s="30"/>
      <c r="H78" s="30"/>
      <c r="I78" s="30"/>
      <c r="J78" s="39"/>
    </row>
    <row r="79" spans="1:12" x14ac:dyDescent="0.45">
      <c r="A79" s="81" t="s">
        <v>290</v>
      </c>
      <c r="B79" s="41">
        <f>B77-B80</f>
        <v>659</v>
      </c>
      <c r="C79" s="41">
        <f t="shared" ref="C79:E79" si="34">C77-C80</f>
        <v>347</v>
      </c>
      <c r="D79" s="41">
        <f t="shared" si="34"/>
        <v>0</v>
      </c>
      <c r="E79" s="41">
        <f t="shared" si="34"/>
        <v>0</v>
      </c>
      <c r="F79" s="30"/>
      <c r="G79" s="30"/>
      <c r="H79" s="30"/>
      <c r="I79" s="30"/>
      <c r="J79" s="39"/>
    </row>
    <row r="80" spans="1:12" x14ac:dyDescent="0.45">
      <c r="A80" s="81" t="s">
        <v>294</v>
      </c>
      <c r="B80" s="41">
        <f t="shared" ref="B80:E80" si="35">IF(C76&lt;0,-C76,0)</f>
        <v>0</v>
      </c>
      <c r="C80" s="41">
        <f t="shared" si="35"/>
        <v>347</v>
      </c>
      <c r="D80" s="41">
        <f t="shared" si="35"/>
        <v>347</v>
      </c>
      <c r="E80" s="41">
        <f t="shared" si="35"/>
        <v>0</v>
      </c>
      <c r="F80" s="30"/>
      <c r="G80" s="30"/>
      <c r="H80" s="30"/>
      <c r="I80" s="30"/>
      <c r="J80" s="39"/>
    </row>
    <row r="81" spans="1:12" x14ac:dyDescent="0.45">
      <c r="A81" s="80" t="s">
        <v>295</v>
      </c>
      <c r="B81" s="30"/>
      <c r="C81" s="30"/>
      <c r="D81" s="30"/>
      <c r="E81" s="30"/>
      <c r="F81" s="30"/>
      <c r="G81" s="30"/>
      <c r="H81" s="30"/>
      <c r="I81" s="30"/>
      <c r="J81" s="39"/>
    </row>
    <row r="82" spans="1:12" ht="14.65" thickBot="1" x14ac:dyDescent="0.5">
      <c r="A82" s="83" t="s">
        <v>296</v>
      </c>
      <c r="B82" s="32"/>
      <c r="C82" s="32"/>
      <c r="D82" s="32"/>
      <c r="E82" s="32"/>
      <c r="F82" s="32"/>
      <c r="G82" s="32"/>
      <c r="H82" s="32"/>
      <c r="I82" s="32"/>
      <c r="J82" s="40"/>
    </row>
    <row r="83" spans="1:12" ht="14.65" thickBot="1" x14ac:dyDescent="0.5"/>
    <row r="84" spans="1:12" ht="14.65" thickBot="1" x14ac:dyDescent="0.5">
      <c r="A84" s="79" t="s">
        <v>304</v>
      </c>
      <c r="B84" s="34">
        <v>2022</v>
      </c>
      <c r="C84" s="34">
        <v>2023</v>
      </c>
      <c r="D84" s="51">
        <v>2024</v>
      </c>
      <c r="E84" s="51">
        <v>2025</v>
      </c>
      <c r="F84" s="51">
        <v>2026</v>
      </c>
      <c r="G84" s="51">
        <v>2027</v>
      </c>
      <c r="H84" s="51">
        <v>2028</v>
      </c>
      <c r="I84" s="51">
        <v>2029</v>
      </c>
      <c r="J84" s="52">
        <v>2030</v>
      </c>
      <c r="L84" s="4" t="s">
        <v>312</v>
      </c>
    </row>
    <row r="85" spans="1:12" x14ac:dyDescent="0.45">
      <c r="A85" s="80" t="s">
        <v>291</v>
      </c>
      <c r="B85">
        <v>13</v>
      </c>
      <c r="C85">
        <f>B88</f>
        <v>783</v>
      </c>
      <c r="D85" s="30">
        <f>C88</f>
        <v>615</v>
      </c>
      <c r="E85" s="30">
        <f t="shared" ref="E85:F85" si="36">D88</f>
        <v>410</v>
      </c>
      <c r="F85" s="30">
        <f t="shared" si="36"/>
        <v>205</v>
      </c>
      <c r="G85" s="30"/>
      <c r="H85" s="30"/>
      <c r="I85" s="30"/>
      <c r="J85" s="39"/>
    </row>
    <row r="86" spans="1:12" x14ac:dyDescent="0.45">
      <c r="A86" s="81" t="s">
        <v>154</v>
      </c>
      <c r="B86" s="41">
        <f>IF(B$88-B$85&gt;0,B$88-B$85,"")</f>
        <v>770</v>
      </c>
      <c r="C86" s="41" t="str">
        <f t="shared" ref="C86:F86" si="37">IF(C$88-C$85&gt;0,C$88-C$85,"")</f>
        <v/>
      </c>
      <c r="D86" s="41" t="str">
        <f t="shared" si="37"/>
        <v/>
      </c>
      <c r="E86" s="41" t="str">
        <f t="shared" si="37"/>
        <v/>
      </c>
      <c r="F86" s="41" t="str">
        <f t="shared" si="37"/>
        <v/>
      </c>
      <c r="G86" s="30"/>
      <c r="H86" s="30"/>
      <c r="I86" s="30"/>
      <c r="J86" s="39"/>
    </row>
    <row r="87" spans="1:12" x14ac:dyDescent="0.45">
      <c r="A87" s="81" t="s">
        <v>292</v>
      </c>
      <c r="B87" s="41" t="str">
        <f>IF(B$88-B$85&lt;0,B$88-B$85,"")</f>
        <v/>
      </c>
      <c r="C87" s="41">
        <f t="shared" ref="C87:F87" si="38">IF(C$88-C$85&lt;0,C$88-C$85,"")</f>
        <v>-168</v>
      </c>
      <c r="D87" s="41">
        <f t="shared" si="38"/>
        <v>-205</v>
      </c>
      <c r="E87" s="41">
        <f t="shared" si="38"/>
        <v>-205</v>
      </c>
      <c r="F87" s="41">
        <f t="shared" si="38"/>
        <v>-205</v>
      </c>
      <c r="G87" s="30"/>
      <c r="H87" s="30"/>
      <c r="I87" s="30"/>
      <c r="J87" s="39"/>
    </row>
    <row r="88" spans="1:12" x14ac:dyDescent="0.45">
      <c r="A88" s="80" t="s">
        <v>293</v>
      </c>
      <c r="B88">
        <v>783</v>
      </c>
      <c r="C88">
        <v>615</v>
      </c>
      <c r="D88" s="30">
        <f>C88-$C$88/3</f>
        <v>410</v>
      </c>
      <c r="E88" s="30">
        <f t="shared" ref="E88:F88" si="39">D88-$C$88/3</f>
        <v>205</v>
      </c>
      <c r="F88" s="30">
        <f t="shared" si="39"/>
        <v>0</v>
      </c>
      <c r="G88" s="30"/>
      <c r="H88" s="30"/>
      <c r="I88" s="30"/>
      <c r="J88" s="39"/>
    </row>
    <row r="89" spans="1:12" x14ac:dyDescent="0.45">
      <c r="A89" s="82" t="s">
        <v>107</v>
      </c>
      <c r="B89" s="30"/>
      <c r="C89" s="30"/>
      <c r="D89" s="30"/>
      <c r="E89" s="30"/>
      <c r="F89" s="30"/>
      <c r="G89" s="30"/>
      <c r="H89" s="30"/>
      <c r="I89" s="30"/>
      <c r="J89" s="39"/>
    </row>
    <row r="90" spans="1:12" x14ac:dyDescent="0.45">
      <c r="A90" s="81" t="s">
        <v>290</v>
      </c>
      <c r="B90" s="41">
        <f>B88-B91</f>
        <v>615</v>
      </c>
      <c r="C90" s="41">
        <f t="shared" ref="C90:F90" si="40">C88-C91</f>
        <v>410</v>
      </c>
      <c r="D90" s="41">
        <f t="shared" si="40"/>
        <v>205</v>
      </c>
      <c r="E90" s="41">
        <f t="shared" si="40"/>
        <v>0</v>
      </c>
      <c r="F90" s="41">
        <f t="shared" si="40"/>
        <v>0</v>
      </c>
      <c r="G90" s="30"/>
      <c r="H90" s="30"/>
      <c r="I90" s="30"/>
      <c r="J90" s="39"/>
    </row>
    <row r="91" spans="1:12" x14ac:dyDescent="0.45">
      <c r="A91" s="81" t="s">
        <v>294</v>
      </c>
      <c r="B91" s="41">
        <f t="shared" ref="B91:F91" si="41">IF(C87&lt;0,-C87,0)</f>
        <v>168</v>
      </c>
      <c r="C91" s="41">
        <f t="shared" si="41"/>
        <v>205</v>
      </c>
      <c r="D91" s="41">
        <f t="shared" si="41"/>
        <v>205</v>
      </c>
      <c r="E91" s="41">
        <f t="shared" si="41"/>
        <v>205</v>
      </c>
      <c r="F91" s="41">
        <f t="shared" si="41"/>
        <v>0</v>
      </c>
      <c r="G91" s="30"/>
      <c r="H91" s="30"/>
      <c r="I91" s="30"/>
      <c r="J91" s="39"/>
    </row>
    <row r="92" spans="1:12" x14ac:dyDescent="0.45">
      <c r="A92" s="80" t="s">
        <v>295</v>
      </c>
      <c r="B92" s="30"/>
      <c r="C92" s="30"/>
      <c r="D92" s="30"/>
      <c r="E92" s="30"/>
      <c r="F92" s="30"/>
      <c r="G92" s="30"/>
      <c r="H92" s="30"/>
      <c r="I92" s="30"/>
      <c r="J92" s="39"/>
    </row>
    <row r="93" spans="1:12" ht="14.65" thickBot="1" x14ac:dyDescent="0.5">
      <c r="A93" s="83" t="s">
        <v>296</v>
      </c>
      <c r="B93" s="32"/>
      <c r="C93" s="32"/>
      <c r="D93" s="32"/>
      <c r="E93" s="32"/>
      <c r="F93" s="32"/>
      <c r="G93" s="32"/>
      <c r="H93" s="32"/>
      <c r="I93" s="32"/>
      <c r="J93" s="40"/>
    </row>
    <row r="94" spans="1:12" ht="14.65" thickBot="1" x14ac:dyDescent="0.5"/>
    <row r="95" spans="1:12" ht="14.65" thickBot="1" x14ac:dyDescent="0.5">
      <c r="A95" s="79" t="s">
        <v>305</v>
      </c>
      <c r="B95" s="34">
        <v>2022</v>
      </c>
      <c r="C95" s="34">
        <v>2023</v>
      </c>
      <c r="D95" s="51">
        <v>2024</v>
      </c>
      <c r="E95" s="51">
        <v>2025</v>
      </c>
      <c r="F95" s="51">
        <v>2026</v>
      </c>
      <c r="G95" s="51">
        <v>2027</v>
      </c>
      <c r="H95" s="51">
        <v>2028</v>
      </c>
      <c r="I95" s="51">
        <v>2029</v>
      </c>
      <c r="J95" s="52">
        <v>2030</v>
      </c>
      <c r="L95" s="4" t="s">
        <v>313</v>
      </c>
    </row>
    <row r="96" spans="1:12" x14ac:dyDescent="0.45">
      <c r="A96" s="80" t="s">
        <v>291</v>
      </c>
      <c r="B96" s="30"/>
      <c r="C96" s="30">
        <f>B99</f>
        <v>325</v>
      </c>
      <c r="D96" s="30">
        <f>C99</f>
        <v>325</v>
      </c>
      <c r="E96" s="30"/>
      <c r="F96" s="30"/>
      <c r="G96" s="30"/>
      <c r="H96" s="30"/>
      <c r="I96" s="30"/>
      <c r="J96" s="39"/>
    </row>
    <row r="97" spans="1:10" x14ac:dyDescent="0.45">
      <c r="A97" s="81" t="s">
        <v>154</v>
      </c>
      <c r="B97" s="30"/>
      <c r="C97" s="30"/>
      <c r="D97" s="30"/>
      <c r="E97" s="30"/>
      <c r="F97" s="30"/>
      <c r="G97" s="30"/>
      <c r="H97" s="30"/>
      <c r="I97" s="30"/>
      <c r="J97" s="39"/>
    </row>
    <row r="98" spans="1:10" x14ac:dyDescent="0.45">
      <c r="A98" s="81" t="s">
        <v>292</v>
      </c>
      <c r="B98" s="30"/>
      <c r="C98" s="30"/>
      <c r="D98" s="30">
        <f>D99-D96</f>
        <v>-325</v>
      </c>
      <c r="E98" s="30"/>
      <c r="F98" s="30"/>
      <c r="G98" s="30"/>
      <c r="H98" s="30"/>
      <c r="I98" s="30"/>
      <c r="J98" s="39"/>
    </row>
    <row r="99" spans="1:10" x14ac:dyDescent="0.45">
      <c r="A99" s="80" t="s">
        <v>293</v>
      </c>
      <c r="B99" s="30">
        <v>325</v>
      </c>
      <c r="C99" s="30">
        <v>325</v>
      </c>
      <c r="D99" s="30">
        <v>0</v>
      </c>
      <c r="E99" s="30"/>
      <c r="F99" s="30"/>
      <c r="G99" s="30"/>
      <c r="H99" s="30"/>
      <c r="I99" s="30"/>
      <c r="J99" s="39"/>
    </row>
    <row r="100" spans="1:10" x14ac:dyDescent="0.45">
      <c r="A100" s="82" t="s">
        <v>107</v>
      </c>
      <c r="B100" s="30"/>
      <c r="C100" s="30"/>
      <c r="D100" s="30"/>
      <c r="E100" s="30"/>
      <c r="F100" s="30"/>
      <c r="G100" s="30"/>
      <c r="H100" s="30"/>
      <c r="I100" s="30"/>
      <c r="J100" s="39"/>
    </row>
    <row r="101" spans="1:10" x14ac:dyDescent="0.45">
      <c r="A101" s="81" t="s">
        <v>290</v>
      </c>
      <c r="B101" s="41">
        <f>B99-B102</f>
        <v>325</v>
      </c>
      <c r="C101" s="41">
        <f t="shared" ref="C101:D101" si="42">C99-C102</f>
        <v>0</v>
      </c>
      <c r="D101" s="41">
        <f t="shared" si="42"/>
        <v>0</v>
      </c>
      <c r="E101" s="30"/>
      <c r="F101" s="30"/>
      <c r="G101" s="30"/>
      <c r="H101" s="30"/>
      <c r="I101" s="30"/>
      <c r="J101" s="39"/>
    </row>
    <row r="102" spans="1:10" x14ac:dyDescent="0.45">
      <c r="A102" s="81" t="s">
        <v>294</v>
      </c>
      <c r="B102" s="41">
        <f t="shared" ref="B102:D102" si="43">IF(C98&lt;0,-C98,0)</f>
        <v>0</v>
      </c>
      <c r="C102" s="41">
        <f t="shared" si="43"/>
        <v>325</v>
      </c>
      <c r="D102" s="41">
        <f t="shared" si="43"/>
        <v>0</v>
      </c>
      <c r="E102" s="30"/>
      <c r="F102" s="30"/>
      <c r="G102" s="30"/>
      <c r="H102" s="30"/>
      <c r="I102" s="30"/>
      <c r="J102" s="39"/>
    </row>
    <row r="103" spans="1:10" x14ac:dyDescent="0.45">
      <c r="A103" s="80" t="s">
        <v>295</v>
      </c>
      <c r="B103" s="30"/>
      <c r="C103" s="30"/>
      <c r="D103" s="30"/>
      <c r="E103" s="30"/>
      <c r="F103" s="30"/>
      <c r="G103" s="30"/>
      <c r="H103" s="30"/>
      <c r="I103" s="30"/>
      <c r="J103" s="39"/>
    </row>
    <row r="104" spans="1:10" ht="14.65" thickBot="1" x14ac:dyDescent="0.5">
      <c r="A104" s="83" t="s">
        <v>296</v>
      </c>
      <c r="B104" s="32"/>
      <c r="C104" s="32"/>
      <c r="D104" s="32"/>
      <c r="E104" s="32"/>
      <c r="F104" s="32"/>
      <c r="G104" s="32"/>
      <c r="H104" s="32"/>
      <c r="I104" s="32"/>
      <c r="J104" s="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2027-B6EC-48AE-8B52-B5B862C4D82C}">
  <dimension ref="A1:G15"/>
  <sheetViews>
    <sheetView workbookViewId="0">
      <selection activeCell="I9" sqref="I9"/>
    </sheetView>
  </sheetViews>
  <sheetFormatPr defaultRowHeight="14.25" x14ac:dyDescent="0.45"/>
  <cols>
    <col min="1" max="1" width="40.265625" customWidth="1"/>
    <col min="2" max="3" width="19.9296875" customWidth="1"/>
    <col min="4" max="4" width="17.6640625" hidden="1" customWidth="1"/>
    <col min="5" max="5" width="20.59765625" customWidth="1"/>
    <col min="7" max="7" width="15.6640625" bestFit="1" customWidth="1"/>
  </cols>
  <sheetData>
    <row r="1" spans="1:7" ht="14.65" thickBot="1" x14ac:dyDescent="0.5">
      <c r="A1" s="200"/>
      <c r="B1" s="34">
        <v>2022</v>
      </c>
      <c r="C1" s="34">
        <v>2023</v>
      </c>
      <c r="D1" s="51">
        <v>2024</v>
      </c>
      <c r="E1" s="52">
        <v>2025</v>
      </c>
    </row>
    <row r="2" spans="1:7" x14ac:dyDescent="0.45">
      <c r="A2" s="61" t="s">
        <v>362</v>
      </c>
      <c r="B2" s="84">
        <f>BS!D82+BS!D68</f>
        <v>107950128827447</v>
      </c>
      <c r="C2" s="84">
        <f>BS!E82+BS!E68</f>
        <v>116269093659068</v>
      </c>
      <c r="D2" s="84">
        <f>BS!F82+BS!F68</f>
        <v>0</v>
      </c>
      <c r="E2" s="183">
        <f>BS!G82+BS!G68</f>
        <v>133464127342376.36</v>
      </c>
    </row>
    <row r="3" spans="1:7" x14ac:dyDescent="0.45">
      <c r="A3" s="37" t="s">
        <v>363</v>
      </c>
      <c r="B3" s="47">
        <f>-BS!D13</f>
        <v>-89820810782676</v>
      </c>
      <c r="C3" s="47">
        <f>-BS!E13</f>
        <v>-105066147390758</v>
      </c>
      <c r="D3" s="47">
        <f>-BS!F13</f>
        <v>0</v>
      </c>
      <c r="E3" s="48">
        <f>-BS!G13</f>
        <v>-167540551671615.19</v>
      </c>
    </row>
    <row r="4" spans="1:7" x14ac:dyDescent="0.45">
      <c r="A4" s="61" t="s">
        <v>364</v>
      </c>
      <c r="B4" s="84">
        <f t="shared" ref="B4:D4" si="0">SUM(B2:B3)</f>
        <v>18129318044771</v>
      </c>
      <c r="C4" s="84">
        <f t="shared" si="0"/>
        <v>11202946268310</v>
      </c>
      <c r="D4" s="84">
        <f t="shared" si="0"/>
        <v>0</v>
      </c>
      <c r="E4" s="183">
        <f>SUM(E2:E3)</f>
        <v>-34076424329238.828</v>
      </c>
    </row>
    <row r="5" spans="1:7" x14ac:dyDescent="0.45">
      <c r="A5" s="37" t="s">
        <v>365</v>
      </c>
      <c r="B5" s="47">
        <f>BS!D53-BS!D63</f>
        <v>15636720280214</v>
      </c>
      <c r="C5" s="47">
        <f>BS!E53-BS!E63</f>
        <v>16531609724097</v>
      </c>
      <c r="D5" s="47">
        <f>BS!F53-BS!F63</f>
        <v>0</v>
      </c>
      <c r="E5" s="48">
        <f>BS!G53-BS!G63</f>
        <v>28766764136458.453</v>
      </c>
    </row>
    <row r="6" spans="1:7" x14ac:dyDescent="0.45">
      <c r="A6" s="61" t="s">
        <v>366</v>
      </c>
      <c r="B6" s="84">
        <f t="shared" ref="B6:D6" si="1">B4+B5</f>
        <v>33766038324985</v>
      </c>
      <c r="C6" s="84">
        <f t="shared" si="1"/>
        <v>27734555992407</v>
      </c>
      <c r="D6" s="84">
        <f t="shared" si="1"/>
        <v>0</v>
      </c>
      <c r="E6" s="183">
        <f>E4+E5</f>
        <v>-5309660192780.375</v>
      </c>
    </row>
    <row r="7" spans="1:7" x14ac:dyDescent="0.45">
      <c r="A7" s="37" t="s">
        <v>367</v>
      </c>
      <c r="B7" s="47">
        <f>BS!D4+BS!D8+BS!D9+BS!D12</f>
        <v>72190119805229</v>
      </c>
      <c r="C7" s="47">
        <f>BS!E4+BS!E8+BS!E9+BS!E12</f>
        <v>70464438012159</v>
      </c>
      <c r="D7" s="47">
        <f>BS!F4+BS!F8+BS!F9+BS!F12</f>
        <v>0</v>
      </c>
      <c r="E7" s="48">
        <f>BS!G4+BS!G8+BS!G9+BS!G12</f>
        <v>94940038766696.422</v>
      </c>
    </row>
    <row r="8" spans="1:7" x14ac:dyDescent="0.45">
      <c r="A8" s="37" t="s">
        <v>368</v>
      </c>
      <c r="B8" s="54">
        <f>BS!D3</f>
        <v>8324588920227</v>
      </c>
      <c r="C8" s="54">
        <f>BS!E3</f>
        <v>12252001160884</v>
      </c>
      <c r="D8" s="54">
        <f>BS!F3</f>
        <v>0</v>
      </c>
      <c r="E8" s="55">
        <f>BS!G3</f>
        <v>8365259308087.1563</v>
      </c>
      <c r="G8" s="27"/>
    </row>
    <row r="9" spans="1:7" x14ac:dyDescent="0.45">
      <c r="A9" s="61" t="s">
        <v>369</v>
      </c>
      <c r="B9" s="84">
        <f t="shared" ref="B9:D9" si="2">B8+B7-B6</f>
        <v>46748670400471</v>
      </c>
      <c r="C9" s="84">
        <f t="shared" si="2"/>
        <v>54981883180636</v>
      </c>
      <c r="D9" s="84">
        <f t="shared" si="2"/>
        <v>0</v>
      </c>
      <c r="E9" s="183">
        <f>E8+E7-E6</f>
        <v>108614958267563.95</v>
      </c>
      <c r="G9" s="4" t="s">
        <v>371</v>
      </c>
    </row>
    <row r="10" spans="1:7" x14ac:dyDescent="0.45">
      <c r="A10" s="96"/>
      <c r="B10" s="30"/>
      <c r="C10" s="30"/>
      <c r="D10" s="30"/>
      <c r="E10" s="39"/>
    </row>
    <row r="11" spans="1:7" x14ac:dyDescent="0.45">
      <c r="A11" s="61" t="s">
        <v>316</v>
      </c>
      <c r="B11" s="84">
        <f t="shared" ref="B11:D11" si="3">SUM(B12:B13)</f>
        <v>46748670400471</v>
      </c>
      <c r="C11" s="84">
        <f t="shared" si="3"/>
        <v>54981883180636</v>
      </c>
      <c r="D11" s="84">
        <f t="shared" si="3"/>
        <v>91428.5</v>
      </c>
      <c r="E11" s="183">
        <f>SUM(E12:E13)</f>
        <v>108614958267563.97</v>
      </c>
    </row>
    <row r="12" spans="1:7" x14ac:dyDescent="0.45">
      <c r="A12" s="37" t="s">
        <v>316</v>
      </c>
      <c r="B12" s="47">
        <v>39103657252968</v>
      </c>
      <c r="C12" s="47">
        <v>47305924871207</v>
      </c>
      <c r="D12" s="47">
        <f>Debt!D3</f>
        <v>85456</v>
      </c>
      <c r="E12" s="48">
        <f>Debt!E3*10^9</f>
        <v>106976624934230.64</v>
      </c>
    </row>
    <row r="13" spans="1:7" ht="14.65" thickBot="1" x14ac:dyDescent="0.5">
      <c r="A13" s="38" t="s">
        <v>294</v>
      </c>
      <c r="B13" s="89">
        <v>7645013147503</v>
      </c>
      <c r="C13" s="89">
        <v>7675958309429</v>
      </c>
      <c r="D13" s="89">
        <f>Debt!D4</f>
        <v>5972.5</v>
      </c>
      <c r="E13" s="182">
        <f>Debt!E4*10^9</f>
        <v>1638333333333.3333</v>
      </c>
    </row>
    <row r="15" spans="1:7" x14ac:dyDescent="0.45">
      <c r="E15" s="4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Draft</vt:lpstr>
      <vt:lpstr>Sample</vt:lpstr>
      <vt:lpstr>HPG</vt:lpstr>
      <vt:lpstr>Định mức</vt:lpstr>
      <vt:lpstr>Dự toán Tiêu thụ, sản xuất</vt:lpstr>
      <vt:lpstr>Kế hoạch đầu tư</vt:lpstr>
      <vt:lpstr>Dự toán TSCĐ</vt:lpstr>
      <vt:lpstr>Debt</vt:lpstr>
      <vt:lpstr>Cân đối vốn</vt:lpstr>
      <vt:lpstr>WC</vt:lpstr>
      <vt:lpstr>BS</vt:lpstr>
      <vt:lpstr>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Trung</dc:creator>
  <cp:lastModifiedBy>ADMIN</cp:lastModifiedBy>
  <dcterms:created xsi:type="dcterms:W3CDTF">2024-05-31T10:35:53Z</dcterms:created>
  <dcterms:modified xsi:type="dcterms:W3CDTF">2025-02-26T07:20:20Z</dcterms:modified>
</cp:coreProperties>
</file>